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226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F:\OSAKOND_Varahaldus\_Erle Toiger\_SIHTASUTUSED\Asutajaõiguste teostamise aruanne\Aruanne 2017\"/>
    </mc:Choice>
  </mc:AlternateContent>
  <xr:revisionPtr revIDLastSave="0" documentId="13_ncr:1_{45676BE2-54D9-4594-9E55-E683CE63193B}" xr6:coauthVersionLast="32" xr6:coauthVersionMax="32" xr10:uidLastSave="{00000000-0000-0000-0000-000000000000}"/>
  <bookViews>
    <workbookView xWindow="1950" yWindow="5010" windowWidth="20730" windowHeight="7320" tabRatio="869" xr2:uid="{00000000-000D-0000-FFFF-FFFF00000000}"/>
  </bookViews>
  <sheets>
    <sheet name="Sisukord" sheetId="5" r:id="rId1"/>
    <sheet name="1" sheetId="45" r:id="rId2"/>
    <sheet name="2" sheetId="55" r:id="rId3"/>
    <sheet name="3" sheetId="61" r:id="rId4"/>
    <sheet name="4" sheetId="49" r:id="rId5"/>
    <sheet name="5" sheetId="39" r:id="rId6"/>
    <sheet name="6" sheetId="58" r:id="rId7"/>
    <sheet name="7" sheetId="48" r:id="rId8"/>
    <sheet name="8" sheetId="37" r:id="rId9"/>
    <sheet name="9" sheetId="62" r:id="rId10"/>
    <sheet name="10" sheetId="59" r:id="rId11"/>
    <sheet name="11" sheetId="51" r:id="rId12"/>
    <sheet name="12" sheetId="34" r:id="rId13"/>
    <sheet name="13" sheetId="41" r:id="rId14"/>
    <sheet name="14" sheetId="63" r:id="rId15"/>
    <sheet name="15" sheetId="57" r:id="rId16"/>
    <sheet name="16" sheetId="54" r:id="rId17"/>
    <sheet name="17" sheetId="46" r:id="rId18"/>
    <sheet name="18" sheetId="50" r:id="rId19"/>
    <sheet name="19" sheetId="52" r:id="rId20"/>
    <sheet name="20" sheetId="35" r:id="rId21"/>
    <sheet name="21" sheetId="47" r:id="rId22"/>
    <sheet name="22" sheetId="53" r:id="rId23"/>
    <sheet name="23" sheetId="40" r:id="rId24"/>
    <sheet name="24" sheetId="60" r:id="rId25"/>
    <sheet name="25" sheetId="65" r:id="rId26"/>
    <sheet name="26" sheetId="64" r:id="rId27"/>
    <sheet name="27" sheetId="43" r:id="rId28"/>
    <sheet name="28" sheetId="42" r:id="rId29"/>
    <sheet name="29" sheetId="38" r:id="rId30"/>
    <sheet name="30" sheetId="44" r:id="rId31"/>
    <sheet name="31" sheetId="67" r:id="rId32"/>
    <sheet name="32" sheetId="66" r:id="rId33"/>
    <sheet name="33" sheetId="56" r:id="rId34"/>
  </sheets>
  <definedNames>
    <definedName name="_xlnm.Print_Area" localSheetId="17">'17'!$G$2:$S$168</definedName>
  </definedNames>
  <calcPr calcId="179017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S167" i="67" l="1"/>
  <c r="R167" i="67"/>
  <c r="Q167" i="67"/>
  <c r="P167" i="67"/>
  <c r="O167" i="67"/>
  <c r="N167" i="67"/>
  <c r="M167" i="67"/>
  <c r="L167" i="67"/>
  <c r="K167" i="67"/>
  <c r="J167" i="67"/>
  <c r="I167" i="67"/>
  <c r="H167" i="67"/>
  <c r="S166" i="67"/>
  <c r="R166" i="67"/>
  <c r="Q166" i="67"/>
  <c r="P166" i="67"/>
  <c r="O166" i="67"/>
  <c r="N166" i="67"/>
  <c r="M166" i="67"/>
  <c r="L166" i="67"/>
  <c r="K166" i="67"/>
  <c r="J166" i="67"/>
  <c r="I166" i="67"/>
  <c r="H166" i="67"/>
  <c r="N163" i="67"/>
  <c r="L163" i="67"/>
  <c r="R161" i="67"/>
  <c r="S156" i="67"/>
  <c r="R156" i="67"/>
  <c r="Q156" i="67"/>
  <c r="P156" i="67"/>
  <c r="O156" i="67"/>
  <c r="N156" i="67"/>
  <c r="M156" i="67"/>
  <c r="L156" i="67"/>
  <c r="K156" i="67"/>
  <c r="J156" i="67"/>
  <c r="I156" i="67"/>
  <c r="H156" i="67"/>
  <c r="S155" i="67"/>
  <c r="R155" i="67"/>
  <c r="Q155" i="67"/>
  <c r="P155" i="67"/>
  <c r="O155" i="67"/>
  <c r="N155" i="67"/>
  <c r="M155" i="67"/>
  <c r="L155" i="67"/>
  <c r="K155" i="67"/>
  <c r="J155" i="67"/>
  <c r="I155" i="67"/>
  <c r="H155" i="67"/>
  <c r="Q138" i="67"/>
  <c r="E138" i="67"/>
  <c r="I137" i="67"/>
  <c r="S135" i="67"/>
  <c r="R135" i="67"/>
  <c r="Q135" i="67"/>
  <c r="P135" i="67"/>
  <c r="O135" i="67"/>
  <c r="N135" i="67"/>
  <c r="M135" i="67"/>
  <c r="I135" i="67"/>
  <c r="H135" i="67"/>
  <c r="K127" i="67"/>
  <c r="N126" i="67"/>
  <c r="K126" i="67"/>
  <c r="N125" i="67"/>
  <c r="K125" i="67"/>
  <c r="S123" i="67"/>
  <c r="R123" i="67"/>
  <c r="Q123" i="67"/>
  <c r="P123" i="67"/>
  <c r="O123" i="67"/>
  <c r="N123" i="67"/>
  <c r="M123" i="67"/>
  <c r="L123" i="67"/>
  <c r="K123" i="67"/>
  <c r="J123" i="67"/>
  <c r="I123" i="67"/>
  <c r="H123" i="67"/>
  <c r="S118" i="67"/>
  <c r="R118" i="67"/>
  <c r="Q118" i="67"/>
  <c r="P118" i="67"/>
  <c r="O118" i="67"/>
  <c r="N118" i="67"/>
  <c r="M118" i="67"/>
  <c r="L118" i="67"/>
  <c r="K118" i="67"/>
  <c r="J118" i="67"/>
  <c r="I118" i="67"/>
  <c r="H118" i="67"/>
  <c r="S115" i="67"/>
  <c r="R115" i="67"/>
  <c r="Q115" i="67"/>
  <c r="P115" i="67"/>
  <c r="O115" i="67"/>
  <c r="N115" i="67"/>
  <c r="M115" i="67"/>
  <c r="L115" i="67"/>
  <c r="K115" i="67"/>
  <c r="J115" i="67"/>
  <c r="I115" i="67"/>
  <c r="H115" i="67"/>
  <c r="O110" i="67"/>
  <c r="O111" i="67" s="1"/>
  <c r="H105" i="67"/>
  <c r="P101" i="67"/>
  <c r="L101" i="67"/>
  <c r="H101" i="67"/>
  <c r="Q95" i="67"/>
  <c r="M95" i="67"/>
  <c r="I95" i="67"/>
  <c r="P93" i="67"/>
  <c r="N93" i="67"/>
  <c r="L93" i="67"/>
  <c r="H93" i="67"/>
  <c r="S90" i="67"/>
  <c r="R90" i="67"/>
  <c r="Q90" i="67"/>
  <c r="P90" i="67"/>
  <c r="O90" i="67"/>
  <c r="N90" i="67"/>
  <c r="M90" i="67"/>
  <c r="L90" i="67"/>
  <c r="K90" i="67"/>
  <c r="J90" i="67"/>
  <c r="I90" i="67"/>
  <c r="S89" i="67"/>
  <c r="R89" i="67"/>
  <c r="Q89" i="67"/>
  <c r="P89" i="67"/>
  <c r="O89" i="67"/>
  <c r="N89" i="67"/>
  <c r="M89" i="67"/>
  <c r="L89" i="67"/>
  <c r="K89" i="67"/>
  <c r="J89" i="67"/>
  <c r="I89" i="67"/>
  <c r="S88" i="67"/>
  <c r="R88" i="67"/>
  <c r="Q88" i="67"/>
  <c r="P88" i="67"/>
  <c r="O88" i="67"/>
  <c r="N88" i="67"/>
  <c r="M88" i="67"/>
  <c r="L88" i="67"/>
  <c r="K88" i="67"/>
  <c r="J88" i="67"/>
  <c r="I88" i="67"/>
  <c r="S87" i="67"/>
  <c r="R87" i="67"/>
  <c r="Q87" i="67"/>
  <c r="P87" i="67"/>
  <c r="O87" i="67"/>
  <c r="N87" i="67"/>
  <c r="J87" i="67"/>
  <c r="I87" i="67"/>
  <c r="S86" i="67"/>
  <c r="R86" i="67"/>
  <c r="Q86" i="67"/>
  <c r="P86" i="67"/>
  <c r="O86" i="67"/>
  <c r="N86" i="67"/>
  <c r="M86" i="67"/>
  <c r="L86" i="67"/>
  <c r="K86" i="67"/>
  <c r="J86" i="67"/>
  <c r="I86" i="67"/>
  <c r="H86" i="67"/>
  <c r="S71" i="67"/>
  <c r="R71" i="67"/>
  <c r="Q71" i="67"/>
  <c r="P71" i="67"/>
  <c r="O71" i="67"/>
  <c r="N71" i="67"/>
  <c r="M71" i="67"/>
  <c r="L71" i="67"/>
  <c r="K71" i="67"/>
  <c r="J71" i="67"/>
  <c r="I71" i="67"/>
  <c r="H71" i="67"/>
  <c r="I57" i="67"/>
  <c r="I73" i="67" s="1"/>
  <c r="I92" i="67" s="1"/>
  <c r="H57" i="67"/>
  <c r="H73" i="67" s="1"/>
  <c r="H92" i="67" s="1"/>
  <c r="R52" i="67"/>
  <c r="S41" i="67"/>
  <c r="S158" i="67" s="1"/>
  <c r="R41" i="67"/>
  <c r="R158" i="67" s="1"/>
  <c r="Q41" i="67"/>
  <c r="Q158" i="67" s="1"/>
  <c r="P41" i="67"/>
  <c r="P158" i="67" s="1"/>
  <c r="O41" i="67"/>
  <c r="O158" i="67" s="1"/>
  <c r="N41" i="67"/>
  <c r="N158" i="67" s="1"/>
  <c r="M41" i="67"/>
  <c r="M158" i="67" s="1"/>
  <c r="L41" i="67"/>
  <c r="L158" i="67" s="1"/>
  <c r="K41" i="67"/>
  <c r="K158" i="67" s="1"/>
  <c r="J41" i="67"/>
  <c r="J158" i="67" s="1"/>
  <c r="I41" i="67"/>
  <c r="I158" i="67" s="1"/>
  <c r="H41" i="67"/>
  <c r="H158" i="67" s="1"/>
  <c r="S38" i="67"/>
  <c r="S127" i="67" s="1"/>
  <c r="R38" i="67"/>
  <c r="Q38" i="67"/>
  <c r="P38" i="67"/>
  <c r="O38" i="67"/>
  <c r="O127" i="67" s="1"/>
  <c r="N38" i="67"/>
  <c r="M38" i="67"/>
  <c r="L38" i="67"/>
  <c r="K38" i="67"/>
  <c r="J38" i="67"/>
  <c r="I38" i="67"/>
  <c r="H38" i="67"/>
  <c r="H157" i="67" s="1"/>
  <c r="S33" i="67"/>
  <c r="S110" i="67" s="1"/>
  <c r="R33" i="67"/>
  <c r="Q33" i="67"/>
  <c r="P33" i="67"/>
  <c r="O33" i="67"/>
  <c r="O112" i="67" s="1"/>
  <c r="N33" i="67"/>
  <c r="M33" i="67"/>
  <c r="L33" i="67"/>
  <c r="K33" i="67"/>
  <c r="K112" i="67" s="1"/>
  <c r="J33" i="67"/>
  <c r="I33" i="67"/>
  <c r="H33" i="67"/>
  <c r="H141" i="67" s="1"/>
  <c r="I32" i="67"/>
  <c r="I105" i="67" s="1"/>
  <c r="S27" i="67"/>
  <c r="R27" i="67"/>
  <c r="R101" i="67" s="1"/>
  <c r="Q27" i="67"/>
  <c r="Q101" i="67" s="1"/>
  <c r="Q102" i="67" s="1"/>
  <c r="P27" i="67"/>
  <c r="O27" i="67"/>
  <c r="N27" i="67"/>
  <c r="N101" i="67" s="1"/>
  <c r="M27" i="67"/>
  <c r="M101" i="67" s="1"/>
  <c r="M102" i="67" s="1"/>
  <c r="L27" i="67"/>
  <c r="K27" i="67"/>
  <c r="K131" i="67" s="1"/>
  <c r="J27" i="67"/>
  <c r="J101" i="67" s="1"/>
  <c r="I27" i="67"/>
  <c r="I101" i="67" s="1"/>
  <c r="I102" i="67" s="1"/>
  <c r="H27" i="67"/>
  <c r="S19" i="67"/>
  <c r="S165" i="67" s="1"/>
  <c r="R19" i="67"/>
  <c r="R95" i="67" s="1"/>
  <c r="R96" i="67" s="1"/>
  <c r="Q19" i="67"/>
  <c r="P19" i="67"/>
  <c r="P119" i="67" s="1"/>
  <c r="P120" i="67" s="1"/>
  <c r="O19" i="67"/>
  <c r="O165" i="67" s="1"/>
  <c r="N19" i="67"/>
  <c r="N95" i="67" s="1"/>
  <c r="N96" i="67" s="1"/>
  <c r="M19" i="67"/>
  <c r="L19" i="67"/>
  <c r="K19" i="67"/>
  <c r="K165" i="67" s="1"/>
  <c r="J19" i="67"/>
  <c r="J95" i="67" s="1"/>
  <c r="J96" i="67" s="1"/>
  <c r="I19" i="67"/>
  <c r="H19" i="67"/>
  <c r="S18" i="67"/>
  <c r="R18" i="67"/>
  <c r="Q18" i="67"/>
  <c r="P18" i="67"/>
  <c r="O18" i="67"/>
  <c r="N18" i="67"/>
  <c r="M18" i="67"/>
  <c r="L18" i="67"/>
  <c r="K18" i="67"/>
  <c r="J18" i="67"/>
  <c r="I18" i="67"/>
  <c r="H18" i="67"/>
  <c r="L15" i="67"/>
  <c r="L135" i="67" s="1"/>
  <c r="K15" i="67"/>
  <c r="K135" i="67" s="1"/>
  <c r="J15" i="67"/>
  <c r="J135" i="67" s="1"/>
  <c r="K11" i="67"/>
  <c r="S10" i="67"/>
  <c r="R10" i="67"/>
  <c r="Q10" i="67"/>
  <c r="P10" i="67"/>
  <c r="O10" i="67"/>
  <c r="N10" i="67"/>
  <c r="M10" i="67"/>
  <c r="M164" i="67" s="1"/>
  <c r="K10" i="67"/>
  <c r="K4" i="67" s="1"/>
  <c r="J10" i="67"/>
  <c r="I10" i="67"/>
  <c r="H10" i="67"/>
  <c r="S5" i="67"/>
  <c r="S163" i="67" s="1"/>
  <c r="R5" i="67"/>
  <c r="R93" i="67" s="1"/>
  <c r="R94" i="67" s="1"/>
  <c r="R97" i="67" s="1"/>
  <c r="Q5" i="67"/>
  <c r="Q93" i="67" s="1"/>
  <c r="Q94" i="67" s="1"/>
  <c r="P5" i="67"/>
  <c r="O5" i="67"/>
  <c r="O163" i="67" s="1"/>
  <c r="M5" i="67"/>
  <c r="M93" i="67" s="1"/>
  <c r="M94" i="67" s="1"/>
  <c r="L5" i="67"/>
  <c r="K5" i="67"/>
  <c r="K163" i="67" s="1"/>
  <c r="J5" i="67"/>
  <c r="I5" i="67"/>
  <c r="I93" i="67" s="1"/>
  <c r="I94" i="67" s="1"/>
  <c r="H5" i="67"/>
  <c r="R4" i="67"/>
  <c r="Q4" i="67"/>
  <c r="N4" i="67"/>
  <c r="M4" i="67"/>
  <c r="J4" i="67"/>
  <c r="I4" i="67"/>
  <c r="H147" i="67" l="1"/>
  <c r="H146" i="67"/>
  <c r="M99" i="67"/>
  <c r="J102" i="67"/>
  <c r="N102" i="67"/>
  <c r="R102" i="67"/>
  <c r="N94" i="67"/>
  <c r="N97" i="67" s="1"/>
  <c r="I99" i="67"/>
  <c r="Q99" i="67"/>
  <c r="K162" i="67"/>
  <c r="K31" i="67"/>
  <c r="K130" i="67"/>
  <c r="I117" i="67"/>
  <c r="I109" i="67"/>
  <c r="S124" i="67"/>
  <c r="S111" i="67"/>
  <c r="P94" i="67"/>
  <c r="P97" i="67" s="1"/>
  <c r="N162" i="67"/>
  <c r="N130" i="67"/>
  <c r="J163" i="67"/>
  <c r="J126" i="67"/>
  <c r="J125" i="67"/>
  <c r="O168" i="67"/>
  <c r="L137" i="67"/>
  <c r="L154" i="67"/>
  <c r="L141" i="67"/>
  <c r="L112" i="67"/>
  <c r="L110" i="67"/>
  <c r="L159" i="67"/>
  <c r="L143" i="67"/>
  <c r="L157" i="67"/>
  <c r="L127" i="67"/>
  <c r="O4" i="67"/>
  <c r="O138" i="67" s="1"/>
  <c r="S4" i="67"/>
  <c r="P163" i="67"/>
  <c r="P126" i="67"/>
  <c r="P125" i="67"/>
  <c r="H164" i="67"/>
  <c r="L10" i="67"/>
  <c r="P164" i="67"/>
  <c r="H165" i="67"/>
  <c r="H119" i="67"/>
  <c r="H120" i="67" s="1"/>
  <c r="L165" i="67"/>
  <c r="L119" i="67"/>
  <c r="L120" i="67" s="1"/>
  <c r="P122" i="67"/>
  <c r="P121" i="67"/>
  <c r="H168" i="67"/>
  <c r="H131" i="67"/>
  <c r="L168" i="67"/>
  <c r="L131" i="67"/>
  <c r="P168" i="67"/>
  <c r="P131" i="67"/>
  <c r="I154" i="67"/>
  <c r="I142" i="67"/>
  <c r="I141" i="67"/>
  <c r="I136" i="67"/>
  <c r="I112" i="67"/>
  <c r="I110" i="67"/>
  <c r="M154" i="67"/>
  <c r="M142" i="67"/>
  <c r="M141" i="67"/>
  <c r="M137" i="67"/>
  <c r="M112" i="67"/>
  <c r="M110" i="67"/>
  <c r="Q154" i="67"/>
  <c r="Q142" i="67"/>
  <c r="Q141" i="67"/>
  <c r="Q136" i="67"/>
  <c r="Q112" i="67"/>
  <c r="Q110" i="67"/>
  <c r="I159" i="67"/>
  <c r="I157" i="67"/>
  <c r="I143" i="67"/>
  <c r="I127" i="67"/>
  <c r="M159" i="67"/>
  <c r="M157" i="67"/>
  <c r="M143" i="67"/>
  <c r="M127" i="67"/>
  <c r="Q159" i="67"/>
  <c r="Q157" i="67"/>
  <c r="Q143" i="67"/>
  <c r="Q127" i="67"/>
  <c r="I46" i="67"/>
  <c r="M46" i="67"/>
  <c r="Q46" i="67"/>
  <c r="K87" i="67"/>
  <c r="K119" i="67"/>
  <c r="K120" i="67" s="1"/>
  <c r="M134" i="67"/>
  <c r="Q137" i="67"/>
  <c r="R162" i="67"/>
  <c r="R130" i="67"/>
  <c r="O164" i="67"/>
  <c r="O134" i="67"/>
  <c r="S168" i="67"/>
  <c r="S138" i="67"/>
  <c r="S131" i="67"/>
  <c r="H137" i="67"/>
  <c r="H136" i="67"/>
  <c r="H142" i="67"/>
  <c r="H154" i="67"/>
  <c r="H112" i="67"/>
  <c r="H110" i="67"/>
  <c r="P137" i="67"/>
  <c r="P154" i="67"/>
  <c r="P141" i="67"/>
  <c r="P142" i="67"/>
  <c r="P112" i="67"/>
  <c r="P110" i="67"/>
  <c r="P157" i="67"/>
  <c r="P127" i="67"/>
  <c r="L46" i="67"/>
  <c r="H4" i="67"/>
  <c r="P4" i="67"/>
  <c r="H163" i="67"/>
  <c r="H126" i="67"/>
  <c r="H125" i="67"/>
  <c r="L126" i="67"/>
  <c r="L125" i="67"/>
  <c r="Q163" i="67"/>
  <c r="Q126" i="67"/>
  <c r="Q125" i="67"/>
  <c r="I164" i="67"/>
  <c r="I134" i="67"/>
  <c r="Q164" i="67"/>
  <c r="Q134" i="67"/>
  <c r="I165" i="67"/>
  <c r="I119" i="67"/>
  <c r="I120" i="67" s="1"/>
  <c r="M165" i="67"/>
  <c r="M119" i="67"/>
  <c r="M120" i="67" s="1"/>
  <c r="Q165" i="67"/>
  <c r="Q119" i="67"/>
  <c r="Q120" i="67" s="1"/>
  <c r="I168" i="67"/>
  <c r="I131" i="67"/>
  <c r="M168" i="67"/>
  <c r="M138" i="67"/>
  <c r="M131" i="67"/>
  <c r="Q168" i="67"/>
  <c r="Q131" i="67"/>
  <c r="I31" i="67"/>
  <c r="M31" i="67"/>
  <c r="Q31" i="67"/>
  <c r="J32" i="67"/>
  <c r="J154" i="67"/>
  <c r="J142" i="67"/>
  <c r="J141" i="67"/>
  <c r="J136" i="67"/>
  <c r="J112" i="67"/>
  <c r="J110" i="67"/>
  <c r="J137" i="67"/>
  <c r="N154" i="67"/>
  <c r="N142" i="67"/>
  <c r="N141" i="67"/>
  <c r="N137" i="67"/>
  <c r="N112" i="67"/>
  <c r="N110" i="67"/>
  <c r="N136" i="67"/>
  <c r="R154" i="67"/>
  <c r="R142" i="67"/>
  <c r="R141" i="67"/>
  <c r="R136" i="67"/>
  <c r="R112" i="67"/>
  <c r="R110" i="67"/>
  <c r="R137" i="67"/>
  <c r="J159" i="67"/>
  <c r="J157" i="67"/>
  <c r="J143" i="67"/>
  <c r="J127" i="67"/>
  <c r="N159" i="67"/>
  <c r="N157" i="67"/>
  <c r="N143" i="67"/>
  <c r="N127" i="67"/>
  <c r="R159" i="67"/>
  <c r="R157" i="67"/>
  <c r="R143" i="67"/>
  <c r="R127" i="67"/>
  <c r="J46" i="67"/>
  <c r="N46" i="67"/>
  <c r="R46" i="67"/>
  <c r="L87" i="67"/>
  <c r="L91" i="67" s="1"/>
  <c r="J93" i="67"/>
  <c r="J94" i="67" s="1"/>
  <c r="J97" i="67" s="1"/>
  <c r="K95" i="67"/>
  <c r="K96" i="67" s="1"/>
  <c r="O95" i="67"/>
  <c r="O96" i="67" s="1"/>
  <c r="S95" i="67"/>
  <c r="S96" i="67" s="1"/>
  <c r="H117" i="67"/>
  <c r="H109" i="67"/>
  <c r="O119" i="67"/>
  <c r="O120" i="67" s="1"/>
  <c r="O124" i="67"/>
  <c r="O125" i="67"/>
  <c r="O126" i="67"/>
  <c r="O131" i="67"/>
  <c r="L142" i="67"/>
  <c r="J162" i="67"/>
  <c r="J130" i="67"/>
  <c r="K164" i="67"/>
  <c r="K134" i="67"/>
  <c r="S164" i="67"/>
  <c r="S134" i="67"/>
  <c r="K168" i="67"/>
  <c r="K138" i="67"/>
  <c r="H159" i="67"/>
  <c r="H143" i="67"/>
  <c r="H127" i="67"/>
  <c r="H46" i="67"/>
  <c r="P46" i="67"/>
  <c r="P159" i="67"/>
  <c r="I162" i="67"/>
  <c r="I130" i="67"/>
  <c r="M162" i="67"/>
  <c r="M130" i="67"/>
  <c r="Q162" i="67"/>
  <c r="Q130" i="67"/>
  <c r="I163" i="67"/>
  <c r="I126" i="67"/>
  <c r="I125" i="67"/>
  <c r="M163" i="67"/>
  <c r="M126" i="67"/>
  <c r="M125" i="67"/>
  <c r="R163" i="67"/>
  <c r="R126" i="67"/>
  <c r="R125" i="67"/>
  <c r="J164" i="67"/>
  <c r="J134" i="67"/>
  <c r="N164" i="67"/>
  <c r="N134" i="67"/>
  <c r="R164" i="67"/>
  <c r="R134" i="67"/>
  <c r="J165" i="67"/>
  <c r="J119" i="67"/>
  <c r="J120" i="67" s="1"/>
  <c r="N165" i="67"/>
  <c r="N119" i="67"/>
  <c r="N120" i="67" s="1"/>
  <c r="R165" i="67"/>
  <c r="R119" i="67"/>
  <c r="R120" i="67" s="1"/>
  <c r="J168" i="67"/>
  <c r="J138" i="67"/>
  <c r="J131" i="67"/>
  <c r="N168" i="67"/>
  <c r="N138" i="67"/>
  <c r="N131" i="67"/>
  <c r="R168" i="67"/>
  <c r="R138" i="67"/>
  <c r="R131" i="67"/>
  <c r="J31" i="67"/>
  <c r="N31" i="67"/>
  <c r="R31" i="67"/>
  <c r="K154" i="67"/>
  <c r="K142" i="67"/>
  <c r="K141" i="67"/>
  <c r="K137" i="67"/>
  <c r="K136" i="67"/>
  <c r="O154" i="67"/>
  <c r="O142" i="67"/>
  <c r="O141" i="67"/>
  <c r="O137" i="67"/>
  <c r="O136" i="67"/>
  <c r="S154" i="67"/>
  <c r="S142" i="67"/>
  <c r="S141" i="67"/>
  <c r="S137" i="67"/>
  <c r="S136" i="67"/>
  <c r="K159" i="67"/>
  <c r="K157" i="67"/>
  <c r="K143" i="67"/>
  <c r="O159" i="67"/>
  <c r="O157" i="67"/>
  <c r="O143" i="67"/>
  <c r="S159" i="67"/>
  <c r="S157" i="67"/>
  <c r="S143" i="67"/>
  <c r="K46" i="67"/>
  <c r="O46" i="67"/>
  <c r="S46" i="67"/>
  <c r="M87" i="67"/>
  <c r="K93" i="67"/>
  <c r="K94" i="67" s="1"/>
  <c r="K97" i="67" s="1"/>
  <c r="O93" i="67"/>
  <c r="O94" i="67" s="1"/>
  <c r="O97" i="67" s="1"/>
  <c r="S93" i="67"/>
  <c r="S94" i="67" s="1"/>
  <c r="S97" i="67" s="1"/>
  <c r="H95" i="67"/>
  <c r="I96" i="67" s="1"/>
  <c r="I97" i="67" s="1"/>
  <c r="L95" i="67"/>
  <c r="L96" i="67" s="1"/>
  <c r="P95" i="67"/>
  <c r="P96" i="67" s="1"/>
  <c r="J99" i="67"/>
  <c r="J100" i="67" s="1"/>
  <c r="N99" i="67"/>
  <c r="R99" i="67"/>
  <c r="R100" i="67" s="1"/>
  <c r="K101" i="67"/>
  <c r="K102" i="67" s="1"/>
  <c r="O101" i="67"/>
  <c r="O102" i="67" s="1"/>
  <c r="S101" i="67"/>
  <c r="S102" i="67" s="1"/>
  <c r="K110" i="67"/>
  <c r="S112" i="67"/>
  <c r="S119" i="67"/>
  <c r="S120" i="67" s="1"/>
  <c r="S125" i="67"/>
  <c r="S126" i="67"/>
  <c r="M136" i="67"/>
  <c r="I138" i="67"/>
  <c r="P143" i="67"/>
  <c r="P165" i="67"/>
  <c r="S141" i="66"/>
  <c r="R141" i="66"/>
  <c r="Q141" i="66"/>
  <c r="P141" i="66"/>
  <c r="O141" i="66"/>
  <c r="N141" i="66"/>
  <c r="M141" i="66"/>
  <c r="S140" i="66"/>
  <c r="R140" i="66"/>
  <c r="Q140" i="66"/>
  <c r="P140" i="66"/>
  <c r="O140" i="66"/>
  <c r="N140" i="66"/>
  <c r="M140" i="66"/>
  <c r="L140" i="66"/>
  <c r="K140" i="66"/>
  <c r="J140" i="66"/>
  <c r="I140" i="66"/>
  <c r="H140" i="66"/>
  <c r="H138" i="66"/>
  <c r="P132" i="66"/>
  <c r="S130" i="66"/>
  <c r="R130" i="66"/>
  <c r="Q130" i="66"/>
  <c r="P130" i="66"/>
  <c r="O130" i="66"/>
  <c r="N130" i="66"/>
  <c r="M130" i="66"/>
  <c r="L130" i="66"/>
  <c r="K130" i="66"/>
  <c r="J130" i="66"/>
  <c r="I130" i="66"/>
  <c r="H130" i="66"/>
  <c r="S129" i="66"/>
  <c r="R129" i="66"/>
  <c r="Q129" i="66"/>
  <c r="P129" i="66"/>
  <c r="O129" i="66"/>
  <c r="N129" i="66"/>
  <c r="M129" i="66"/>
  <c r="L129" i="66"/>
  <c r="K129" i="66"/>
  <c r="J129" i="66"/>
  <c r="I129" i="66"/>
  <c r="H129" i="66"/>
  <c r="H128" i="66"/>
  <c r="L116" i="66"/>
  <c r="L120" i="66" s="1"/>
  <c r="E114" i="66"/>
  <c r="S111" i="66"/>
  <c r="R111" i="66"/>
  <c r="Q111" i="66"/>
  <c r="P111" i="66"/>
  <c r="O111" i="66"/>
  <c r="N111" i="66"/>
  <c r="M111" i="66"/>
  <c r="L111" i="66"/>
  <c r="K111" i="66"/>
  <c r="J111" i="66"/>
  <c r="S107" i="66"/>
  <c r="S103" i="66"/>
  <c r="S101" i="66"/>
  <c r="R101" i="66"/>
  <c r="Q101" i="66"/>
  <c r="P101" i="66"/>
  <c r="O101" i="66"/>
  <c r="N101" i="66"/>
  <c r="M101" i="66"/>
  <c r="L101" i="66"/>
  <c r="S97" i="66"/>
  <c r="S98" i="66" s="1"/>
  <c r="S96" i="66"/>
  <c r="R96" i="66"/>
  <c r="Q96" i="66"/>
  <c r="P96" i="66"/>
  <c r="O96" i="66"/>
  <c r="N96" i="66"/>
  <c r="M96" i="66"/>
  <c r="L96" i="66"/>
  <c r="K96" i="66"/>
  <c r="J96" i="66"/>
  <c r="I96" i="66"/>
  <c r="H96" i="66"/>
  <c r="S94" i="66"/>
  <c r="R94" i="66"/>
  <c r="Q94" i="66"/>
  <c r="P94" i="66"/>
  <c r="O94" i="66"/>
  <c r="N94" i="66"/>
  <c r="M94" i="66"/>
  <c r="H94" i="66"/>
  <c r="H87" i="66"/>
  <c r="H95" i="66" s="1"/>
  <c r="S85" i="66"/>
  <c r="R85" i="66"/>
  <c r="Q85" i="66"/>
  <c r="P85" i="66"/>
  <c r="O85" i="66"/>
  <c r="N85" i="66"/>
  <c r="M85" i="66"/>
  <c r="L85" i="66"/>
  <c r="K85" i="66"/>
  <c r="H79" i="66"/>
  <c r="H101" i="66" s="1"/>
  <c r="K77" i="66"/>
  <c r="K101" i="66" s="1"/>
  <c r="J77" i="66"/>
  <c r="J101" i="66" s="1"/>
  <c r="I77" i="66"/>
  <c r="I101" i="66" s="1"/>
  <c r="S71" i="66"/>
  <c r="R71" i="66"/>
  <c r="Q71" i="66"/>
  <c r="P71" i="66"/>
  <c r="O71" i="66"/>
  <c r="N71" i="66"/>
  <c r="M71" i="66"/>
  <c r="L71" i="66"/>
  <c r="K71" i="66"/>
  <c r="J71" i="66"/>
  <c r="I71" i="66"/>
  <c r="H71" i="66"/>
  <c r="H57" i="66"/>
  <c r="H73" i="66" s="1"/>
  <c r="S46" i="66"/>
  <c r="S44" i="66"/>
  <c r="R44" i="66"/>
  <c r="Q44" i="66"/>
  <c r="P44" i="66"/>
  <c r="S41" i="66"/>
  <c r="S132" i="66" s="1"/>
  <c r="R41" i="66"/>
  <c r="R132" i="66" s="1"/>
  <c r="Q41" i="66"/>
  <c r="Q132" i="66" s="1"/>
  <c r="P41" i="66"/>
  <c r="O41" i="66"/>
  <c r="O132" i="66" s="1"/>
  <c r="N41" i="66"/>
  <c r="N132" i="66" s="1"/>
  <c r="M41" i="66"/>
  <c r="M132" i="66" s="1"/>
  <c r="L41" i="66"/>
  <c r="L132" i="66" s="1"/>
  <c r="K41" i="66"/>
  <c r="K132" i="66" s="1"/>
  <c r="J41" i="66"/>
  <c r="J132" i="66" s="1"/>
  <c r="I41" i="66"/>
  <c r="I132" i="66" s="1"/>
  <c r="H41" i="66"/>
  <c r="H132" i="66" s="1"/>
  <c r="S38" i="66"/>
  <c r="R38" i="66"/>
  <c r="Q38" i="66"/>
  <c r="P38" i="66"/>
  <c r="O38" i="66"/>
  <c r="N38" i="66"/>
  <c r="M38" i="66"/>
  <c r="L38" i="66"/>
  <c r="L105" i="66" s="1"/>
  <c r="K38" i="66"/>
  <c r="J38" i="66"/>
  <c r="I38" i="66"/>
  <c r="H38" i="66"/>
  <c r="S33" i="66"/>
  <c r="R33" i="66"/>
  <c r="Q33" i="66"/>
  <c r="P33" i="66"/>
  <c r="O33" i="66"/>
  <c r="N33" i="66"/>
  <c r="M33" i="66"/>
  <c r="M112" i="66" s="1"/>
  <c r="L33" i="66"/>
  <c r="K33" i="66"/>
  <c r="J33" i="66"/>
  <c r="I33" i="66"/>
  <c r="H33" i="66"/>
  <c r="I32" i="66"/>
  <c r="J32" i="66" s="1"/>
  <c r="I29" i="66"/>
  <c r="J29" i="66" s="1"/>
  <c r="J94" i="66" s="1"/>
  <c r="S27" i="66"/>
  <c r="R27" i="66"/>
  <c r="Q27" i="66"/>
  <c r="P27" i="66"/>
  <c r="O27" i="66"/>
  <c r="N27" i="66"/>
  <c r="M27" i="66"/>
  <c r="H27" i="66"/>
  <c r="L24" i="66"/>
  <c r="L141" i="66" s="1"/>
  <c r="K24" i="66"/>
  <c r="J24" i="66"/>
  <c r="J141" i="66" s="1"/>
  <c r="I24" i="66"/>
  <c r="I141" i="66" s="1"/>
  <c r="H24" i="66"/>
  <c r="H141" i="66" s="1"/>
  <c r="L21" i="66"/>
  <c r="K21" i="66"/>
  <c r="J21" i="66"/>
  <c r="I21" i="66"/>
  <c r="H21" i="66"/>
  <c r="H19" i="66" s="1"/>
  <c r="S19" i="66"/>
  <c r="S139" i="66" s="1"/>
  <c r="R19" i="66"/>
  <c r="Q19" i="66"/>
  <c r="P19" i="66"/>
  <c r="O19" i="66"/>
  <c r="O139" i="66" s="1"/>
  <c r="N19" i="66"/>
  <c r="M19" i="66"/>
  <c r="L19" i="66"/>
  <c r="J19" i="66"/>
  <c r="I19" i="66"/>
  <c r="S18" i="66"/>
  <c r="Q18" i="66"/>
  <c r="P18" i="66"/>
  <c r="O18" i="66"/>
  <c r="M18" i="66"/>
  <c r="I15" i="66"/>
  <c r="I111" i="66" s="1"/>
  <c r="H15" i="66"/>
  <c r="H111" i="66" s="1"/>
  <c r="S10" i="66"/>
  <c r="R10" i="66"/>
  <c r="Q10" i="66"/>
  <c r="Q138" i="66" s="1"/>
  <c r="P10" i="66"/>
  <c r="P138" i="66" s="1"/>
  <c r="O10" i="66"/>
  <c r="N10" i="66"/>
  <c r="M10" i="66"/>
  <c r="L10" i="66"/>
  <c r="K10" i="66"/>
  <c r="J10" i="66"/>
  <c r="I10" i="66"/>
  <c r="I138" i="66" s="1"/>
  <c r="H10" i="66"/>
  <c r="S5" i="66"/>
  <c r="S137" i="66" s="1"/>
  <c r="R5" i="66"/>
  <c r="Q5" i="66"/>
  <c r="P5" i="66"/>
  <c r="O5" i="66"/>
  <c r="O137" i="66" s="1"/>
  <c r="N5" i="66"/>
  <c r="M5" i="66"/>
  <c r="L5" i="66"/>
  <c r="K5" i="66"/>
  <c r="K137" i="66" s="1"/>
  <c r="J5" i="66"/>
  <c r="I5" i="66"/>
  <c r="H5" i="66"/>
  <c r="S4" i="66"/>
  <c r="S136" i="66" s="1"/>
  <c r="R4" i="66"/>
  <c r="Q4" i="66"/>
  <c r="P4" i="66"/>
  <c r="P107" i="66" s="1"/>
  <c r="O4" i="66"/>
  <c r="O136" i="66" s="1"/>
  <c r="N4" i="66"/>
  <c r="M4" i="66"/>
  <c r="L4" i="66"/>
  <c r="K4" i="66"/>
  <c r="K136" i="66" s="1"/>
  <c r="J4" i="66"/>
  <c r="I4" i="66"/>
  <c r="H4" i="66"/>
  <c r="H107" i="66" s="1"/>
  <c r="M122" i="67" l="1"/>
  <c r="M121" i="67"/>
  <c r="H124" i="67"/>
  <c r="H111" i="67"/>
  <c r="Q124" i="67"/>
  <c r="Q111" i="67"/>
  <c r="I124" i="67"/>
  <c r="I111" i="67"/>
  <c r="R103" i="67"/>
  <c r="N100" i="67"/>
  <c r="O148" i="67"/>
  <c r="O147" i="67"/>
  <c r="O146" i="67"/>
  <c r="R122" i="67"/>
  <c r="R121" i="67"/>
  <c r="J122" i="67"/>
  <c r="J121" i="67"/>
  <c r="P160" i="67"/>
  <c r="P114" i="67"/>
  <c r="P113" i="67"/>
  <c r="P48" i="67"/>
  <c r="H133" i="67"/>
  <c r="H140" i="67" s="1"/>
  <c r="H145" i="67" s="1"/>
  <c r="H153" i="67" s="1"/>
  <c r="H129" i="67"/>
  <c r="J160" i="67"/>
  <c r="J114" i="67"/>
  <c r="J113" i="67"/>
  <c r="J48" i="67"/>
  <c r="N148" i="67"/>
  <c r="N147" i="67"/>
  <c r="N146" i="67"/>
  <c r="J124" i="67"/>
  <c r="J111" i="67"/>
  <c r="H130" i="67"/>
  <c r="H162" i="67"/>
  <c r="H99" i="67"/>
  <c r="H31" i="67"/>
  <c r="P124" i="67"/>
  <c r="P111" i="67"/>
  <c r="Q160" i="67"/>
  <c r="Q114" i="67"/>
  <c r="Q113" i="67"/>
  <c r="Q48" i="67"/>
  <c r="M148" i="67"/>
  <c r="M147" i="67"/>
  <c r="M146" i="67"/>
  <c r="L122" i="67"/>
  <c r="L121" i="67"/>
  <c r="H134" i="67"/>
  <c r="S162" i="67"/>
  <c r="S31" i="67"/>
  <c r="S130" i="67"/>
  <c r="S99" i="67"/>
  <c r="S100" i="67" s="1"/>
  <c r="S103" i="67" s="1"/>
  <c r="L148" i="67"/>
  <c r="L149" i="67"/>
  <c r="L150" i="67"/>
  <c r="L146" i="67"/>
  <c r="L151" i="67"/>
  <c r="L147" i="67"/>
  <c r="K99" i="67"/>
  <c r="K100" i="67" s="1"/>
  <c r="Q96" i="67"/>
  <c r="Q97" i="67" s="1"/>
  <c r="P102" i="67"/>
  <c r="N103" i="67"/>
  <c r="L102" i="67"/>
  <c r="K111" i="67"/>
  <c r="K124" i="67"/>
  <c r="K160" i="67"/>
  <c r="K114" i="67"/>
  <c r="K48" i="67"/>
  <c r="K113" i="67"/>
  <c r="S148" i="67"/>
  <c r="S147" i="67"/>
  <c r="S146" i="67"/>
  <c r="N160" i="67"/>
  <c r="N114" i="67"/>
  <c r="N113" i="67"/>
  <c r="N48" i="67"/>
  <c r="P162" i="67"/>
  <c r="P130" i="67"/>
  <c r="P99" i="67"/>
  <c r="Q100" i="67" s="1"/>
  <c r="Q103" i="67" s="1"/>
  <c r="P31" i="67"/>
  <c r="P146" i="67"/>
  <c r="P147" i="67"/>
  <c r="P148" i="67"/>
  <c r="I129" i="67"/>
  <c r="I133" i="67"/>
  <c r="I140" i="67" s="1"/>
  <c r="I145" i="67" s="1"/>
  <c r="I153" i="67" s="1"/>
  <c r="S122" i="67"/>
  <c r="S121" i="67"/>
  <c r="S160" i="67"/>
  <c r="S48" i="67"/>
  <c r="S113" i="67"/>
  <c r="S114" i="67"/>
  <c r="K151" i="67"/>
  <c r="K150" i="67"/>
  <c r="K149" i="67"/>
  <c r="K148" i="67"/>
  <c r="K147" i="67"/>
  <c r="K146" i="67"/>
  <c r="H160" i="67"/>
  <c r="H114" i="67"/>
  <c r="H113" i="67"/>
  <c r="H48" i="67"/>
  <c r="H51" i="67" s="1"/>
  <c r="R151" i="67"/>
  <c r="R150" i="67"/>
  <c r="R149" i="67"/>
  <c r="R148" i="67"/>
  <c r="R147" i="67"/>
  <c r="R146" i="67"/>
  <c r="N124" i="67"/>
  <c r="N111" i="67"/>
  <c r="Q122" i="67"/>
  <c r="Q121" i="67"/>
  <c r="I122" i="67"/>
  <c r="I121" i="67"/>
  <c r="L160" i="67"/>
  <c r="L114" i="67"/>
  <c r="L113" i="67"/>
  <c r="L48" i="67"/>
  <c r="P136" i="67"/>
  <c r="M160" i="67"/>
  <c r="M114" i="67"/>
  <c r="M113" i="67"/>
  <c r="M48" i="67"/>
  <c r="M124" i="67"/>
  <c r="M111" i="67"/>
  <c r="H138" i="67"/>
  <c r="P134" i="67"/>
  <c r="O162" i="67"/>
  <c r="O130" i="67"/>
  <c r="O99" i="67"/>
  <c r="O100" i="67" s="1"/>
  <c r="O103" i="67" s="1"/>
  <c r="O31" i="67"/>
  <c r="I100" i="67"/>
  <c r="I103" i="67" s="1"/>
  <c r="M96" i="67"/>
  <c r="M97" i="67" s="1"/>
  <c r="J103" i="67"/>
  <c r="J151" i="67"/>
  <c r="J150" i="67"/>
  <c r="J149" i="67"/>
  <c r="J148" i="67"/>
  <c r="J147" i="67"/>
  <c r="J146" i="67"/>
  <c r="K103" i="67"/>
  <c r="O160" i="67"/>
  <c r="O48" i="67"/>
  <c r="O114" i="67"/>
  <c r="O113" i="67"/>
  <c r="N122" i="67"/>
  <c r="N121" i="67"/>
  <c r="O122" i="67"/>
  <c r="O121" i="67"/>
  <c r="R160" i="67"/>
  <c r="R114" i="67"/>
  <c r="R113" i="67"/>
  <c r="R48" i="67"/>
  <c r="R106" i="67" s="1"/>
  <c r="R107" i="67" s="1"/>
  <c r="R124" i="67"/>
  <c r="R111" i="67"/>
  <c r="K32" i="67"/>
  <c r="J105" i="67"/>
  <c r="J57" i="67"/>
  <c r="J73" i="67" s="1"/>
  <c r="J92" i="67" s="1"/>
  <c r="K121" i="67"/>
  <c r="K122" i="67"/>
  <c r="I160" i="67"/>
  <c r="I114" i="67"/>
  <c r="I113" i="67"/>
  <c r="I48" i="67"/>
  <c r="Q148" i="67"/>
  <c r="Q147" i="67"/>
  <c r="Q146" i="67"/>
  <c r="I148" i="67"/>
  <c r="I147" i="67"/>
  <c r="I146" i="67"/>
  <c r="P138" i="67"/>
  <c r="H122" i="67"/>
  <c r="H121" i="67"/>
  <c r="L134" i="67"/>
  <c r="L164" i="67"/>
  <c r="L4" i="67"/>
  <c r="L124" i="67"/>
  <c r="L111" i="67"/>
  <c r="L94" i="67"/>
  <c r="L97" i="67" s="1"/>
  <c r="H148" i="67"/>
  <c r="H139" i="66"/>
  <c r="H97" i="66"/>
  <c r="H98" i="66" s="1"/>
  <c r="H18" i="66"/>
  <c r="R136" i="66"/>
  <c r="R107" i="66"/>
  <c r="N137" i="66"/>
  <c r="N104" i="66"/>
  <c r="N103" i="66"/>
  <c r="N138" i="66"/>
  <c r="N110" i="66"/>
  <c r="S134" i="66"/>
  <c r="S88" i="66"/>
  <c r="S92" i="66"/>
  <c r="S93" i="66"/>
  <c r="K113" i="66"/>
  <c r="K112" i="66"/>
  <c r="K116" i="66"/>
  <c r="K128" i="66"/>
  <c r="K117" i="66"/>
  <c r="K91" i="66"/>
  <c r="K89" i="66"/>
  <c r="N136" i="66"/>
  <c r="N107" i="66"/>
  <c r="R137" i="66"/>
  <c r="R104" i="66"/>
  <c r="R103" i="66"/>
  <c r="J27" i="66"/>
  <c r="S113" i="66"/>
  <c r="S112" i="66"/>
  <c r="S116" i="66"/>
  <c r="S128" i="66"/>
  <c r="S117" i="66"/>
  <c r="S89" i="66"/>
  <c r="S91" i="66"/>
  <c r="O133" i="66"/>
  <c r="O131" i="66"/>
  <c r="O118" i="66"/>
  <c r="O105" i="66"/>
  <c r="L97" i="66"/>
  <c r="L98" i="66" s="1"/>
  <c r="L139" i="66"/>
  <c r="K141" i="66"/>
  <c r="K19" i="66"/>
  <c r="K29" i="66"/>
  <c r="J87" i="66"/>
  <c r="J95" i="66" s="1"/>
  <c r="J57" i="66"/>
  <c r="J73" i="66" s="1"/>
  <c r="K46" i="66"/>
  <c r="J136" i="66"/>
  <c r="J107" i="66"/>
  <c r="J137" i="66"/>
  <c r="J104" i="66"/>
  <c r="J103" i="66"/>
  <c r="J138" i="66"/>
  <c r="J110" i="66"/>
  <c r="R138" i="66"/>
  <c r="R110" i="66"/>
  <c r="O113" i="66"/>
  <c r="O112" i="66"/>
  <c r="O128" i="66"/>
  <c r="O117" i="66"/>
  <c r="O116" i="66"/>
  <c r="O91" i="66"/>
  <c r="O89" i="66"/>
  <c r="K133" i="66"/>
  <c r="K131" i="66"/>
  <c r="K118" i="66"/>
  <c r="K105" i="66"/>
  <c r="S133" i="66"/>
  <c r="S131" i="66"/>
  <c r="S118" i="66"/>
  <c r="S105" i="66"/>
  <c r="P139" i="66"/>
  <c r="P97" i="66"/>
  <c r="P98" i="66" s="1"/>
  <c r="N142" i="66"/>
  <c r="N114" i="66"/>
  <c r="N108" i="66"/>
  <c r="N18" i="66"/>
  <c r="N31" i="66" s="1"/>
  <c r="R142" i="66"/>
  <c r="R114" i="66"/>
  <c r="R108" i="66"/>
  <c r="R18" i="66"/>
  <c r="R31" i="66" s="1"/>
  <c r="K32" i="66"/>
  <c r="O46" i="66"/>
  <c r="S48" i="66"/>
  <c r="S51" i="66" s="1"/>
  <c r="S99" i="66"/>
  <c r="S100" i="66"/>
  <c r="K110" i="66"/>
  <c r="K138" i="66"/>
  <c r="O110" i="66"/>
  <c r="O138" i="66"/>
  <c r="S110" i="66"/>
  <c r="S138" i="66"/>
  <c r="I139" i="66"/>
  <c r="I97" i="66"/>
  <c r="I98" i="66" s="1"/>
  <c r="M139" i="66"/>
  <c r="M97" i="66"/>
  <c r="M98" i="66" s="1"/>
  <c r="Q139" i="66"/>
  <c r="Q97" i="66"/>
  <c r="Q98" i="66" s="1"/>
  <c r="O142" i="66"/>
  <c r="O114" i="66"/>
  <c r="S142" i="66"/>
  <c r="S114" i="66"/>
  <c r="O31" i="66"/>
  <c r="S31" i="66"/>
  <c r="H113" i="66"/>
  <c r="H116" i="66"/>
  <c r="H112" i="66"/>
  <c r="L112" i="66"/>
  <c r="L128" i="66"/>
  <c r="L117" i="66"/>
  <c r="L113" i="66"/>
  <c r="P113" i="66"/>
  <c r="P116" i="66"/>
  <c r="P112" i="66"/>
  <c r="H133" i="66"/>
  <c r="H131" i="66"/>
  <c r="H118" i="66"/>
  <c r="H105" i="66"/>
  <c r="P133" i="66"/>
  <c r="P131" i="66"/>
  <c r="P118" i="66"/>
  <c r="P105" i="66"/>
  <c r="H46" i="66"/>
  <c r="L46" i="66"/>
  <c r="P46" i="66"/>
  <c r="H85" i="66"/>
  <c r="H109" i="66"/>
  <c r="H115" i="66" s="1"/>
  <c r="H119" i="66" s="1"/>
  <c r="H127" i="66" s="1"/>
  <c r="H106" i="66"/>
  <c r="H89" i="66"/>
  <c r="L89" i="66"/>
  <c r="P89" i="66"/>
  <c r="H91" i="66"/>
  <c r="L91" i="66"/>
  <c r="P91" i="66"/>
  <c r="K104" i="66"/>
  <c r="I110" i="66"/>
  <c r="H117" i="66"/>
  <c r="L122" i="66"/>
  <c r="P128" i="66"/>
  <c r="L133" i="66"/>
  <c r="H136" i="66"/>
  <c r="L104" i="66"/>
  <c r="L103" i="66"/>
  <c r="P137" i="66"/>
  <c r="P104" i="66"/>
  <c r="P103" i="66"/>
  <c r="H110" i="66"/>
  <c r="L138" i="66"/>
  <c r="L110" i="66"/>
  <c r="P110" i="66"/>
  <c r="J139" i="66"/>
  <c r="J97" i="66"/>
  <c r="J98" i="66" s="1"/>
  <c r="N139" i="66"/>
  <c r="N97" i="66"/>
  <c r="N98" i="66" s="1"/>
  <c r="R139" i="66"/>
  <c r="R97" i="66"/>
  <c r="R98" i="66" s="1"/>
  <c r="H142" i="66"/>
  <c r="H114" i="66"/>
  <c r="H108" i="66"/>
  <c r="P142" i="66"/>
  <c r="P114" i="66"/>
  <c r="P108" i="66"/>
  <c r="H31" i="66"/>
  <c r="P31" i="66"/>
  <c r="I128" i="66"/>
  <c r="I117" i="66"/>
  <c r="I116" i="66"/>
  <c r="I112" i="66"/>
  <c r="M128" i="66"/>
  <c r="M117" i="66"/>
  <c r="M116" i="66"/>
  <c r="M113" i="66"/>
  <c r="Q128" i="66"/>
  <c r="Q117" i="66"/>
  <c r="Q116" i="66"/>
  <c r="Q112" i="66"/>
  <c r="I133" i="66"/>
  <c r="I131" i="66"/>
  <c r="I118" i="66"/>
  <c r="I105" i="66"/>
  <c r="M133" i="66"/>
  <c r="M131" i="66"/>
  <c r="M118" i="66"/>
  <c r="M105" i="66"/>
  <c r="Q133" i="66"/>
  <c r="Q131" i="66"/>
  <c r="Q118" i="66"/>
  <c r="Q105" i="66"/>
  <c r="I46" i="66"/>
  <c r="M46" i="66"/>
  <c r="Q46" i="66"/>
  <c r="I57" i="66"/>
  <c r="I73" i="66" s="1"/>
  <c r="I85" i="66"/>
  <c r="I87" i="66"/>
  <c r="I95" i="66" s="1"/>
  <c r="I89" i="66"/>
  <c r="M89" i="66"/>
  <c r="Q89" i="66"/>
  <c r="I91" i="66"/>
  <c r="M91" i="66"/>
  <c r="Q91" i="66"/>
  <c r="I94" i="66"/>
  <c r="K103" i="66"/>
  <c r="O104" i="66"/>
  <c r="K107" i="66"/>
  <c r="O108" i="66"/>
  <c r="Q110" i="66"/>
  <c r="I113" i="66"/>
  <c r="P117" i="66"/>
  <c r="L131" i="66"/>
  <c r="P136" i="66"/>
  <c r="L125" i="66"/>
  <c r="L123" i="66"/>
  <c r="L121" i="66"/>
  <c r="L124" i="66"/>
  <c r="L136" i="66"/>
  <c r="L107" i="66"/>
  <c r="H137" i="66"/>
  <c r="H104" i="66"/>
  <c r="H103" i="66"/>
  <c r="I136" i="66"/>
  <c r="I107" i="66"/>
  <c r="M136" i="66"/>
  <c r="M107" i="66"/>
  <c r="Q136" i="66"/>
  <c r="Q107" i="66"/>
  <c r="I137" i="66"/>
  <c r="I104" i="66"/>
  <c r="I103" i="66"/>
  <c r="M137" i="66"/>
  <c r="M104" i="66"/>
  <c r="M103" i="66"/>
  <c r="Q137" i="66"/>
  <c r="Q104" i="66"/>
  <c r="Q103" i="66"/>
  <c r="M138" i="66"/>
  <c r="M110" i="66"/>
  <c r="I27" i="66"/>
  <c r="M142" i="66"/>
  <c r="M114" i="66"/>
  <c r="M108" i="66"/>
  <c r="Q142" i="66"/>
  <c r="Q114" i="66"/>
  <c r="Q108" i="66"/>
  <c r="M31" i="66"/>
  <c r="Q31" i="66"/>
  <c r="J128" i="66"/>
  <c r="J117" i="66"/>
  <c r="J116" i="66"/>
  <c r="J113" i="66"/>
  <c r="J112" i="66"/>
  <c r="N128" i="66"/>
  <c r="N117" i="66"/>
  <c r="N116" i="66"/>
  <c r="N113" i="66"/>
  <c r="N112" i="66"/>
  <c r="R128" i="66"/>
  <c r="R117" i="66"/>
  <c r="R116" i="66"/>
  <c r="R113" i="66"/>
  <c r="R112" i="66"/>
  <c r="J133" i="66"/>
  <c r="J131" i="66"/>
  <c r="J118" i="66"/>
  <c r="J105" i="66"/>
  <c r="N133" i="66"/>
  <c r="N131" i="66"/>
  <c r="N118" i="66"/>
  <c r="N105" i="66"/>
  <c r="R133" i="66"/>
  <c r="R131" i="66"/>
  <c r="R118" i="66"/>
  <c r="R105" i="66"/>
  <c r="J46" i="66"/>
  <c r="N46" i="66"/>
  <c r="R46" i="66"/>
  <c r="J85" i="66"/>
  <c r="J89" i="66"/>
  <c r="N89" i="66"/>
  <c r="R89" i="66"/>
  <c r="J91" i="66"/>
  <c r="N91" i="66"/>
  <c r="R91" i="66"/>
  <c r="O97" i="66"/>
  <c r="O98" i="66" s="1"/>
  <c r="O103" i="66"/>
  <c r="S104" i="66"/>
  <c r="O107" i="66"/>
  <c r="S108" i="66"/>
  <c r="Q113" i="66"/>
  <c r="L118" i="66"/>
  <c r="L137" i="66"/>
  <c r="S167" i="65"/>
  <c r="R167" i="65"/>
  <c r="Q167" i="65"/>
  <c r="P167" i="65"/>
  <c r="O167" i="65"/>
  <c r="N167" i="65"/>
  <c r="M167" i="65"/>
  <c r="L167" i="65"/>
  <c r="K167" i="65"/>
  <c r="J167" i="65"/>
  <c r="I167" i="65"/>
  <c r="H167" i="65"/>
  <c r="S166" i="65"/>
  <c r="R166" i="65"/>
  <c r="Q166" i="65"/>
  <c r="P166" i="65"/>
  <c r="O166" i="65"/>
  <c r="N166" i="65"/>
  <c r="M166" i="65"/>
  <c r="L166" i="65"/>
  <c r="K166" i="65"/>
  <c r="J166" i="65"/>
  <c r="I166" i="65"/>
  <c r="H166" i="65"/>
  <c r="N156" i="65"/>
  <c r="M156" i="65"/>
  <c r="L156" i="65"/>
  <c r="K156" i="65"/>
  <c r="J156" i="65"/>
  <c r="I156" i="65"/>
  <c r="H156" i="65"/>
  <c r="S155" i="65"/>
  <c r="R155" i="65"/>
  <c r="Q155" i="65"/>
  <c r="P155" i="65"/>
  <c r="O155" i="65"/>
  <c r="N155" i="65"/>
  <c r="M155" i="65"/>
  <c r="L155" i="65"/>
  <c r="K155" i="65"/>
  <c r="J155" i="65"/>
  <c r="I155" i="65"/>
  <c r="H155" i="65"/>
  <c r="H143" i="65"/>
  <c r="E138" i="65"/>
  <c r="S135" i="65"/>
  <c r="R135" i="65"/>
  <c r="Q135" i="65"/>
  <c r="P135" i="65"/>
  <c r="O135" i="65"/>
  <c r="N135" i="65"/>
  <c r="M135" i="65"/>
  <c r="L135" i="65"/>
  <c r="K135" i="65"/>
  <c r="J135" i="65"/>
  <c r="I135" i="65"/>
  <c r="H135" i="65"/>
  <c r="K126" i="65"/>
  <c r="S123" i="65"/>
  <c r="R123" i="65"/>
  <c r="Q123" i="65"/>
  <c r="P123" i="65"/>
  <c r="O123" i="65"/>
  <c r="N123" i="65"/>
  <c r="M123" i="65"/>
  <c r="L123" i="65"/>
  <c r="K123" i="65"/>
  <c r="J123" i="65"/>
  <c r="I123" i="65"/>
  <c r="H123" i="65"/>
  <c r="S119" i="65"/>
  <c r="S120" i="65" s="1"/>
  <c r="S118" i="65"/>
  <c r="R118" i="65"/>
  <c r="Q118" i="65"/>
  <c r="P118" i="65"/>
  <c r="N118" i="65"/>
  <c r="M118" i="65"/>
  <c r="L118" i="65"/>
  <c r="K118" i="65"/>
  <c r="J118" i="65"/>
  <c r="I118" i="65"/>
  <c r="H118" i="65"/>
  <c r="N115" i="65"/>
  <c r="M115" i="65"/>
  <c r="L115" i="65"/>
  <c r="K115" i="65"/>
  <c r="J115" i="65"/>
  <c r="I115" i="65"/>
  <c r="H115" i="65"/>
  <c r="I112" i="65"/>
  <c r="H105" i="65"/>
  <c r="H117" i="65" s="1"/>
  <c r="K93" i="65"/>
  <c r="N90" i="65"/>
  <c r="M90" i="65"/>
  <c r="L90" i="65"/>
  <c r="L91" i="65" s="1"/>
  <c r="K90" i="65"/>
  <c r="J90" i="65"/>
  <c r="I90" i="65"/>
  <c r="S89" i="65"/>
  <c r="R89" i="65"/>
  <c r="Q89" i="65"/>
  <c r="P89" i="65"/>
  <c r="O89" i="65"/>
  <c r="N89" i="65"/>
  <c r="M89" i="65"/>
  <c r="L89" i="65"/>
  <c r="K89" i="65"/>
  <c r="J89" i="65"/>
  <c r="I89" i="65"/>
  <c r="S88" i="65"/>
  <c r="R88" i="65"/>
  <c r="Q88" i="65"/>
  <c r="P88" i="65"/>
  <c r="O88" i="65"/>
  <c r="N88" i="65"/>
  <c r="M88" i="65"/>
  <c r="L88" i="65"/>
  <c r="K88" i="65"/>
  <c r="J88" i="65"/>
  <c r="I88" i="65"/>
  <c r="S87" i="65"/>
  <c r="R87" i="65"/>
  <c r="Q87" i="65"/>
  <c r="P87" i="65"/>
  <c r="O87" i="65"/>
  <c r="N87" i="65"/>
  <c r="M87" i="65"/>
  <c r="L87" i="65"/>
  <c r="K87" i="65"/>
  <c r="J87" i="65"/>
  <c r="I87" i="65"/>
  <c r="S86" i="65"/>
  <c r="R86" i="65"/>
  <c r="Q86" i="65"/>
  <c r="P86" i="65"/>
  <c r="O86" i="65"/>
  <c r="N86" i="65"/>
  <c r="M86" i="65"/>
  <c r="L86" i="65"/>
  <c r="K86" i="65"/>
  <c r="J86" i="65"/>
  <c r="I86" i="65"/>
  <c r="H86" i="65"/>
  <c r="S71" i="65"/>
  <c r="R71" i="65"/>
  <c r="Q71" i="65"/>
  <c r="P71" i="65"/>
  <c r="O71" i="65"/>
  <c r="N71" i="65"/>
  <c r="M71" i="65"/>
  <c r="L71" i="65"/>
  <c r="K71" i="65"/>
  <c r="J71" i="65"/>
  <c r="I71" i="65"/>
  <c r="H71" i="65"/>
  <c r="H57" i="65"/>
  <c r="H73" i="65" s="1"/>
  <c r="H92" i="65" s="1"/>
  <c r="S43" i="65"/>
  <c r="R43" i="65"/>
  <c r="Q43" i="65"/>
  <c r="P43" i="65"/>
  <c r="O43" i="65"/>
  <c r="O41" i="65" s="1"/>
  <c r="O158" i="65" s="1"/>
  <c r="S41" i="65"/>
  <c r="S158" i="65" s="1"/>
  <c r="R41" i="65"/>
  <c r="R158" i="65" s="1"/>
  <c r="Q41" i="65"/>
  <c r="Q158" i="65" s="1"/>
  <c r="P41" i="65"/>
  <c r="P158" i="65" s="1"/>
  <c r="N41" i="65"/>
  <c r="N158" i="65" s="1"/>
  <c r="M41" i="65"/>
  <c r="M158" i="65" s="1"/>
  <c r="L41" i="65"/>
  <c r="L158" i="65" s="1"/>
  <c r="K41" i="65"/>
  <c r="K158" i="65" s="1"/>
  <c r="J41" i="65"/>
  <c r="J158" i="65" s="1"/>
  <c r="I41" i="65"/>
  <c r="I158" i="65" s="1"/>
  <c r="H41" i="65"/>
  <c r="H158" i="65" s="1"/>
  <c r="S38" i="65"/>
  <c r="R38" i="65"/>
  <c r="Q38" i="65"/>
  <c r="P38" i="65"/>
  <c r="O38" i="65"/>
  <c r="N38" i="65"/>
  <c r="M38" i="65"/>
  <c r="L38" i="65"/>
  <c r="K38" i="65"/>
  <c r="J38" i="65"/>
  <c r="I38" i="65"/>
  <c r="H38" i="65"/>
  <c r="S36" i="65"/>
  <c r="R36" i="65"/>
  <c r="Q36" i="65"/>
  <c r="P36" i="65"/>
  <c r="P33" i="65" s="1"/>
  <c r="O36" i="65"/>
  <c r="S33" i="65"/>
  <c r="Q33" i="65"/>
  <c r="Q112" i="65" s="1"/>
  <c r="O33" i="65"/>
  <c r="O137" i="65" s="1"/>
  <c r="N33" i="65"/>
  <c r="N46" i="65" s="1"/>
  <c r="M33" i="65"/>
  <c r="L33" i="65"/>
  <c r="K33" i="65"/>
  <c r="K110" i="65" s="1"/>
  <c r="J33" i="65"/>
  <c r="I33" i="65"/>
  <c r="H33" i="65"/>
  <c r="I32" i="65"/>
  <c r="I57" i="65" s="1"/>
  <c r="I73" i="65" s="1"/>
  <c r="I92" i="65" s="1"/>
  <c r="P29" i="65"/>
  <c r="P115" i="65" s="1"/>
  <c r="O29" i="65"/>
  <c r="O27" i="65"/>
  <c r="O101" i="65" s="1"/>
  <c r="N27" i="65"/>
  <c r="M27" i="65"/>
  <c r="L27" i="65"/>
  <c r="K27" i="65"/>
  <c r="J27" i="65"/>
  <c r="I27" i="65"/>
  <c r="H27" i="65"/>
  <c r="I21" i="65"/>
  <c r="H21" i="65"/>
  <c r="S19" i="65"/>
  <c r="R19" i="65"/>
  <c r="Q19" i="65"/>
  <c r="P19" i="65"/>
  <c r="O19" i="65"/>
  <c r="N19" i="65"/>
  <c r="M19" i="65"/>
  <c r="L19" i="65"/>
  <c r="L95" i="65" s="1"/>
  <c r="K19" i="65"/>
  <c r="J19" i="65"/>
  <c r="I19" i="65"/>
  <c r="H19" i="65"/>
  <c r="H95" i="65" s="1"/>
  <c r="N18" i="65"/>
  <c r="M18" i="65"/>
  <c r="L18" i="65"/>
  <c r="J18" i="65"/>
  <c r="I18" i="65"/>
  <c r="H18" i="65"/>
  <c r="S10" i="65"/>
  <c r="S4" i="65" s="1"/>
  <c r="R10" i="65"/>
  <c r="Q10" i="65"/>
  <c r="P10" i="65"/>
  <c r="O10" i="65"/>
  <c r="N10" i="65"/>
  <c r="M10" i="65"/>
  <c r="L10" i="65"/>
  <c r="K10" i="65"/>
  <c r="K4" i="65" s="1"/>
  <c r="J10" i="65"/>
  <c r="I10" i="65"/>
  <c r="H10" i="65"/>
  <c r="O6" i="65"/>
  <c r="O118" i="65" s="1"/>
  <c r="S5" i="65"/>
  <c r="R5" i="65"/>
  <c r="Q5" i="65"/>
  <c r="P5" i="65"/>
  <c r="N5" i="65"/>
  <c r="M5" i="65"/>
  <c r="L5" i="65"/>
  <c r="K5" i="65"/>
  <c r="J5" i="65"/>
  <c r="I5" i="65"/>
  <c r="H5" i="65"/>
  <c r="R4" i="65"/>
  <c r="P4" i="65"/>
  <c r="N4" i="65"/>
  <c r="L4" i="65"/>
  <c r="J4" i="65"/>
  <c r="H4" i="65"/>
  <c r="H31" i="65" s="1"/>
  <c r="O106" i="67" l="1"/>
  <c r="O107" i="67" s="1"/>
  <c r="O51" i="67"/>
  <c r="P106" i="67"/>
  <c r="P107" i="67" s="1"/>
  <c r="P51" i="67"/>
  <c r="L162" i="67"/>
  <c r="L130" i="67"/>
  <c r="L99" i="67"/>
  <c r="L31" i="67"/>
  <c r="L136" i="67"/>
  <c r="L138" i="67"/>
  <c r="K106" i="67"/>
  <c r="K107" i="67" s="1"/>
  <c r="K51" i="67"/>
  <c r="J106" i="67"/>
  <c r="J107" i="67" s="1"/>
  <c r="J51" i="67"/>
  <c r="J117" i="67"/>
  <c r="J109" i="67"/>
  <c r="M106" i="67"/>
  <c r="M107" i="67" s="1"/>
  <c r="M51" i="67"/>
  <c r="N106" i="67"/>
  <c r="N107" i="67" s="1"/>
  <c r="N51" i="67"/>
  <c r="I106" i="67"/>
  <c r="I107" i="67" s="1"/>
  <c r="I51" i="67"/>
  <c r="K57" i="67"/>
  <c r="K73" i="67" s="1"/>
  <c r="K92" i="67" s="1"/>
  <c r="K105" i="67"/>
  <c r="L32" i="67"/>
  <c r="L106" i="67"/>
  <c r="L107" i="67" s="1"/>
  <c r="L51" i="67"/>
  <c r="H52" i="67"/>
  <c r="H161" i="67"/>
  <c r="H149" i="67"/>
  <c r="H151" i="67"/>
  <c r="H150" i="67"/>
  <c r="S106" i="67"/>
  <c r="S107" i="67" s="1"/>
  <c r="S51" i="67"/>
  <c r="P100" i="67"/>
  <c r="P103" i="67" s="1"/>
  <c r="Q106" i="67"/>
  <c r="Q107" i="67" s="1"/>
  <c r="Q51" i="67"/>
  <c r="R102" i="66"/>
  <c r="R90" i="66"/>
  <c r="M102" i="66"/>
  <c r="M90" i="66"/>
  <c r="J100" i="66"/>
  <c r="J99" i="66"/>
  <c r="K94" i="66"/>
  <c r="L29" i="66"/>
  <c r="K27" i="66"/>
  <c r="L100" i="66"/>
  <c r="L99" i="66"/>
  <c r="J142" i="66"/>
  <c r="J114" i="66"/>
  <c r="J108" i="66"/>
  <c r="J18" i="66"/>
  <c r="J31" i="66" s="1"/>
  <c r="N102" i="66"/>
  <c r="N90" i="66"/>
  <c r="N134" i="66"/>
  <c r="N93" i="66"/>
  <c r="N92" i="66"/>
  <c r="N88" i="66"/>
  <c r="N48" i="66"/>
  <c r="N51" i="66" s="1"/>
  <c r="R125" i="66"/>
  <c r="R124" i="66"/>
  <c r="R123" i="66"/>
  <c r="R122" i="66"/>
  <c r="R121" i="66"/>
  <c r="R120" i="66"/>
  <c r="I102" i="66"/>
  <c r="I90" i="66"/>
  <c r="Q134" i="66"/>
  <c r="Q93" i="66"/>
  <c r="Q88" i="66"/>
  <c r="Q48" i="66"/>
  <c r="Q51" i="66" s="1"/>
  <c r="Q92" i="66"/>
  <c r="Q125" i="66"/>
  <c r="Q124" i="66"/>
  <c r="Q123" i="66"/>
  <c r="Q122" i="66"/>
  <c r="Q121" i="66"/>
  <c r="Q120" i="66"/>
  <c r="M125" i="66"/>
  <c r="M124" i="66"/>
  <c r="M123" i="66"/>
  <c r="M122" i="66"/>
  <c r="M121" i="66"/>
  <c r="M120" i="66"/>
  <c r="I125" i="66"/>
  <c r="I124" i="66"/>
  <c r="I123" i="66"/>
  <c r="I122" i="66"/>
  <c r="I121" i="66"/>
  <c r="I120" i="66"/>
  <c r="P102" i="66"/>
  <c r="P90" i="66"/>
  <c r="H93" i="66"/>
  <c r="H134" i="66"/>
  <c r="H92" i="66"/>
  <c r="H88" i="66"/>
  <c r="H48" i="66"/>
  <c r="H51" i="66" s="1"/>
  <c r="M100" i="66"/>
  <c r="M99" i="66"/>
  <c r="S135" i="66"/>
  <c r="S52" i="66"/>
  <c r="P100" i="66"/>
  <c r="P99" i="66"/>
  <c r="K134" i="66"/>
  <c r="K92" i="66"/>
  <c r="K88" i="66"/>
  <c r="K93" i="66"/>
  <c r="K48" i="66"/>
  <c r="K51" i="66" s="1"/>
  <c r="K139" i="66"/>
  <c r="K18" i="66"/>
  <c r="K31" i="66" s="1"/>
  <c r="K97" i="66"/>
  <c r="K98" i="66" s="1"/>
  <c r="S124" i="66"/>
  <c r="S122" i="66"/>
  <c r="S120" i="66"/>
  <c r="S125" i="66"/>
  <c r="S123" i="66"/>
  <c r="S121" i="66"/>
  <c r="R100" i="66"/>
  <c r="R99" i="66"/>
  <c r="O90" i="66"/>
  <c r="O102" i="66"/>
  <c r="I109" i="66"/>
  <c r="I115" i="66" s="1"/>
  <c r="I119" i="66" s="1"/>
  <c r="I127" i="66" s="1"/>
  <c r="I106" i="66"/>
  <c r="M134" i="66"/>
  <c r="M92" i="66"/>
  <c r="M88" i="66"/>
  <c r="M48" i="66"/>
  <c r="M51" i="66" s="1"/>
  <c r="M93" i="66"/>
  <c r="N100" i="66"/>
  <c r="N99" i="66"/>
  <c r="L102" i="66"/>
  <c r="L90" i="66"/>
  <c r="H124" i="66"/>
  <c r="H122" i="66"/>
  <c r="H120" i="66"/>
  <c r="H121" i="66"/>
  <c r="H123" i="66"/>
  <c r="H125" i="66"/>
  <c r="O134" i="66"/>
  <c r="O93" i="66"/>
  <c r="O92" i="66"/>
  <c r="O88" i="66"/>
  <c r="O48" i="66"/>
  <c r="O51" i="66" s="1"/>
  <c r="O125" i="66"/>
  <c r="O123" i="66"/>
  <c r="O121" i="66"/>
  <c r="O124" i="66"/>
  <c r="O122" i="66"/>
  <c r="O120" i="66"/>
  <c r="S102" i="66"/>
  <c r="S90" i="66"/>
  <c r="H100" i="66"/>
  <c r="H99" i="66"/>
  <c r="O99" i="66"/>
  <c r="O100" i="66"/>
  <c r="R134" i="66"/>
  <c r="R93" i="66"/>
  <c r="R92" i="66"/>
  <c r="R88" i="66"/>
  <c r="R48" i="66"/>
  <c r="R51" i="66" s="1"/>
  <c r="L134" i="66"/>
  <c r="L93" i="66"/>
  <c r="L92" i="66"/>
  <c r="L88" i="66"/>
  <c r="L48" i="66"/>
  <c r="L51" i="66" s="1"/>
  <c r="J102" i="66"/>
  <c r="J90" i="66"/>
  <c r="J134" i="66"/>
  <c r="J93" i="66"/>
  <c r="J92" i="66"/>
  <c r="J88" i="66"/>
  <c r="J48" i="66"/>
  <c r="J51" i="66" s="1"/>
  <c r="N125" i="66"/>
  <c r="N124" i="66"/>
  <c r="N123" i="66"/>
  <c r="N122" i="66"/>
  <c r="N121" i="66"/>
  <c r="N120" i="66"/>
  <c r="J125" i="66"/>
  <c r="J124" i="66"/>
  <c r="J123" i="66"/>
  <c r="J122" i="66"/>
  <c r="J121" i="66"/>
  <c r="J120" i="66"/>
  <c r="I142" i="66"/>
  <c r="I114" i="66"/>
  <c r="I108" i="66"/>
  <c r="I18" i="66"/>
  <c r="I31" i="66" s="1"/>
  <c r="Q102" i="66"/>
  <c r="Q90" i="66"/>
  <c r="I134" i="66"/>
  <c r="I93" i="66"/>
  <c r="I92" i="66"/>
  <c r="I88" i="66"/>
  <c r="I48" i="66"/>
  <c r="I51" i="66" s="1"/>
  <c r="H102" i="66"/>
  <c r="H90" i="66"/>
  <c r="P93" i="66"/>
  <c r="P92" i="66"/>
  <c r="P134" i="66"/>
  <c r="P88" i="66"/>
  <c r="P48" i="66"/>
  <c r="P51" i="66" s="1"/>
  <c r="P124" i="66"/>
  <c r="P122" i="66"/>
  <c r="P120" i="66"/>
  <c r="P123" i="66"/>
  <c r="P121" i="66"/>
  <c r="P125" i="66"/>
  <c r="Q100" i="66"/>
  <c r="Q99" i="66"/>
  <c r="I100" i="66"/>
  <c r="I99" i="66"/>
  <c r="K87" i="66"/>
  <c r="K95" i="66" s="1"/>
  <c r="L32" i="66"/>
  <c r="K57" i="66"/>
  <c r="K73" i="66" s="1"/>
  <c r="J109" i="66"/>
  <c r="J115" i="66" s="1"/>
  <c r="J119" i="66" s="1"/>
  <c r="J127" i="66" s="1"/>
  <c r="J106" i="66"/>
  <c r="K102" i="66"/>
  <c r="K90" i="66"/>
  <c r="K124" i="66"/>
  <c r="K122" i="66"/>
  <c r="K120" i="66"/>
  <c r="K125" i="66"/>
  <c r="K123" i="66"/>
  <c r="K121" i="66"/>
  <c r="K162" i="65"/>
  <c r="K130" i="65"/>
  <c r="K99" i="65"/>
  <c r="K31" i="65"/>
  <c r="P137" i="65"/>
  <c r="P136" i="65"/>
  <c r="P154" i="65"/>
  <c r="P112" i="65"/>
  <c r="P110" i="65"/>
  <c r="P141" i="65"/>
  <c r="P46" i="65"/>
  <c r="K111" i="65"/>
  <c r="K124" i="65"/>
  <c r="S162" i="65"/>
  <c r="S130" i="65"/>
  <c r="N160" i="65"/>
  <c r="N114" i="65"/>
  <c r="N113" i="65"/>
  <c r="N48" i="65"/>
  <c r="R162" i="65"/>
  <c r="R130" i="65"/>
  <c r="R163" i="65"/>
  <c r="R126" i="65"/>
  <c r="R125" i="65"/>
  <c r="R93" i="65"/>
  <c r="I165" i="65"/>
  <c r="I119" i="65"/>
  <c r="I120" i="65" s="1"/>
  <c r="I95" i="65"/>
  <c r="I96" i="65" s="1"/>
  <c r="J31" i="65"/>
  <c r="S154" i="65"/>
  <c r="S141" i="65"/>
  <c r="S137" i="65"/>
  <c r="S136" i="65"/>
  <c r="S46" i="65"/>
  <c r="S112" i="65"/>
  <c r="S110" i="65"/>
  <c r="R159" i="65"/>
  <c r="R157" i="65"/>
  <c r="R127" i="65"/>
  <c r="R143" i="65"/>
  <c r="R99" i="65"/>
  <c r="S121" i="65"/>
  <c r="K163" i="65"/>
  <c r="K125" i="65"/>
  <c r="O5" i="65"/>
  <c r="S163" i="65"/>
  <c r="S125" i="65"/>
  <c r="S126" i="65"/>
  <c r="J164" i="65"/>
  <c r="J134" i="65"/>
  <c r="N164" i="65"/>
  <c r="N134" i="65"/>
  <c r="R164" i="65"/>
  <c r="R134" i="65"/>
  <c r="J165" i="65"/>
  <c r="J119" i="65"/>
  <c r="J120" i="65" s="1"/>
  <c r="J95" i="65"/>
  <c r="J96" i="65" s="1"/>
  <c r="N165" i="65"/>
  <c r="N119" i="65"/>
  <c r="N120" i="65" s="1"/>
  <c r="N95" i="65"/>
  <c r="R165" i="65"/>
  <c r="R119" i="65"/>
  <c r="R120" i="65" s="1"/>
  <c r="R95" i="65"/>
  <c r="H168" i="65"/>
  <c r="H131" i="65"/>
  <c r="H138" i="65"/>
  <c r="H101" i="65"/>
  <c r="L168" i="65"/>
  <c r="L138" i="65"/>
  <c r="L131" i="65"/>
  <c r="L101" i="65"/>
  <c r="P27" i="65"/>
  <c r="O90" i="65"/>
  <c r="O115" i="65"/>
  <c r="H137" i="65"/>
  <c r="H136" i="65"/>
  <c r="H154" i="65"/>
  <c r="H142" i="65"/>
  <c r="H112" i="65"/>
  <c r="H141" i="65"/>
  <c r="H110" i="65"/>
  <c r="L137" i="65"/>
  <c r="L136" i="65"/>
  <c r="L141" i="65"/>
  <c r="L112" i="65"/>
  <c r="L142" i="65"/>
  <c r="L154" i="65"/>
  <c r="L110" i="65"/>
  <c r="O156" i="65"/>
  <c r="O142" i="65"/>
  <c r="S156" i="65"/>
  <c r="S142" i="65"/>
  <c r="K159" i="65"/>
  <c r="K157" i="65"/>
  <c r="K143" i="65"/>
  <c r="K127" i="65"/>
  <c r="O159" i="65"/>
  <c r="O157" i="65"/>
  <c r="O143" i="65"/>
  <c r="S159" i="65"/>
  <c r="S157" i="65"/>
  <c r="S143" i="65"/>
  <c r="S127" i="65"/>
  <c r="L46" i="65"/>
  <c r="I105" i="65"/>
  <c r="O127" i="65"/>
  <c r="N162" i="65"/>
  <c r="N130" i="65"/>
  <c r="N163" i="65"/>
  <c r="N126" i="65"/>
  <c r="N125" i="65"/>
  <c r="N93" i="65"/>
  <c r="M164" i="65"/>
  <c r="Q164" i="65"/>
  <c r="Q165" i="65"/>
  <c r="Q119" i="65"/>
  <c r="Q120" i="65" s="1"/>
  <c r="Q95" i="65"/>
  <c r="O168" i="65"/>
  <c r="O131" i="65"/>
  <c r="N31" i="65"/>
  <c r="O154" i="65"/>
  <c r="O141" i="65"/>
  <c r="O112" i="65"/>
  <c r="O110" i="65"/>
  <c r="O46" i="65"/>
  <c r="J159" i="65"/>
  <c r="J157" i="65"/>
  <c r="J127" i="65"/>
  <c r="J143" i="65"/>
  <c r="J46" i="65"/>
  <c r="L162" i="65"/>
  <c r="L130" i="65"/>
  <c r="H126" i="65"/>
  <c r="H125" i="65"/>
  <c r="H163" i="65"/>
  <c r="H93" i="65"/>
  <c r="H99" i="65" s="1"/>
  <c r="P163" i="65"/>
  <c r="P126" i="65"/>
  <c r="P125" i="65"/>
  <c r="P93" i="65"/>
  <c r="K164" i="65"/>
  <c r="K134" i="65"/>
  <c r="S164" i="65"/>
  <c r="S134" i="65"/>
  <c r="O18" i="65"/>
  <c r="K165" i="65"/>
  <c r="K95" i="65"/>
  <c r="K119" i="65"/>
  <c r="K120" i="65" s="1"/>
  <c r="O165" i="65"/>
  <c r="O119" i="65"/>
  <c r="O120" i="65" s="1"/>
  <c r="O95" i="65"/>
  <c r="O96" i="65" s="1"/>
  <c r="S165" i="65"/>
  <c r="S95" i="65"/>
  <c r="S96" i="65" s="1"/>
  <c r="I168" i="65"/>
  <c r="I131" i="65"/>
  <c r="I101" i="65"/>
  <c r="I102" i="65" s="1"/>
  <c r="M168" i="65"/>
  <c r="M131" i="65"/>
  <c r="M101" i="65"/>
  <c r="M102" i="65" s="1"/>
  <c r="L31" i="65"/>
  <c r="I154" i="65"/>
  <c r="I142" i="65"/>
  <c r="I141" i="65"/>
  <c r="I137" i="65"/>
  <c r="I110" i="65"/>
  <c r="I46" i="65"/>
  <c r="M154" i="65"/>
  <c r="M142" i="65"/>
  <c r="M141" i="65"/>
  <c r="M137" i="65"/>
  <c r="M112" i="65"/>
  <c r="M110" i="65"/>
  <c r="M46" i="65"/>
  <c r="Q154" i="65"/>
  <c r="Q141" i="65"/>
  <c r="Q136" i="65"/>
  <c r="Q137" i="65"/>
  <c r="Q46" i="65"/>
  <c r="P142" i="65"/>
  <c r="P156" i="65"/>
  <c r="H157" i="65"/>
  <c r="H127" i="65"/>
  <c r="H159" i="65"/>
  <c r="L157" i="65"/>
  <c r="L143" i="65"/>
  <c r="L159" i="65"/>
  <c r="L127" i="65"/>
  <c r="P159" i="65"/>
  <c r="P127" i="65"/>
  <c r="P157" i="65"/>
  <c r="P143" i="65"/>
  <c r="S93" i="65"/>
  <c r="S94" i="65" s="1"/>
  <c r="S97" i="65" s="1"/>
  <c r="Q110" i="65"/>
  <c r="J162" i="65"/>
  <c r="J130" i="65"/>
  <c r="J163" i="65"/>
  <c r="J126" i="65"/>
  <c r="J125" i="65"/>
  <c r="J93" i="65"/>
  <c r="I164" i="65"/>
  <c r="M165" i="65"/>
  <c r="M119" i="65"/>
  <c r="M120" i="65" s="1"/>
  <c r="M95" i="65"/>
  <c r="M96" i="65" s="1"/>
  <c r="K168" i="65"/>
  <c r="K138" i="65"/>
  <c r="K154" i="65"/>
  <c r="K142" i="65"/>
  <c r="K141" i="65"/>
  <c r="K137" i="65"/>
  <c r="K46" i="65"/>
  <c r="K136" i="65"/>
  <c r="K112" i="65"/>
  <c r="R156" i="65"/>
  <c r="R142" i="65"/>
  <c r="N159" i="65"/>
  <c r="N157" i="65"/>
  <c r="N143" i="65"/>
  <c r="N127" i="65"/>
  <c r="K94" i="65"/>
  <c r="K101" i="65"/>
  <c r="H162" i="65"/>
  <c r="H130" i="65"/>
  <c r="P162" i="65"/>
  <c r="P130" i="65"/>
  <c r="P99" i="65"/>
  <c r="L163" i="65"/>
  <c r="L126" i="65"/>
  <c r="L125" i="65"/>
  <c r="L93" i="65"/>
  <c r="L94" i="65" s="1"/>
  <c r="O164" i="65"/>
  <c r="K18" i="65"/>
  <c r="I4" i="65"/>
  <c r="I138" i="65" s="1"/>
  <c r="M4" i="65"/>
  <c r="M136" i="65" s="1"/>
  <c r="Q4" i="65"/>
  <c r="Q134" i="65" s="1"/>
  <c r="I163" i="65"/>
  <c r="I126" i="65"/>
  <c r="I125" i="65"/>
  <c r="I93" i="65"/>
  <c r="M163" i="65"/>
  <c r="M126" i="65"/>
  <c r="M125" i="65"/>
  <c r="M93" i="65"/>
  <c r="Q163" i="65"/>
  <c r="Q126" i="65"/>
  <c r="Q125" i="65"/>
  <c r="Q93" i="65"/>
  <c r="H134" i="65"/>
  <c r="H164" i="65"/>
  <c r="L134" i="65"/>
  <c r="L164" i="65"/>
  <c r="P134" i="65"/>
  <c r="P164" i="65"/>
  <c r="H165" i="65"/>
  <c r="H119" i="65"/>
  <c r="H120" i="65" s="1"/>
  <c r="L165" i="65"/>
  <c r="L119" i="65"/>
  <c r="L120" i="65" s="1"/>
  <c r="P119" i="65"/>
  <c r="P120" i="65" s="1"/>
  <c r="P165" i="65"/>
  <c r="J168" i="65"/>
  <c r="J131" i="65"/>
  <c r="J138" i="65"/>
  <c r="J101" i="65"/>
  <c r="J102" i="65" s="1"/>
  <c r="N168" i="65"/>
  <c r="N138" i="65"/>
  <c r="N131" i="65"/>
  <c r="N101" i="65"/>
  <c r="N102" i="65" s="1"/>
  <c r="Q29" i="65"/>
  <c r="J32" i="65"/>
  <c r="J154" i="65"/>
  <c r="J137" i="65"/>
  <c r="J136" i="65"/>
  <c r="J142" i="65"/>
  <c r="J112" i="65"/>
  <c r="J141" i="65"/>
  <c r="J110" i="65"/>
  <c r="N154" i="65"/>
  <c r="N137" i="65"/>
  <c r="N136" i="65"/>
  <c r="N141" i="65"/>
  <c r="N112" i="65"/>
  <c r="N110" i="65"/>
  <c r="N142" i="65"/>
  <c r="R33" i="65"/>
  <c r="Q156" i="65"/>
  <c r="Q142" i="65"/>
  <c r="I159" i="65"/>
  <c r="I157" i="65"/>
  <c r="I143" i="65"/>
  <c r="I127" i="65"/>
  <c r="M159" i="65"/>
  <c r="M157" i="65"/>
  <c r="M143" i="65"/>
  <c r="M127" i="65"/>
  <c r="Q159" i="65"/>
  <c r="Q157" i="65"/>
  <c r="Q143" i="65"/>
  <c r="Q127" i="65"/>
  <c r="H46" i="65"/>
  <c r="P90" i="65"/>
  <c r="P95" i="65"/>
  <c r="P96" i="65" s="1"/>
  <c r="N99" i="65"/>
  <c r="K131" i="65"/>
  <c r="H109" i="65"/>
  <c r="H133" i="65"/>
  <c r="H140" i="65" s="1"/>
  <c r="H145" i="65" s="1"/>
  <c r="H153" i="65" s="1"/>
  <c r="H129" i="65"/>
  <c r="S167" i="64"/>
  <c r="R167" i="64"/>
  <c r="Q167" i="64"/>
  <c r="P167" i="64"/>
  <c r="O167" i="64"/>
  <c r="N167" i="64"/>
  <c r="M167" i="64"/>
  <c r="L167" i="64"/>
  <c r="K167" i="64"/>
  <c r="J167" i="64"/>
  <c r="I167" i="64"/>
  <c r="H167" i="64"/>
  <c r="S166" i="64"/>
  <c r="R166" i="64"/>
  <c r="Q166" i="64"/>
  <c r="P166" i="64"/>
  <c r="O166" i="64"/>
  <c r="N166" i="64"/>
  <c r="M166" i="64"/>
  <c r="L166" i="64"/>
  <c r="K166" i="64"/>
  <c r="J166" i="64"/>
  <c r="I166" i="64"/>
  <c r="H166" i="64"/>
  <c r="Q165" i="64"/>
  <c r="M164" i="64"/>
  <c r="I163" i="64"/>
  <c r="L160" i="64"/>
  <c r="S156" i="64"/>
  <c r="R156" i="64"/>
  <c r="Q156" i="64"/>
  <c r="P156" i="64"/>
  <c r="O156" i="64"/>
  <c r="N156" i="64"/>
  <c r="M156" i="64"/>
  <c r="L156" i="64"/>
  <c r="K156" i="64"/>
  <c r="J156" i="64"/>
  <c r="I156" i="64"/>
  <c r="H156" i="64"/>
  <c r="S155" i="64"/>
  <c r="R155" i="64"/>
  <c r="Q155" i="64"/>
  <c r="P155" i="64"/>
  <c r="O155" i="64"/>
  <c r="N155" i="64"/>
  <c r="M155" i="64"/>
  <c r="L155" i="64"/>
  <c r="K155" i="64"/>
  <c r="J155" i="64"/>
  <c r="I155" i="64"/>
  <c r="H155" i="64"/>
  <c r="H153" i="64"/>
  <c r="I138" i="64"/>
  <c r="E138" i="64"/>
  <c r="N137" i="64"/>
  <c r="J136" i="64"/>
  <c r="S135" i="64"/>
  <c r="R135" i="64"/>
  <c r="Q135" i="64"/>
  <c r="P135" i="64"/>
  <c r="O135" i="64"/>
  <c r="N135" i="64"/>
  <c r="M135" i="64"/>
  <c r="L135" i="64"/>
  <c r="K135" i="64"/>
  <c r="J135" i="64"/>
  <c r="I135" i="64"/>
  <c r="H135" i="64"/>
  <c r="Q134" i="64"/>
  <c r="J134" i="64"/>
  <c r="H133" i="64"/>
  <c r="H140" i="64" s="1"/>
  <c r="H145" i="64" s="1"/>
  <c r="N131" i="64"/>
  <c r="K131" i="64"/>
  <c r="R130" i="64"/>
  <c r="J130" i="64"/>
  <c r="R127" i="64"/>
  <c r="O127" i="64"/>
  <c r="J127" i="64"/>
  <c r="N126" i="64"/>
  <c r="R125" i="64"/>
  <c r="J125" i="64"/>
  <c r="S124" i="64"/>
  <c r="S123" i="64"/>
  <c r="R123" i="64"/>
  <c r="Q123" i="64"/>
  <c r="P123" i="64"/>
  <c r="O123" i="64"/>
  <c r="N123" i="64"/>
  <c r="M123" i="64"/>
  <c r="L123" i="64"/>
  <c r="K123" i="64"/>
  <c r="J123" i="64"/>
  <c r="I123" i="64"/>
  <c r="H123" i="64"/>
  <c r="N119" i="64"/>
  <c r="N120" i="64" s="1"/>
  <c r="S118" i="64"/>
  <c r="R118" i="64"/>
  <c r="Q118" i="64"/>
  <c r="P118" i="64"/>
  <c r="O118" i="64"/>
  <c r="N118" i="64"/>
  <c r="M118" i="64"/>
  <c r="L118" i="64"/>
  <c r="K118" i="64"/>
  <c r="J118" i="64"/>
  <c r="I118" i="64"/>
  <c r="H118" i="64"/>
  <c r="S115" i="64"/>
  <c r="R115" i="64"/>
  <c r="Q115" i="64"/>
  <c r="P115" i="64"/>
  <c r="O115" i="64"/>
  <c r="N115" i="64"/>
  <c r="M115" i="64"/>
  <c r="L115" i="64"/>
  <c r="K115" i="64"/>
  <c r="J115" i="64"/>
  <c r="I115" i="64"/>
  <c r="H115" i="64"/>
  <c r="S112" i="64"/>
  <c r="O112" i="64"/>
  <c r="K112" i="64"/>
  <c r="S111" i="64"/>
  <c r="O111" i="64"/>
  <c r="S110" i="64"/>
  <c r="O110" i="64"/>
  <c r="O124" i="64" s="1"/>
  <c r="K110" i="64"/>
  <c r="K111" i="64" s="1"/>
  <c r="H109" i="64"/>
  <c r="H105" i="64"/>
  <c r="H117" i="64" s="1"/>
  <c r="H129" i="64" s="1"/>
  <c r="S101" i="64"/>
  <c r="Q95" i="64"/>
  <c r="M95" i="64"/>
  <c r="I95" i="64"/>
  <c r="O93" i="64"/>
  <c r="S90" i="64"/>
  <c r="R90" i="64"/>
  <c r="Q90" i="64"/>
  <c r="P90" i="64"/>
  <c r="O90" i="64"/>
  <c r="N90" i="64"/>
  <c r="M90" i="64"/>
  <c r="L90" i="64"/>
  <c r="L91" i="64" s="1"/>
  <c r="K90" i="64"/>
  <c r="J90" i="64"/>
  <c r="I90" i="64"/>
  <c r="S89" i="64"/>
  <c r="R89" i="64"/>
  <c r="Q89" i="64"/>
  <c r="P89" i="64"/>
  <c r="O89" i="64"/>
  <c r="N89" i="64"/>
  <c r="M89" i="64"/>
  <c r="L89" i="64"/>
  <c r="K89" i="64"/>
  <c r="J89" i="64"/>
  <c r="I89" i="64"/>
  <c r="S88" i="64"/>
  <c r="R88" i="64"/>
  <c r="Q88" i="64"/>
  <c r="P88" i="64"/>
  <c r="O88" i="64"/>
  <c r="N88" i="64"/>
  <c r="M88" i="64"/>
  <c r="L88" i="64"/>
  <c r="K88" i="64"/>
  <c r="J88" i="64"/>
  <c r="I88" i="64"/>
  <c r="S87" i="64"/>
  <c r="R87" i="64"/>
  <c r="Q87" i="64"/>
  <c r="P87" i="64"/>
  <c r="O87" i="64"/>
  <c r="N87" i="64"/>
  <c r="M87" i="64"/>
  <c r="L87" i="64"/>
  <c r="K87" i="64"/>
  <c r="J87" i="64"/>
  <c r="I87" i="64"/>
  <c r="S86" i="64"/>
  <c r="R86" i="64"/>
  <c r="Q86" i="64"/>
  <c r="P86" i="64"/>
  <c r="O86" i="64"/>
  <c r="N86" i="64"/>
  <c r="M86" i="64"/>
  <c r="L86" i="64"/>
  <c r="K86" i="64"/>
  <c r="J86" i="64"/>
  <c r="I86" i="64"/>
  <c r="H86" i="64"/>
  <c r="H73" i="64"/>
  <c r="H92" i="64" s="1"/>
  <c r="S71" i="64"/>
  <c r="R71" i="64"/>
  <c r="Q71" i="64"/>
  <c r="P71" i="64"/>
  <c r="O71" i="64"/>
  <c r="N71" i="64"/>
  <c r="M71" i="64"/>
  <c r="L71" i="64"/>
  <c r="K71" i="64"/>
  <c r="J71" i="64"/>
  <c r="I71" i="64"/>
  <c r="H71" i="64"/>
  <c r="H57" i="64"/>
  <c r="L46" i="64"/>
  <c r="S41" i="64"/>
  <c r="S158" i="64" s="1"/>
  <c r="R41" i="64"/>
  <c r="R158" i="64" s="1"/>
  <c r="Q41" i="64"/>
  <c r="Q158" i="64" s="1"/>
  <c r="P41" i="64"/>
  <c r="P158" i="64" s="1"/>
  <c r="O41" i="64"/>
  <c r="O158" i="64" s="1"/>
  <c r="N41" i="64"/>
  <c r="N158" i="64" s="1"/>
  <c r="M41" i="64"/>
  <c r="M158" i="64" s="1"/>
  <c r="L41" i="64"/>
  <c r="L158" i="64" s="1"/>
  <c r="K41" i="64"/>
  <c r="K158" i="64" s="1"/>
  <c r="J41" i="64"/>
  <c r="J158" i="64" s="1"/>
  <c r="I41" i="64"/>
  <c r="I158" i="64" s="1"/>
  <c r="H41" i="64"/>
  <c r="H158" i="64" s="1"/>
  <c r="S38" i="64"/>
  <c r="S127" i="64" s="1"/>
  <c r="R38" i="64"/>
  <c r="Q38" i="64"/>
  <c r="P38" i="64"/>
  <c r="P157" i="64" s="1"/>
  <c r="O38" i="64"/>
  <c r="N38" i="64"/>
  <c r="M38" i="64"/>
  <c r="L38" i="64"/>
  <c r="K38" i="64"/>
  <c r="K127" i="64" s="1"/>
  <c r="J38" i="64"/>
  <c r="I38" i="64"/>
  <c r="H38" i="64"/>
  <c r="H143" i="64" s="1"/>
  <c r="S33" i="64"/>
  <c r="R33" i="64"/>
  <c r="Q33" i="64"/>
  <c r="P33" i="64"/>
  <c r="P141" i="64" s="1"/>
  <c r="O33" i="64"/>
  <c r="N33" i="64"/>
  <c r="M33" i="64"/>
  <c r="M46" i="64" s="1"/>
  <c r="L33" i="64"/>
  <c r="L154" i="64" s="1"/>
  <c r="K33" i="64"/>
  <c r="J33" i="64"/>
  <c r="I33" i="64"/>
  <c r="H33" i="64"/>
  <c r="I32" i="64"/>
  <c r="S27" i="64"/>
  <c r="R27" i="64"/>
  <c r="Q27" i="64"/>
  <c r="P27" i="64"/>
  <c r="O27" i="64"/>
  <c r="N27" i="64"/>
  <c r="M27" i="64"/>
  <c r="L27" i="64"/>
  <c r="K27" i="64"/>
  <c r="K101" i="64" s="1"/>
  <c r="J27" i="64"/>
  <c r="I27" i="64"/>
  <c r="H27" i="64"/>
  <c r="S19" i="64"/>
  <c r="R19" i="64"/>
  <c r="R165" i="64" s="1"/>
  <c r="Q19" i="64"/>
  <c r="Q119" i="64" s="1"/>
  <c r="Q120" i="64" s="1"/>
  <c r="P19" i="64"/>
  <c r="P119" i="64" s="1"/>
  <c r="P120" i="64" s="1"/>
  <c r="O19" i="64"/>
  <c r="N19" i="64"/>
  <c r="N165" i="64" s="1"/>
  <c r="M19" i="64"/>
  <c r="L19" i="64"/>
  <c r="K19" i="64"/>
  <c r="K119" i="64" s="1"/>
  <c r="K120" i="64" s="1"/>
  <c r="J19" i="64"/>
  <c r="J165" i="64" s="1"/>
  <c r="I19" i="64"/>
  <c r="I119" i="64" s="1"/>
  <c r="I120" i="64" s="1"/>
  <c r="H19" i="64"/>
  <c r="S18" i="64"/>
  <c r="R18" i="64"/>
  <c r="Q18" i="64"/>
  <c r="P18" i="64"/>
  <c r="O18" i="64"/>
  <c r="N18" i="64"/>
  <c r="M18" i="64"/>
  <c r="L18" i="64"/>
  <c r="K18" i="64"/>
  <c r="J18" i="64"/>
  <c r="I18" i="64"/>
  <c r="H18" i="64"/>
  <c r="S10" i="64"/>
  <c r="R10" i="64"/>
  <c r="Q10" i="64"/>
  <c r="Q164" i="64" s="1"/>
  <c r="P10" i="64"/>
  <c r="O10" i="64"/>
  <c r="N10" i="64"/>
  <c r="M10" i="64"/>
  <c r="L10" i="64"/>
  <c r="K10" i="64"/>
  <c r="J10" i="64"/>
  <c r="J164" i="64" s="1"/>
  <c r="I10" i="64"/>
  <c r="H10" i="64"/>
  <c r="S5" i="64"/>
  <c r="S93" i="64" s="1"/>
  <c r="R5" i="64"/>
  <c r="R163" i="64" s="1"/>
  <c r="Q5" i="64"/>
  <c r="P5" i="64"/>
  <c r="O5" i="64"/>
  <c r="N5" i="64"/>
  <c r="N163" i="64" s="1"/>
  <c r="M5" i="64"/>
  <c r="L5" i="64"/>
  <c r="K5" i="64"/>
  <c r="K126" i="64" s="1"/>
  <c r="J5" i="64"/>
  <c r="J163" i="64" s="1"/>
  <c r="I5" i="64"/>
  <c r="H5" i="64"/>
  <c r="H163" i="64" s="1"/>
  <c r="S4" i="64"/>
  <c r="S31" i="64" s="1"/>
  <c r="R4" i="64"/>
  <c r="R162" i="64" s="1"/>
  <c r="Q4" i="64"/>
  <c r="P4" i="64"/>
  <c r="O4" i="64"/>
  <c r="O130" i="64" s="1"/>
  <c r="N4" i="64"/>
  <c r="N162" i="64" s="1"/>
  <c r="M4" i="64"/>
  <c r="M130" i="64" s="1"/>
  <c r="L4" i="64"/>
  <c r="L31" i="64" s="1"/>
  <c r="K4" i="64"/>
  <c r="K31" i="64" s="1"/>
  <c r="J4" i="64"/>
  <c r="J162" i="64" s="1"/>
  <c r="I4" i="64"/>
  <c r="I31" i="64" s="1"/>
  <c r="H4" i="64"/>
  <c r="L161" i="67" l="1"/>
  <c r="L52" i="67"/>
  <c r="K117" i="67"/>
  <c r="K109" i="67"/>
  <c r="K161" i="67"/>
  <c r="K52" i="67"/>
  <c r="S161" i="67"/>
  <c r="S52" i="67"/>
  <c r="S151" i="67"/>
  <c r="S150" i="67"/>
  <c r="S149" i="67"/>
  <c r="N161" i="67"/>
  <c r="N52" i="67"/>
  <c r="N150" i="67"/>
  <c r="N149" i="67"/>
  <c r="N151" i="67"/>
  <c r="J161" i="67"/>
  <c r="J52" i="67"/>
  <c r="L100" i="67"/>
  <c r="L103" i="67" s="1"/>
  <c r="M100" i="67"/>
  <c r="M103" i="67" s="1"/>
  <c r="Q161" i="67"/>
  <c r="Q52" i="67"/>
  <c r="Q151" i="67"/>
  <c r="Q149" i="67"/>
  <c r="Q150" i="67"/>
  <c r="I161" i="67"/>
  <c r="I52" i="67"/>
  <c r="I150" i="67"/>
  <c r="I149" i="67"/>
  <c r="I151" i="67"/>
  <c r="J129" i="67"/>
  <c r="J133" i="67"/>
  <c r="J140" i="67" s="1"/>
  <c r="J145" i="67" s="1"/>
  <c r="J153" i="67" s="1"/>
  <c r="O161" i="67"/>
  <c r="O52" i="67"/>
  <c r="O149" i="67"/>
  <c r="O151" i="67"/>
  <c r="O150" i="67"/>
  <c r="P161" i="67"/>
  <c r="P52" i="67"/>
  <c r="P150" i="67"/>
  <c r="P151" i="67"/>
  <c r="P149" i="67"/>
  <c r="L105" i="67"/>
  <c r="L57" i="67"/>
  <c r="L73" i="67" s="1"/>
  <c r="L92" i="67" s="1"/>
  <c r="M32" i="67"/>
  <c r="M161" i="67"/>
  <c r="M52" i="67"/>
  <c r="M151" i="67"/>
  <c r="M150" i="67"/>
  <c r="M149" i="67"/>
  <c r="L52" i="66"/>
  <c r="L135" i="66"/>
  <c r="J135" i="66"/>
  <c r="J52" i="66"/>
  <c r="R135" i="66"/>
  <c r="R52" i="66"/>
  <c r="K135" i="66"/>
  <c r="K52" i="66"/>
  <c r="K109" i="66"/>
  <c r="K115" i="66" s="1"/>
  <c r="K119" i="66" s="1"/>
  <c r="K127" i="66" s="1"/>
  <c r="K106" i="66"/>
  <c r="H135" i="66"/>
  <c r="H52" i="66"/>
  <c r="I135" i="66"/>
  <c r="I52" i="66"/>
  <c r="O135" i="66"/>
  <c r="O52" i="66"/>
  <c r="M135" i="66"/>
  <c r="M52" i="66"/>
  <c r="K100" i="66"/>
  <c r="K99" i="66"/>
  <c r="Q135" i="66"/>
  <c r="Q52" i="66"/>
  <c r="N135" i="66"/>
  <c r="N52" i="66"/>
  <c r="L94" i="66"/>
  <c r="L27" i="66"/>
  <c r="M32" i="66"/>
  <c r="L87" i="66"/>
  <c r="L95" i="66" s="1"/>
  <c r="L57" i="66"/>
  <c r="L73" i="66" s="1"/>
  <c r="P135" i="66"/>
  <c r="P52" i="66"/>
  <c r="K142" i="66"/>
  <c r="K114" i="66"/>
  <c r="K108" i="66"/>
  <c r="L122" i="65"/>
  <c r="L121" i="65"/>
  <c r="M151" i="65"/>
  <c r="M150" i="65"/>
  <c r="M149" i="65"/>
  <c r="M148" i="65"/>
  <c r="M147" i="65"/>
  <c r="M146" i="65"/>
  <c r="L99" i="65"/>
  <c r="L100" i="65" s="1"/>
  <c r="O160" i="65"/>
  <c r="O114" i="65"/>
  <c r="O48" i="65"/>
  <c r="O113" i="65"/>
  <c r="I117" i="65"/>
  <c r="I109" i="65"/>
  <c r="H124" i="65"/>
  <c r="H111" i="65"/>
  <c r="S160" i="65"/>
  <c r="S113" i="65"/>
  <c r="S48" i="65"/>
  <c r="S114" i="65"/>
  <c r="S99" i="65"/>
  <c r="S100" i="65" s="1"/>
  <c r="P151" i="65"/>
  <c r="P149" i="65"/>
  <c r="P147" i="65"/>
  <c r="P148" i="65"/>
  <c r="P150" i="65"/>
  <c r="P146" i="65"/>
  <c r="R154" i="65"/>
  <c r="R137" i="65"/>
  <c r="R136" i="65"/>
  <c r="R112" i="65"/>
  <c r="R110" i="65"/>
  <c r="R141" i="65"/>
  <c r="R46" i="65"/>
  <c r="N150" i="65"/>
  <c r="N148" i="65"/>
  <c r="N146" i="65"/>
  <c r="N151" i="65"/>
  <c r="N149" i="65"/>
  <c r="N147" i="65"/>
  <c r="J124" i="65"/>
  <c r="J111" i="65"/>
  <c r="Q115" i="65"/>
  <c r="Q90" i="65"/>
  <c r="R29" i="65"/>
  <c r="Q27" i="65"/>
  <c r="M122" i="65"/>
  <c r="M121" i="65"/>
  <c r="J94" i="65"/>
  <c r="J97" i="65" s="1"/>
  <c r="Q151" i="65"/>
  <c r="Q150" i="65"/>
  <c r="Q149" i="65"/>
  <c r="Q148" i="65"/>
  <c r="Q147" i="65"/>
  <c r="Q146" i="65"/>
  <c r="M138" i="65"/>
  <c r="K96" i="65"/>
  <c r="O124" i="65"/>
  <c r="O111" i="65"/>
  <c r="N94" i="65"/>
  <c r="L114" i="65"/>
  <c r="L113" i="65"/>
  <c r="L160" i="65"/>
  <c r="L48" i="65"/>
  <c r="L124" i="65"/>
  <c r="L111" i="65"/>
  <c r="L150" i="65"/>
  <c r="L148" i="65"/>
  <c r="L146" i="65"/>
  <c r="L151" i="65"/>
  <c r="L147" i="65"/>
  <c r="L149" i="65"/>
  <c r="H151" i="65"/>
  <c r="H149" i="65"/>
  <c r="H147" i="65"/>
  <c r="H146" i="65"/>
  <c r="H148" i="65"/>
  <c r="H150" i="65"/>
  <c r="P168" i="65"/>
  <c r="P131" i="65"/>
  <c r="P138" i="65"/>
  <c r="P101" i="65"/>
  <c r="P102" i="65" s="1"/>
  <c r="P18" i="65"/>
  <c r="P31" i="65" s="1"/>
  <c r="N96" i="65"/>
  <c r="J122" i="65"/>
  <c r="J121" i="65"/>
  <c r="R94" i="65"/>
  <c r="P124" i="65"/>
  <c r="P111" i="65"/>
  <c r="I162" i="65"/>
  <c r="I130" i="65"/>
  <c r="I99" i="65"/>
  <c r="I100" i="65" s="1"/>
  <c r="I103" i="65" s="1"/>
  <c r="I31" i="65"/>
  <c r="M124" i="65"/>
  <c r="M111" i="65"/>
  <c r="O151" i="65"/>
  <c r="O150" i="65"/>
  <c r="O149" i="65"/>
  <c r="O148" i="65"/>
  <c r="O147" i="65"/>
  <c r="O146" i="65"/>
  <c r="H160" i="65"/>
  <c r="H114" i="65"/>
  <c r="H113" i="65"/>
  <c r="H48" i="65"/>
  <c r="H51" i="65" s="1"/>
  <c r="J151" i="65"/>
  <c r="J149" i="65"/>
  <c r="J147" i="65"/>
  <c r="J150" i="65"/>
  <c r="J148" i="65"/>
  <c r="J146" i="65"/>
  <c r="H122" i="65"/>
  <c r="H121" i="65"/>
  <c r="Q94" i="65"/>
  <c r="M94" i="65"/>
  <c r="M97" i="65" s="1"/>
  <c r="I94" i="65"/>
  <c r="I97" i="65" s="1"/>
  <c r="Q162" i="65"/>
  <c r="Q130" i="65"/>
  <c r="Q99" i="65"/>
  <c r="Q100" i="65" s="1"/>
  <c r="K102" i="65"/>
  <c r="K151" i="65"/>
  <c r="K150" i="65"/>
  <c r="K149" i="65"/>
  <c r="K148" i="65"/>
  <c r="K147" i="65"/>
  <c r="K146" i="65"/>
  <c r="Q160" i="65"/>
  <c r="Q113" i="65"/>
  <c r="Q48" i="65"/>
  <c r="Q114" i="65"/>
  <c r="I136" i="65"/>
  <c r="O121" i="65"/>
  <c r="O122" i="65"/>
  <c r="Q96" i="65"/>
  <c r="L102" i="65"/>
  <c r="L103" i="65" s="1"/>
  <c r="R96" i="65"/>
  <c r="N122" i="65"/>
  <c r="N121" i="65"/>
  <c r="S111" i="65"/>
  <c r="S124" i="65"/>
  <c r="J99" i="65"/>
  <c r="L96" i="65"/>
  <c r="J57" i="65"/>
  <c r="J73" i="65" s="1"/>
  <c r="J92" i="65" s="1"/>
  <c r="J105" i="65"/>
  <c r="K32" i="65"/>
  <c r="L97" i="65"/>
  <c r="K160" i="65"/>
  <c r="K113" i="65"/>
  <c r="K48" i="65"/>
  <c r="K114" i="65"/>
  <c r="I124" i="65"/>
  <c r="I111" i="65"/>
  <c r="K122" i="65"/>
  <c r="K121" i="65"/>
  <c r="O163" i="65"/>
  <c r="O125" i="65"/>
  <c r="O126" i="65"/>
  <c r="O93" i="65"/>
  <c r="O94" i="65" s="1"/>
  <c r="O97" i="65" s="1"/>
  <c r="O4" i="65"/>
  <c r="N124" i="65"/>
  <c r="N111" i="65"/>
  <c r="P122" i="65"/>
  <c r="P121" i="65"/>
  <c r="M162" i="65"/>
  <c r="M130" i="65"/>
  <c r="M99" i="65"/>
  <c r="M100" i="65" s="1"/>
  <c r="M31" i="65"/>
  <c r="K97" i="65"/>
  <c r="I134" i="65"/>
  <c r="Q124" i="65"/>
  <c r="Q111" i="65"/>
  <c r="M160" i="65"/>
  <c r="M114" i="65"/>
  <c r="M48" i="65"/>
  <c r="M113" i="65"/>
  <c r="I160" i="65"/>
  <c r="I113" i="65"/>
  <c r="I48" i="65"/>
  <c r="I114" i="65"/>
  <c r="I151" i="65"/>
  <c r="I150" i="65"/>
  <c r="I149" i="65"/>
  <c r="I148" i="65"/>
  <c r="I147" i="65"/>
  <c r="I146" i="65"/>
  <c r="M103" i="65"/>
  <c r="J160" i="65"/>
  <c r="J114" i="65"/>
  <c r="J113" i="65"/>
  <c r="J48" i="65"/>
  <c r="Q122" i="65"/>
  <c r="Q121" i="65"/>
  <c r="M134" i="65"/>
  <c r="R122" i="65"/>
  <c r="R121" i="65"/>
  <c r="S122" i="65"/>
  <c r="S151" i="65"/>
  <c r="S150" i="65"/>
  <c r="S149" i="65"/>
  <c r="S148" i="65"/>
  <c r="S147" i="65"/>
  <c r="S146" i="65"/>
  <c r="I122" i="65"/>
  <c r="I121" i="65"/>
  <c r="N51" i="65"/>
  <c r="N106" i="65"/>
  <c r="P160" i="65"/>
  <c r="P114" i="65"/>
  <c r="P113" i="65"/>
  <c r="P48" i="65"/>
  <c r="O102" i="65"/>
  <c r="K122" i="64"/>
  <c r="K121" i="64"/>
  <c r="S94" i="64"/>
  <c r="K102" i="64"/>
  <c r="P151" i="64"/>
  <c r="P149" i="64"/>
  <c r="P147" i="64"/>
  <c r="P148" i="64"/>
  <c r="P150" i="64"/>
  <c r="P146" i="64"/>
  <c r="M114" i="64"/>
  <c r="M113" i="64"/>
  <c r="M160" i="64"/>
  <c r="M48" i="64"/>
  <c r="H162" i="64"/>
  <c r="H130" i="64"/>
  <c r="P162" i="64"/>
  <c r="P130" i="64"/>
  <c r="P99" i="64"/>
  <c r="L163" i="64"/>
  <c r="L126" i="64"/>
  <c r="L125" i="64"/>
  <c r="L93" i="64"/>
  <c r="L94" i="64" s="1"/>
  <c r="L134" i="64"/>
  <c r="H119" i="64"/>
  <c r="H120" i="64" s="1"/>
  <c r="H165" i="64"/>
  <c r="L165" i="64"/>
  <c r="L119" i="64"/>
  <c r="L120" i="64" s="1"/>
  <c r="H168" i="64"/>
  <c r="H131" i="64"/>
  <c r="H101" i="64"/>
  <c r="P168" i="64"/>
  <c r="P131" i="64"/>
  <c r="P138" i="64"/>
  <c r="P101" i="64"/>
  <c r="P31" i="64"/>
  <c r="I154" i="64"/>
  <c r="I142" i="64"/>
  <c r="I136" i="64"/>
  <c r="I141" i="64"/>
  <c r="I112" i="64"/>
  <c r="I110" i="64"/>
  <c r="Q154" i="64"/>
  <c r="Q142" i="64"/>
  <c r="Q136" i="64"/>
  <c r="Q141" i="64"/>
  <c r="Q137" i="64"/>
  <c r="Q112" i="64"/>
  <c r="Q110" i="64"/>
  <c r="M159" i="64"/>
  <c r="M157" i="64"/>
  <c r="M143" i="64"/>
  <c r="M127" i="64"/>
  <c r="Q127" i="64"/>
  <c r="Q159" i="64"/>
  <c r="Q143" i="64"/>
  <c r="Q157" i="64"/>
  <c r="I46" i="64"/>
  <c r="O94" i="64"/>
  <c r="O97" i="64" s="1"/>
  <c r="P95" i="64"/>
  <c r="K124" i="64"/>
  <c r="L164" i="64"/>
  <c r="L114" i="64"/>
  <c r="L113" i="64"/>
  <c r="I57" i="64"/>
  <c r="I73" i="64" s="1"/>
  <c r="I92" i="64" s="1"/>
  <c r="J32" i="64"/>
  <c r="L95" i="64"/>
  <c r="N121" i="64"/>
  <c r="H138" i="64"/>
  <c r="P165" i="64"/>
  <c r="L130" i="64"/>
  <c r="L162" i="64"/>
  <c r="L99" i="64"/>
  <c r="H126" i="64"/>
  <c r="H125" i="64"/>
  <c r="H93" i="64"/>
  <c r="H99" i="64" s="1"/>
  <c r="P126" i="64"/>
  <c r="P125" i="64"/>
  <c r="P163" i="64"/>
  <c r="P93" i="64"/>
  <c r="P94" i="64" s="1"/>
  <c r="H164" i="64"/>
  <c r="H134" i="64"/>
  <c r="P164" i="64"/>
  <c r="P134" i="64"/>
  <c r="P122" i="64"/>
  <c r="P121" i="64"/>
  <c r="L138" i="64"/>
  <c r="L131" i="64"/>
  <c r="L101" i="64"/>
  <c r="L102" i="64" s="1"/>
  <c r="L168" i="64"/>
  <c r="H31" i="64"/>
  <c r="M141" i="64"/>
  <c r="M137" i="64"/>
  <c r="M142" i="64"/>
  <c r="M154" i="64"/>
  <c r="M136" i="64"/>
  <c r="M112" i="64"/>
  <c r="M110" i="64"/>
  <c r="I127" i="64"/>
  <c r="I157" i="64"/>
  <c r="I159" i="64"/>
  <c r="I143" i="64"/>
  <c r="Q46" i="64"/>
  <c r="H95" i="64"/>
  <c r="I96" i="64" s="1"/>
  <c r="K162" i="64"/>
  <c r="K130" i="64"/>
  <c r="O162" i="64"/>
  <c r="O99" i="64"/>
  <c r="S162" i="64"/>
  <c r="S99" i="64"/>
  <c r="S130" i="64"/>
  <c r="K163" i="64"/>
  <c r="K125" i="64"/>
  <c r="O163" i="64"/>
  <c r="O126" i="64"/>
  <c r="S163" i="64"/>
  <c r="S125" i="64"/>
  <c r="K164" i="64"/>
  <c r="K134" i="64"/>
  <c r="O164" i="64"/>
  <c r="O134" i="64"/>
  <c r="S164" i="64"/>
  <c r="S134" i="64"/>
  <c r="K165" i="64"/>
  <c r="K95" i="64"/>
  <c r="O165" i="64"/>
  <c r="O95" i="64"/>
  <c r="O96" i="64" s="1"/>
  <c r="O119" i="64"/>
  <c r="O120" i="64" s="1"/>
  <c r="S165" i="64"/>
  <c r="S95" i="64"/>
  <c r="K168" i="64"/>
  <c r="K138" i="64"/>
  <c r="O168" i="64"/>
  <c r="O138" i="64"/>
  <c r="O131" i="64"/>
  <c r="S168" i="64"/>
  <c r="S138" i="64"/>
  <c r="S131" i="64"/>
  <c r="O31" i="64"/>
  <c r="H137" i="64"/>
  <c r="H136" i="64"/>
  <c r="H154" i="64"/>
  <c r="H142" i="64"/>
  <c r="H112" i="64"/>
  <c r="H110" i="64"/>
  <c r="H141" i="64"/>
  <c r="L137" i="64"/>
  <c r="L136" i="64"/>
  <c r="L141" i="64"/>
  <c r="L142" i="64"/>
  <c r="L112" i="64"/>
  <c r="L110" i="64"/>
  <c r="P137" i="64"/>
  <c r="P136" i="64"/>
  <c r="P154" i="64"/>
  <c r="P142" i="64"/>
  <c r="P112" i="64"/>
  <c r="P110" i="64"/>
  <c r="H127" i="64"/>
  <c r="H157" i="64"/>
  <c r="L159" i="64"/>
  <c r="L157" i="64"/>
  <c r="L143" i="64"/>
  <c r="L127" i="64"/>
  <c r="P127" i="64"/>
  <c r="P159" i="64"/>
  <c r="P143" i="64"/>
  <c r="H46" i="64"/>
  <c r="P46" i="64"/>
  <c r="L48" i="64"/>
  <c r="K93" i="64"/>
  <c r="O101" i="64"/>
  <c r="O102" i="64" s="1"/>
  <c r="I105" i="64"/>
  <c r="S119" i="64"/>
  <c r="S120" i="64" s="1"/>
  <c r="O125" i="64"/>
  <c r="S126" i="64"/>
  <c r="I137" i="64"/>
  <c r="H159" i="64"/>
  <c r="Q162" i="64"/>
  <c r="Q130" i="64"/>
  <c r="I126" i="64"/>
  <c r="I125" i="64"/>
  <c r="M163" i="64"/>
  <c r="M126" i="64"/>
  <c r="M125" i="64"/>
  <c r="Q126" i="64"/>
  <c r="Q125" i="64"/>
  <c r="I164" i="64"/>
  <c r="I134" i="64"/>
  <c r="M134" i="64"/>
  <c r="I122" i="64"/>
  <c r="I121" i="64"/>
  <c r="M165" i="64"/>
  <c r="M119" i="64"/>
  <c r="M120" i="64" s="1"/>
  <c r="Q122" i="64"/>
  <c r="Q121" i="64"/>
  <c r="I168" i="64"/>
  <c r="I131" i="64"/>
  <c r="M138" i="64"/>
  <c r="M131" i="64"/>
  <c r="Q168" i="64"/>
  <c r="Q131" i="64"/>
  <c r="M31" i="64"/>
  <c r="Q31" i="64"/>
  <c r="J154" i="64"/>
  <c r="J142" i="64"/>
  <c r="J141" i="64"/>
  <c r="J137" i="64"/>
  <c r="N154" i="64"/>
  <c r="N142" i="64"/>
  <c r="N141" i="64"/>
  <c r="N136" i="64"/>
  <c r="R154" i="64"/>
  <c r="R142" i="64"/>
  <c r="R141" i="64"/>
  <c r="R137" i="64"/>
  <c r="J159" i="64"/>
  <c r="J157" i="64"/>
  <c r="J143" i="64"/>
  <c r="N159" i="64"/>
  <c r="N157" i="64"/>
  <c r="N143" i="64"/>
  <c r="R159" i="64"/>
  <c r="R157" i="64"/>
  <c r="R143" i="64"/>
  <c r="J46" i="64"/>
  <c r="N46" i="64"/>
  <c r="R46" i="64"/>
  <c r="I93" i="64"/>
  <c r="M93" i="64"/>
  <c r="Q93" i="64"/>
  <c r="Q94" i="64" s="1"/>
  <c r="J95" i="64"/>
  <c r="J96" i="64" s="1"/>
  <c r="N95" i="64"/>
  <c r="N96" i="64" s="1"/>
  <c r="R95" i="64"/>
  <c r="R96" i="64" s="1"/>
  <c r="I101" i="64"/>
  <c r="M101" i="64"/>
  <c r="M102" i="64" s="1"/>
  <c r="Q101" i="64"/>
  <c r="I162" i="64"/>
  <c r="I130" i="64"/>
  <c r="N164" i="64"/>
  <c r="N134" i="64"/>
  <c r="R164" i="64"/>
  <c r="R134" i="64"/>
  <c r="J168" i="64"/>
  <c r="J138" i="64"/>
  <c r="N168" i="64"/>
  <c r="N138" i="64"/>
  <c r="R168" i="64"/>
  <c r="R138" i="64"/>
  <c r="J31" i="64"/>
  <c r="N31" i="64"/>
  <c r="R31" i="64"/>
  <c r="K154" i="64"/>
  <c r="K142" i="64"/>
  <c r="K141" i="64"/>
  <c r="K137" i="64"/>
  <c r="K136" i="64"/>
  <c r="O154" i="64"/>
  <c r="O142" i="64"/>
  <c r="O141" i="64"/>
  <c r="O137" i="64"/>
  <c r="O136" i="64"/>
  <c r="S154" i="64"/>
  <c r="S142" i="64"/>
  <c r="S141" i="64"/>
  <c r="S137" i="64"/>
  <c r="S136" i="64"/>
  <c r="K159" i="64"/>
  <c r="K157" i="64"/>
  <c r="K143" i="64"/>
  <c r="O159" i="64"/>
  <c r="O157" i="64"/>
  <c r="O143" i="64"/>
  <c r="S159" i="64"/>
  <c r="S157" i="64"/>
  <c r="S143" i="64"/>
  <c r="K46" i="64"/>
  <c r="O46" i="64"/>
  <c r="S46" i="64"/>
  <c r="J93" i="64"/>
  <c r="N93" i="64"/>
  <c r="R93" i="64"/>
  <c r="I99" i="64"/>
  <c r="M99" i="64"/>
  <c r="M100" i="64" s="1"/>
  <c r="J101" i="64"/>
  <c r="N101" i="64"/>
  <c r="R101" i="64"/>
  <c r="R102" i="64" s="1"/>
  <c r="J110" i="64"/>
  <c r="N110" i="64"/>
  <c r="R110" i="64"/>
  <c r="J112" i="64"/>
  <c r="N112" i="64"/>
  <c r="R112" i="64"/>
  <c r="J119" i="64"/>
  <c r="J120" i="64" s="1"/>
  <c r="R119" i="64"/>
  <c r="R120" i="64" s="1"/>
  <c r="N125" i="64"/>
  <c r="J126" i="64"/>
  <c r="R126" i="64"/>
  <c r="N127" i="64"/>
  <c r="N130" i="64"/>
  <c r="J131" i="64"/>
  <c r="R131" i="64"/>
  <c r="R136" i="64"/>
  <c r="Q138" i="64"/>
  <c r="M162" i="64"/>
  <c r="Q163" i="64"/>
  <c r="I165" i="64"/>
  <c r="M168" i="64"/>
  <c r="S167" i="63"/>
  <c r="R167" i="63"/>
  <c r="Q167" i="63"/>
  <c r="P167" i="63"/>
  <c r="O167" i="63"/>
  <c r="N167" i="63"/>
  <c r="M167" i="63"/>
  <c r="L167" i="63"/>
  <c r="K167" i="63"/>
  <c r="J167" i="63"/>
  <c r="I167" i="63"/>
  <c r="H167" i="63"/>
  <c r="S166" i="63"/>
  <c r="R166" i="63"/>
  <c r="Q166" i="63"/>
  <c r="P166" i="63"/>
  <c r="O166" i="63"/>
  <c r="N166" i="63"/>
  <c r="M166" i="63"/>
  <c r="L166" i="63"/>
  <c r="K166" i="63"/>
  <c r="J166" i="63"/>
  <c r="I166" i="63"/>
  <c r="H166" i="63"/>
  <c r="R161" i="63"/>
  <c r="S156" i="63"/>
  <c r="R156" i="63"/>
  <c r="Q156" i="63"/>
  <c r="P156" i="63"/>
  <c r="O156" i="63"/>
  <c r="N156" i="63"/>
  <c r="M156" i="63"/>
  <c r="L156" i="63"/>
  <c r="K156" i="63"/>
  <c r="J156" i="63"/>
  <c r="I156" i="63"/>
  <c r="H156" i="63"/>
  <c r="S155" i="63"/>
  <c r="R155" i="63"/>
  <c r="Q155" i="63"/>
  <c r="P155" i="63"/>
  <c r="O155" i="63"/>
  <c r="N155" i="63"/>
  <c r="M155" i="63"/>
  <c r="L155" i="63"/>
  <c r="K155" i="63"/>
  <c r="J155" i="63"/>
  <c r="I155" i="63"/>
  <c r="H155" i="63"/>
  <c r="O154" i="63"/>
  <c r="S141" i="63"/>
  <c r="E138" i="63"/>
  <c r="S135" i="63"/>
  <c r="R135" i="63"/>
  <c r="Q135" i="63"/>
  <c r="P135" i="63"/>
  <c r="O135" i="63"/>
  <c r="N135" i="63"/>
  <c r="M135" i="63"/>
  <c r="L135" i="63"/>
  <c r="K135" i="63"/>
  <c r="J135" i="63"/>
  <c r="I135" i="63"/>
  <c r="H135" i="63"/>
  <c r="S123" i="63"/>
  <c r="R123" i="63"/>
  <c r="Q123" i="63"/>
  <c r="P123" i="63"/>
  <c r="O123" i="63"/>
  <c r="N123" i="63"/>
  <c r="M123" i="63"/>
  <c r="L123" i="63"/>
  <c r="K123" i="63"/>
  <c r="J123" i="63"/>
  <c r="I123" i="63"/>
  <c r="H123" i="63"/>
  <c r="H119" i="63"/>
  <c r="S118" i="63"/>
  <c r="R118" i="63"/>
  <c r="Q118" i="63"/>
  <c r="P118" i="63"/>
  <c r="O118" i="63"/>
  <c r="N118" i="63"/>
  <c r="M118" i="63"/>
  <c r="L118" i="63"/>
  <c r="K118" i="63"/>
  <c r="J118" i="63"/>
  <c r="I118" i="63"/>
  <c r="H118" i="63"/>
  <c r="S115" i="63"/>
  <c r="R115" i="63"/>
  <c r="Q115" i="63"/>
  <c r="P115" i="63"/>
  <c r="O115" i="63"/>
  <c r="N115" i="63"/>
  <c r="M115" i="63"/>
  <c r="L115" i="63"/>
  <c r="K115" i="63"/>
  <c r="J115" i="63"/>
  <c r="I115" i="63"/>
  <c r="H115" i="63"/>
  <c r="M112" i="63"/>
  <c r="H105" i="63"/>
  <c r="H109" i="63" s="1"/>
  <c r="R95" i="63"/>
  <c r="S90" i="63"/>
  <c r="R90" i="63"/>
  <c r="Q90" i="63"/>
  <c r="P90" i="63"/>
  <c r="O90" i="63"/>
  <c r="N90" i="63"/>
  <c r="M90" i="63"/>
  <c r="L90" i="63"/>
  <c r="L91" i="63" s="1"/>
  <c r="K90" i="63"/>
  <c r="J90" i="63"/>
  <c r="I90" i="63"/>
  <c r="S89" i="63"/>
  <c r="R89" i="63"/>
  <c r="Q89" i="63"/>
  <c r="P89" i="63"/>
  <c r="O89" i="63"/>
  <c r="N89" i="63"/>
  <c r="M89" i="63"/>
  <c r="L89" i="63"/>
  <c r="K89" i="63"/>
  <c r="J89" i="63"/>
  <c r="I89" i="63"/>
  <c r="S88" i="63"/>
  <c r="R88" i="63"/>
  <c r="Q88" i="63"/>
  <c r="P88" i="63"/>
  <c r="O88" i="63"/>
  <c r="N88" i="63"/>
  <c r="M88" i="63"/>
  <c r="L88" i="63"/>
  <c r="K88" i="63"/>
  <c r="J88" i="63"/>
  <c r="I88" i="63"/>
  <c r="S87" i="63"/>
  <c r="R87" i="63"/>
  <c r="Q87" i="63"/>
  <c r="P87" i="63"/>
  <c r="O87" i="63"/>
  <c r="N87" i="63"/>
  <c r="M87" i="63"/>
  <c r="L87" i="63"/>
  <c r="K87" i="63"/>
  <c r="J87" i="63"/>
  <c r="I87" i="63"/>
  <c r="S86" i="63"/>
  <c r="R86" i="63"/>
  <c r="Q86" i="63"/>
  <c r="P86" i="63"/>
  <c r="O86" i="63"/>
  <c r="N86" i="63"/>
  <c r="M86" i="63"/>
  <c r="L86" i="63"/>
  <c r="K86" i="63"/>
  <c r="J86" i="63"/>
  <c r="I86" i="63"/>
  <c r="H86" i="63"/>
  <c r="S71" i="63"/>
  <c r="R71" i="63"/>
  <c r="Q71" i="63"/>
  <c r="P71" i="63"/>
  <c r="O71" i="63"/>
  <c r="N71" i="63"/>
  <c r="M71" i="63"/>
  <c r="L71" i="63"/>
  <c r="K71" i="63"/>
  <c r="J71" i="63"/>
  <c r="I71" i="63"/>
  <c r="H71" i="63"/>
  <c r="H57" i="63"/>
  <c r="H73" i="63" s="1"/>
  <c r="H92" i="63" s="1"/>
  <c r="R52" i="63"/>
  <c r="S41" i="63"/>
  <c r="S158" i="63" s="1"/>
  <c r="R41" i="63"/>
  <c r="R158" i="63" s="1"/>
  <c r="Q41" i="63"/>
  <c r="Q158" i="63" s="1"/>
  <c r="P41" i="63"/>
  <c r="P158" i="63" s="1"/>
  <c r="O41" i="63"/>
  <c r="O158" i="63" s="1"/>
  <c r="N41" i="63"/>
  <c r="N158" i="63" s="1"/>
  <c r="M41" i="63"/>
  <c r="M158" i="63" s="1"/>
  <c r="L41" i="63"/>
  <c r="L158" i="63" s="1"/>
  <c r="K41" i="63"/>
  <c r="K158" i="63" s="1"/>
  <c r="J41" i="63"/>
  <c r="J158" i="63" s="1"/>
  <c r="I41" i="63"/>
  <c r="I158" i="63" s="1"/>
  <c r="H41" i="63"/>
  <c r="H158" i="63" s="1"/>
  <c r="S38" i="63"/>
  <c r="R38" i="63"/>
  <c r="Q38" i="63"/>
  <c r="P38" i="63"/>
  <c r="O38" i="63"/>
  <c r="N38" i="63"/>
  <c r="M38" i="63"/>
  <c r="L38" i="63"/>
  <c r="K38" i="63"/>
  <c r="J38" i="63"/>
  <c r="I38" i="63"/>
  <c r="H38" i="63"/>
  <c r="S33" i="63"/>
  <c r="R33" i="63"/>
  <c r="R46" i="63" s="1"/>
  <c r="Q33" i="63"/>
  <c r="P33" i="63"/>
  <c r="O33" i="63"/>
  <c r="N33" i="63"/>
  <c r="M33" i="63"/>
  <c r="M110" i="63" s="1"/>
  <c r="L33" i="63"/>
  <c r="L136" i="63" s="1"/>
  <c r="K33" i="63"/>
  <c r="J33" i="63"/>
  <c r="I33" i="63"/>
  <c r="I110" i="63" s="1"/>
  <c r="H33" i="63"/>
  <c r="J32" i="63"/>
  <c r="J105" i="63" s="1"/>
  <c r="I32" i="63"/>
  <c r="S27" i="63"/>
  <c r="R27" i="63"/>
  <c r="Q27" i="63"/>
  <c r="P27" i="63"/>
  <c r="O27" i="63"/>
  <c r="N27" i="63"/>
  <c r="M27" i="63"/>
  <c r="L27" i="63"/>
  <c r="K27" i="63"/>
  <c r="J27" i="63"/>
  <c r="I27" i="63"/>
  <c r="I101" i="63" s="1"/>
  <c r="H27" i="63"/>
  <c r="S19" i="63"/>
  <c r="R19" i="63"/>
  <c r="Q19" i="63"/>
  <c r="P19" i="63"/>
  <c r="O19" i="63"/>
  <c r="N19" i="63"/>
  <c r="M19" i="63"/>
  <c r="L19" i="63"/>
  <c r="K19" i="63"/>
  <c r="J19" i="63"/>
  <c r="I19" i="63"/>
  <c r="H19" i="63"/>
  <c r="S18" i="63"/>
  <c r="R18" i="63"/>
  <c r="Q18" i="63"/>
  <c r="P18" i="63"/>
  <c r="O18" i="63"/>
  <c r="N18" i="63"/>
  <c r="M18" i="63"/>
  <c r="L18" i="63"/>
  <c r="K18" i="63"/>
  <c r="J18" i="63"/>
  <c r="I18" i="63"/>
  <c r="H18" i="63"/>
  <c r="S10" i="63"/>
  <c r="R10" i="63"/>
  <c r="Q10" i="63"/>
  <c r="P10" i="63"/>
  <c r="O10" i="63"/>
  <c r="N10" i="63"/>
  <c r="M10" i="63"/>
  <c r="L10" i="63"/>
  <c r="K10" i="63"/>
  <c r="J10" i="63"/>
  <c r="I10" i="63"/>
  <c r="H10" i="63"/>
  <c r="S5" i="63"/>
  <c r="R5" i="63"/>
  <c r="Q5" i="63"/>
  <c r="P5" i="63"/>
  <c r="P126" i="63" s="1"/>
  <c r="O5" i="63"/>
  <c r="N5" i="63"/>
  <c r="M5" i="63"/>
  <c r="L5" i="63"/>
  <c r="L125" i="63" s="1"/>
  <c r="K5" i="63"/>
  <c r="J5" i="63"/>
  <c r="I5" i="63"/>
  <c r="H5" i="63"/>
  <c r="S4" i="63"/>
  <c r="R4" i="63"/>
  <c r="Q4" i="63"/>
  <c r="Q31" i="63" s="1"/>
  <c r="P4" i="63"/>
  <c r="O4" i="63"/>
  <c r="N4" i="63"/>
  <c r="M4" i="63"/>
  <c r="L4" i="63"/>
  <c r="L162" i="63" s="1"/>
  <c r="K4" i="63"/>
  <c r="J4" i="63"/>
  <c r="J31" i="63" s="1"/>
  <c r="I4" i="63"/>
  <c r="I31" i="63" s="1"/>
  <c r="H4" i="63"/>
  <c r="L117" i="67" l="1"/>
  <c r="L109" i="67"/>
  <c r="K133" i="67"/>
  <c r="K140" i="67" s="1"/>
  <c r="K145" i="67" s="1"/>
  <c r="K153" i="67" s="1"/>
  <c r="K129" i="67"/>
  <c r="M57" i="67"/>
  <c r="M73" i="67" s="1"/>
  <c r="M92" i="67" s="1"/>
  <c r="M105" i="67"/>
  <c r="N32" i="67"/>
  <c r="L109" i="66"/>
  <c r="L115" i="66" s="1"/>
  <c r="L119" i="66" s="1"/>
  <c r="L127" i="66" s="1"/>
  <c r="L106" i="66"/>
  <c r="N32" i="66"/>
  <c r="M87" i="66"/>
  <c r="M95" i="66" s="1"/>
  <c r="M57" i="66"/>
  <c r="M73" i="66" s="1"/>
  <c r="L108" i="66"/>
  <c r="L142" i="66"/>
  <c r="L114" i="66"/>
  <c r="L18" i="66"/>
  <c r="L31" i="66" s="1"/>
  <c r="Q168" i="65"/>
  <c r="Q138" i="65"/>
  <c r="Q131" i="65"/>
  <c r="Q101" i="65"/>
  <c r="Q102" i="65" s="1"/>
  <c r="Q103" i="65" s="1"/>
  <c r="Q18" i="65"/>
  <c r="Q31" i="65" s="1"/>
  <c r="R160" i="65"/>
  <c r="R114" i="65"/>
  <c r="R113" i="65"/>
  <c r="R48" i="65"/>
  <c r="H161" i="65"/>
  <c r="H52" i="65"/>
  <c r="R115" i="65"/>
  <c r="R90" i="65"/>
  <c r="R27" i="65"/>
  <c r="S29" i="65"/>
  <c r="R151" i="65"/>
  <c r="R149" i="65"/>
  <c r="R147" i="65"/>
  <c r="R150" i="65"/>
  <c r="R148" i="65"/>
  <c r="R146" i="65"/>
  <c r="I133" i="65"/>
  <c r="I140" i="65" s="1"/>
  <c r="I145" i="65" s="1"/>
  <c r="I153" i="65" s="1"/>
  <c r="I129" i="65"/>
  <c r="M106" i="65"/>
  <c r="M107" i="65" s="1"/>
  <c r="M51" i="65"/>
  <c r="O162" i="65"/>
  <c r="O130" i="65"/>
  <c r="O99" i="65"/>
  <c r="O31" i="65"/>
  <c r="O136" i="65"/>
  <c r="O138" i="65"/>
  <c r="O134" i="65"/>
  <c r="K51" i="65"/>
  <c r="K106" i="65"/>
  <c r="K107" i="65" s="1"/>
  <c r="K57" i="65"/>
  <c r="K73" i="65" s="1"/>
  <c r="K92" i="65" s="1"/>
  <c r="K105" i="65"/>
  <c r="L32" i="65"/>
  <c r="J100" i="65"/>
  <c r="J103" i="65" s="1"/>
  <c r="Q106" i="65"/>
  <c r="Q51" i="65"/>
  <c r="Q97" i="65"/>
  <c r="Q107" i="65" s="1"/>
  <c r="R97" i="65"/>
  <c r="L106" i="65"/>
  <c r="L107" i="65" s="1"/>
  <c r="L51" i="65"/>
  <c r="N97" i="65"/>
  <c r="N107" i="65" s="1"/>
  <c r="R124" i="65"/>
  <c r="R111" i="65"/>
  <c r="N161" i="65"/>
  <c r="N52" i="65"/>
  <c r="I106" i="65"/>
  <c r="I107" i="65" s="1"/>
  <c r="I51" i="65"/>
  <c r="P106" i="65"/>
  <c r="P51" i="65"/>
  <c r="J51" i="65"/>
  <c r="J106" i="65"/>
  <c r="J107" i="65" s="1"/>
  <c r="N100" i="65"/>
  <c r="N103" i="65" s="1"/>
  <c r="J117" i="65"/>
  <c r="J109" i="65"/>
  <c r="P94" i="65"/>
  <c r="P97" i="65" s="1"/>
  <c r="P107" i="65" s="1"/>
  <c r="K100" i="65"/>
  <c r="K103" i="65" s="1"/>
  <c r="R100" i="65"/>
  <c r="S51" i="65"/>
  <c r="S106" i="65"/>
  <c r="S107" i="65" s="1"/>
  <c r="O51" i="65"/>
  <c r="O106" i="65"/>
  <c r="O107" i="65" s="1"/>
  <c r="O151" i="64"/>
  <c r="O150" i="64"/>
  <c r="O149" i="64"/>
  <c r="O148" i="64"/>
  <c r="O147" i="64"/>
  <c r="O146" i="64"/>
  <c r="L124" i="64"/>
  <c r="L111" i="64"/>
  <c r="K32" i="64"/>
  <c r="J105" i="64"/>
  <c r="J57" i="64"/>
  <c r="J73" i="64" s="1"/>
  <c r="J92" i="64" s="1"/>
  <c r="P102" i="64"/>
  <c r="P100" i="64"/>
  <c r="R124" i="64"/>
  <c r="R111" i="64"/>
  <c r="N102" i="64"/>
  <c r="S160" i="64"/>
  <c r="S48" i="64"/>
  <c r="S113" i="64"/>
  <c r="S114" i="64"/>
  <c r="I102" i="64"/>
  <c r="N160" i="64"/>
  <c r="N113" i="64"/>
  <c r="N48" i="64"/>
  <c r="N114" i="64"/>
  <c r="N151" i="64"/>
  <c r="N150" i="64"/>
  <c r="N149" i="64"/>
  <c r="N148" i="64"/>
  <c r="N147" i="64"/>
  <c r="N146" i="64"/>
  <c r="M150" i="64"/>
  <c r="M148" i="64"/>
  <c r="M146" i="64"/>
  <c r="M151" i="64"/>
  <c r="M147" i="64"/>
  <c r="M149" i="64"/>
  <c r="P97" i="64"/>
  <c r="I160" i="64"/>
  <c r="I114" i="64"/>
  <c r="I113" i="64"/>
  <c r="I48" i="64"/>
  <c r="Q151" i="64"/>
  <c r="Q149" i="64"/>
  <c r="Q147" i="64"/>
  <c r="Q148" i="64"/>
  <c r="Q150" i="64"/>
  <c r="Q146" i="64"/>
  <c r="N111" i="64"/>
  <c r="N124" i="64"/>
  <c r="J102" i="64"/>
  <c r="R94" i="64"/>
  <c r="R97" i="64" s="1"/>
  <c r="R99" i="64"/>
  <c r="R100" i="64" s="1"/>
  <c r="O160" i="64"/>
  <c r="O48" i="64"/>
  <c r="O114" i="64"/>
  <c r="O113" i="64"/>
  <c r="M94" i="64"/>
  <c r="J160" i="64"/>
  <c r="J114" i="64"/>
  <c r="J48" i="64"/>
  <c r="J113" i="64"/>
  <c r="M122" i="64"/>
  <c r="M121" i="64"/>
  <c r="S122" i="64"/>
  <c r="S121" i="64"/>
  <c r="L106" i="64"/>
  <c r="L51" i="64"/>
  <c r="P124" i="64"/>
  <c r="P111" i="64"/>
  <c r="H151" i="64"/>
  <c r="H149" i="64"/>
  <c r="H147" i="64"/>
  <c r="H150" i="64"/>
  <c r="H146" i="64"/>
  <c r="H148" i="64"/>
  <c r="S96" i="64"/>
  <c r="S100" i="64"/>
  <c r="Q160" i="64"/>
  <c r="Q114" i="64"/>
  <c r="Q113" i="64"/>
  <c r="Q48" i="64"/>
  <c r="N122" i="64"/>
  <c r="S102" i="64"/>
  <c r="Q124" i="64"/>
  <c r="Q111" i="64"/>
  <c r="H122" i="64"/>
  <c r="H121" i="64"/>
  <c r="M106" i="64"/>
  <c r="M51" i="64"/>
  <c r="R121" i="64"/>
  <c r="R122" i="64"/>
  <c r="R103" i="64"/>
  <c r="J94" i="64"/>
  <c r="J97" i="64" s="1"/>
  <c r="J99" i="64"/>
  <c r="J100" i="64" s="1"/>
  <c r="M103" i="64"/>
  <c r="R160" i="64"/>
  <c r="R114" i="64"/>
  <c r="R113" i="64"/>
  <c r="R48" i="64"/>
  <c r="H160" i="64"/>
  <c r="H114" i="64"/>
  <c r="H113" i="64"/>
  <c r="H48" i="64"/>
  <c r="H51" i="64" s="1"/>
  <c r="O121" i="64"/>
  <c r="O122" i="64"/>
  <c r="L97" i="64"/>
  <c r="L107" i="64" s="1"/>
  <c r="J121" i="64"/>
  <c r="J122" i="64"/>
  <c r="I100" i="64"/>
  <c r="K151" i="64"/>
  <c r="K150" i="64"/>
  <c r="K149" i="64"/>
  <c r="K148" i="64"/>
  <c r="K147" i="64"/>
  <c r="K146" i="64"/>
  <c r="Q97" i="64"/>
  <c r="R151" i="64"/>
  <c r="R150" i="64"/>
  <c r="R149" i="64"/>
  <c r="R148" i="64"/>
  <c r="R147" i="64"/>
  <c r="R146" i="64"/>
  <c r="J151" i="64"/>
  <c r="J150" i="64"/>
  <c r="J149" i="64"/>
  <c r="J148" i="64"/>
  <c r="J147" i="64"/>
  <c r="J146" i="64"/>
  <c r="K94" i="64"/>
  <c r="K97" i="64" s="1"/>
  <c r="I124" i="64"/>
  <c r="I111" i="64"/>
  <c r="S97" i="64"/>
  <c r="J124" i="64"/>
  <c r="J111" i="64"/>
  <c r="Q99" i="64"/>
  <c r="Q100" i="64" s="1"/>
  <c r="N94" i="64"/>
  <c r="N97" i="64" s="1"/>
  <c r="N99" i="64"/>
  <c r="N100" i="64" s="1"/>
  <c r="K160" i="64"/>
  <c r="K48" i="64"/>
  <c r="K113" i="64"/>
  <c r="K114" i="64"/>
  <c r="S151" i="64"/>
  <c r="S150" i="64"/>
  <c r="S149" i="64"/>
  <c r="S148" i="64"/>
  <c r="S147" i="64"/>
  <c r="S146" i="64"/>
  <c r="Q102" i="64"/>
  <c r="Q103" i="64" s="1"/>
  <c r="I94" i="64"/>
  <c r="I97" i="64" s="1"/>
  <c r="I117" i="64"/>
  <c r="I109" i="64"/>
  <c r="P160" i="64"/>
  <c r="P114" i="64"/>
  <c r="P113" i="64"/>
  <c r="P48" i="64"/>
  <c r="L150" i="64"/>
  <c r="L148" i="64"/>
  <c r="L146" i="64"/>
  <c r="L151" i="64"/>
  <c r="L147" i="64"/>
  <c r="L149" i="64"/>
  <c r="H124" i="64"/>
  <c r="H111" i="64"/>
  <c r="K96" i="64"/>
  <c r="K99" i="64"/>
  <c r="K100" i="64" s="1"/>
  <c r="K103" i="64" s="1"/>
  <c r="M124" i="64"/>
  <c r="M111" i="64"/>
  <c r="L96" i="64"/>
  <c r="M96" i="64"/>
  <c r="P96" i="64"/>
  <c r="Q96" i="64"/>
  <c r="I151" i="64"/>
  <c r="I149" i="64"/>
  <c r="I147" i="64"/>
  <c r="I150" i="64"/>
  <c r="I146" i="64"/>
  <c r="I148" i="64"/>
  <c r="L122" i="64"/>
  <c r="L121" i="64"/>
  <c r="R160" i="63"/>
  <c r="R114" i="63"/>
  <c r="R113" i="63"/>
  <c r="R48" i="63"/>
  <c r="R106" i="63" s="1"/>
  <c r="H99" i="63"/>
  <c r="I124" i="63"/>
  <c r="I111" i="63"/>
  <c r="M124" i="63"/>
  <c r="M111" i="63"/>
  <c r="M162" i="63"/>
  <c r="M130" i="63"/>
  <c r="M163" i="63"/>
  <c r="M126" i="63"/>
  <c r="M125" i="63"/>
  <c r="M164" i="63"/>
  <c r="M134" i="63"/>
  <c r="M165" i="63"/>
  <c r="M119" i="63"/>
  <c r="M120" i="63" s="1"/>
  <c r="M95" i="63"/>
  <c r="M168" i="63"/>
  <c r="M138" i="63"/>
  <c r="M131" i="63"/>
  <c r="M31" i="63"/>
  <c r="N154" i="63"/>
  <c r="N142" i="63"/>
  <c r="N141" i="63"/>
  <c r="N137" i="63"/>
  <c r="N136" i="63"/>
  <c r="N112" i="63"/>
  <c r="N110" i="63"/>
  <c r="N159" i="63"/>
  <c r="N157" i="63"/>
  <c r="N143" i="63"/>
  <c r="N127" i="63"/>
  <c r="N46" i="63"/>
  <c r="S151" i="63"/>
  <c r="S149" i="63"/>
  <c r="S147" i="63"/>
  <c r="S146" i="63"/>
  <c r="S148" i="63"/>
  <c r="N162" i="63"/>
  <c r="N130" i="63"/>
  <c r="N99" i="63"/>
  <c r="R162" i="63"/>
  <c r="R130" i="63"/>
  <c r="J163" i="63"/>
  <c r="J126" i="63"/>
  <c r="J125" i="63"/>
  <c r="J93" i="63"/>
  <c r="N163" i="63"/>
  <c r="N126" i="63"/>
  <c r="N125" i="63"/>
  <c r="N93" i="63"/>
  <c r="R163" i="63"/>
  <c r="R126" i="63"/>
  <c r="R125" i="63"/>
  <c r="R93" i="63"/>
  <c r="J164" i="63"/>
  <c r="J134" i="63"/>
  <c r="N164" i="63"/>
  <c r="N134" i="63"/>
  <c r="R164" i="63"/>
  <c r="R134" i="63"/>
  <c r="J165" i="63"/>
  <c r="J119" i="63"/>
  <c r="J120" i="63" s="1"/>
  <c r="N165" i="63"/>
  <c r="N119" i="63"/>
  <c r="N120" i="63" s="1"/>
  <c r="R165" i="63"/>
  <c r="R119" i="63"/>
  <c r="R120" i="63" s="1"/>
  <c r="J168" i="63"/>
  <c r="J138" i="63"/>
  <c r="J131" i="63"/>
  <c r="J101" i="63"/>
  <c r="J102" i="63" s="1"/>
  <c r="N168" i="63"/>
  <c r="N138" i="63"/>
  <c r="N131" i="63"/>
  <c r="N101" i="63"/>
  <c r="R168" i="63"/>
  <c r="R138" i="63"/>
  <c r="R131" i="63"/>
  <c r="R101" i="63"/>
  <c r="N31" i="63"/>
  <c r="R31" i="63"/>
  <c r="K32" i="63"/>
  <c r="K137" i="63"/>
  <c r="K136" i="63"/>
  <c r="K154" i="63"/>
  <c r="K142" i="63"/>
  <c r="K141" i="63"/>
  <c r="K112" i="63"/>
  <c r="K110" i="63"/>
  <c r="O137" i="63"/>
  <c r="O136" i="63"/>
  <c r="O141" i="63"/>
  <c r="O110" i="63"/>
  <c r="O142" i="63"/>
  <c r="O112" i="63"/>
  <c r="S137" i="63"/>
  <c r="S136" i="63"/>
  <c r="S112" i="63"/>
  <c r="S154" i="63"/>
  <c r="S142" i="63"/>
  <c r="S110" i="63"/>
  <c r="K127" i="63"/>
  <c r="K143" i="63"/>
  <c r="K157" i="63"/>
  <c r="O127" i="63"/>
  <c r="O159" i="63"/>
  <c r="O157" i="63"/>
  <c r="O143" i="63"/>
  <c r="S127" i="63"/>
  <c r="S143" i="63"/>
  <c r="S157" i="63"/>
  <c r="S159" i="63"/>
  <c r="K46" i="63"/>
  <c r="O46" i="63"/>
  <c r="S46" i="63"/>
  <c r="M93" i="63"/>
  <c r="M94" i="63" s="1"/>
  <c r="M101" i="63"/>
  <c r="M102" i="63" s="1"/>
  <c r="K159" i="63"/>
  <c r="I162" i="63"/>
  <c r="I130" i="63"/>
  <c r="I99" i="63"/>
  <c r="I100" i="63" s="1"/>
  <c r="I163" i="63"/>
  <c r="I126" i="63"/>
  <c r="I125" i="63"/>
  <c r="Q163" i="63"/>
  <c r="Q126" i="63"/>
  <c r="Q125" i="63"/>
  <c r="Q164" i="63"/>
  <c r="Q134" i="63"/>
  <c r="Q165" i="63"/>
  <c r="Q119" i="63"/>
  <c r="Q120" i="63" s="1"/>
  <c r="Q95" i="63"/>
  <c r="Q96" i="63" s="1"/>
  <c r="Q168" i="63"/>
  <c r="Q138" i="63"/>
  <c r="J154" i="63"/>
  <c r="J142" i="63"/>
  <c r="J141" i="63"/>
  <c r="J137" i="63"/>
  <c r="J136" i="63"/>
  <c r="J112" i="63"/>
  <c r="J110" i="63"/>
  <c r="J159" i="63"/>
  <c r="J157" i="63"/>
  <c r="J143" i="63"/>
  <c r="J127" i="63"/>
  <c r="J46" i="63"/>
  <c r="I93" i="63"/>
  <c r="H120" i="63"/>
  <c r="Q131" i="63"/>
  <c r="J162" i="63"/>
  <c r="J130" i="63"/>
  <c r="J99" i="63"/>
  <c r="K162" i="63"/>
  <c r="K130" i="63"/>
  <c r="O130" i="63"/>
  <c r="O162" i="63"/>
  <c r="S162" i="63"/>
  <c r="S130" i="63"/>
  <c r="K126" i="63"/>
  <c r="K125" i="63"/>
  <c r="K163" i="63"/>
  <c r="K93" i="63"/>
  <c r="K94" i="63" s="1"/>
  <c r="O163" i="63"/>
  <c r="O126" i="63"/>
  <c r="O125" i="63"/>
  <c r="O93" i="63"/>
  <c r="O94" i="63" s="1"/>
  <c r="S126" i="63"/>
  <c r="S125" i="63"/>
  <c r="S163" i="63"/>
  <c r="S93" i="63"/>
  <c r="S94" i="63" s="1"/>
  <c r="S97" i="63" s="1"/>
  <c r="K134" i="63"/>
  <c r="K164" i="63"/>
  <c r="O134" i="63"/>
  <c r="O164" i="63"/>
  <c r="S134" i="63"/>
  <c r="S164" i="63"/>
  <c r="K119" i="63"/>
  <c r="K120" i="63" s="1"/>
  <c r="K165" i="63"/>
  <c r="K95" i="63"/>
  <c r="O165" i="63"/>
  <c r="O119" i="63"/>
  <c r="O120" i="63" s="1"/>
  <c r="O95" i="63"/>
  <c r="S119" i="63"/>
  <c r="S120" i="63" s="1"/>
  <c r="S165" i="63"/>
  <c r="S95" i="63"/>
  <c r="S96" i="63" s="1"/>
  <c r="K168" i="63"/>
  <c r="K131" i="63"/>
  <c r="K101" i="63"/>
  <c r="K102" i="63" s="1"/>
  <c r="O131" i="63"/>
  <c r="O138" i="63"/>
  <c r="O168" i="63"/>
  <c r="O101" i="63"/>
  <c r="O102" i="63" s="1"/>
  <c r="S131" i="63"/>
  <c r="S168" i="63"/>
  <c r="S101" i="63"/>
  <c r="S102" i="63" s="1"/>
  <c r="S138" i="63"/>
  <c r="K31" i="63"/>
  <c r="O31" i="63"/>
  <c r="S31" i="63"/>
  <c r="H141" i="63"/>
  <c r="H136" i="63"/>
  <c r="H154" i="63"/>
  <c r="H142" i="63"/>
  <c r="H112" i="63"/>
  <c r="H110" i="63"/>
  <c r="H137" i="63"/>
  <c r="L154" i="63"/>
  <c r="L142" i="63"/>
  <c r="L137" i="63"/>
  <c r="L141" i="63"/>
  <c r="L112" i="63"/>
  <c r="L110" i="63"/>
  <c r="P141" i="63"/>
  <c r="P136" i="63"/>
  <c r="P154" i="63"/>
  <c r="P142" i="63"/>
  <c r="P110" i="63"/>
  <c r="P137" i="63"/>
  <c r="P112" i="63"/>
  <c r="H159" i="63"/>
  <c r="H157" i="63"/>
  <c r="H143" i="63"/>
  <c r="H127" i="63"/>
  <c r="L159" i="63"/>
  <c r="L157" i="63"/>
  <c r="L143" i="63"/>
  <c r="L127" i="63"/>
  <c r="P159" i="63"/>
  <c r="P157" i="63"/>
  <c r="P143" i="63"/>
  <c r="P127" i="63"/>
  <c r="H46" i="63"/>
  <c r="L46" i="63"/>
  <c r="P46" i="63"/>
  <c r="Q93" i="63"/>
  <c r="J95" i="63"/>
  <c r="Q101" i="63"/>
  <c r="Q102" i="63" s="1"/>
  <c r="Q162" i="63"/>
  <c r="Q130" i="63"/>
  <c r="Q99" i="63"/>
  <c r="I164" i="63"/>
  <c r="I134" i="63"/>
  <c r="I165" i="63"/>
  <c r="I119" i="63"/>
  <c r="I120" i="63" s="1"/>
  <c r="I95" i="63"/>
  <c r="I168" i="63"/>
  <c r="I138" i="63"/>
  <c r="I131" i="63"/>
  <c r="J117" i="63"/>
  <c r="J109" i="63"/>
  <c r="R154" i="63"/>
  <c r="R142" i="63"/>
  <c r="R141" i="63"/>
  <c r="R137" i="63"/>
  <c r="R136" i="63"/>
  <c r="R112" i="63"/>
  <c r="R110" i="63"/>
  <c r="R159" i="63"/>
  <c r="R157" i="63"/>
  <c r="R143" i="63"/>
  <c r="R127" i="63"/>
  <c r="H162" i="63"/>
  <c r="H130" i="63"/>
  <c r="P162" i="63"/>
  <c r="P130" i="63"/>
  <c r="H125" i="63"/>
  <c r="H93" i="63"/>
  <c r="H163" i="63"/>
  <c r="H126" i="63"/>
  <c r="L163" i="63"/>
  <c r="L126" i="63"/>
  <c r="L93" i="63"/>
  <c r="P163" i="63"/>
  <c r="P93" i="63"/>
  <c r="P94" i="63" s="1"/>
  <c r="P125" i="63"/>
  <c r="H164" i="63"/>
  <c r="H134" i="63"/>
  <c r="L134" i="63"/>
  <c r="P164" i="63"/>
  <c r="P134" i="63"/>
  <c r="H95" i="63"/>
  <c r="H165" i="63"/>
  <c r="L165" i="63"/>
  <c r="L95" i="63"/>
  <c r="L96" i="63" s="1"/>
  <c r="L119" i="63"/>
  <c r="L120" i="63" s="1"/>
  <c r="P165" i="63"/>
  <c r="P119" i="63"/>
  <c r="P120" i="63" s="1"/>
  <c r="P95" i="63"/>
  <c r="H138" i="63"/>
  <c r="H168" i="63"/>
  <c r="H101" i="63"/>
  <c r="I102" i="63" s="1"/>
  <c r="I103" i="63" s="1"/>
  <c r="H131" i="63"/>
  <c r="L138" i="63"/>
  <c r="L168" i="63"/>
  <c r="L131" i="63"/>
  <c r="L101" i="63"/>
  <c r="L102" i="63" s="1"/>
  <c r="P138" i="63"/>
  <c r="P131" i="63"/>
  <c r="P168" i="63"/>
  <c r="P101" i="63"/>
  <c r="P102" i="63" s="1"/>
  <c r="H31" i="63"/>
  <c r="L31" i="63"/>
  <c r="P31" i="63"/>
  <c r="I57" i="63"/>
  <c r="I73" i="63" s="1"/>
  <c r="I92" i="63" s="1"/>
  <c r="I105" i="63"/>
  <c r="I154" i="63"/>
  <c r="I142" i="63"/>
  <c r="I141" i="63"/>
  <c r="I136" i="63"/>
  <c r="I137" i="63"/>
  <c r="M154" i="63"/>
  <c r="M142" i="63"/>
  <c r="M141" i="63"/>
  <c r="M137" i="63"/>
  <c r="M136" i="63"/>
  <c r="Q154" i="63"/>
  <c r="Q142" i="63"/>
  <c r="Q141" i="63"/>
  <c r="Q136" i="63"/>
  <c r="Q137" i="63"/>
  <c r="Q112" i="63"/>
  <c r="I159" i="63"/>
  <c r="I157" i="63"/>
  <c r="I143" i="63"/>
  <c r="I127" i="63"/>
  <c r="M159" i="63"/>
  <c r="M157" i="63"/>
  <c r="M143" i="63"/>
  <c r="M127" i="63"/>
  <c r="Q159" i="63"/>
  <c r="Q157" i="63"/>
  <c r="Q143" i="63"/>
  <c r="Q127" i="63"/>
  <c r="I46" i="63"/>
  <c r="M46" i="63"/>
  <c r="Q46" i="63"/>
  <c r="J57" i="63"/>
  <c r="J73" i="63" s="1"/>
  <c r="J92" i="63" s="1"/>
  <c r="N95" i="63"/>
  <c r="N96" i="63" s="1"/>
  <c r="Q110" i="63"/>
  <c r="I112" i="63"/>
  <c r="L130" i="63"/>
  <c r="K138" i="63"/>
  <c r="S150" i="63"/>
  <c r="L164" i="63"/>
  <c r="H117" i="63"/>
  <c r="M140" i="62"/>
  <c r="L140" i="62"/>
  <c r="K140" i="62"/>
  <c r="J140" i="62"/>
  <c r="I140" i="62"/>
  <c r="H140" i="62"/>
  <c r="I136" i="62"/>
  <c r="H136" i="62"/>
  <c r="J133" i="62"/>
  <c r="L132" i="62"/>
  <c r="H132" i="62"/>
  <c r="J131" i="62"/>
  <c r="L130" i="62"/>
  <c r="M129" i="62"/>
  <c r="L129" i="62"/>
  <c r="K129" i="62"/>
  <c r="J129" i="62"/>
  <c r="H129" i="62"/>
  <c r="M128" i="62"/>
  <c r="L128" i="62"/>
  <c r="K128" i="62"/>
  <c r="J128" i="62"/>
  <c r="I128" i="62"/>
  <c r="H128" i="62"/>
  <c r="J127" i="62"/>
  <c r="M126" i="62"/>
  <c r="M121" i="62"/>
  <c r="M117" i="62"/>
  <c r="H117" i="62"/>
  <c r="K116" i="62"/>
  <c r="J116" i="62"/>
  <c r="M115" i="62"/>
  <c r="L115" i="62"/>
  <c r="E113" i="62"/>
  <c r="H112" i="62"/>
  <c r="H110" i="62"/>
  <c r="H104" i="62"/>
  <c r="M103" i="62"/>
  <c r="M100" i="62"/>
  <c r="L100" i="62"/>
  <c r="K100" i="62"/>
  <c r="J100" i="62"/>
  <c r="I100" i="62"/>
  <c r="H100" i="62"/>
  <c r="M95" i="62"/>
  <c r="L95" i="62"/>
  <c r="K95" i="62"/>
  <c r="J95" i="62"/>
  <c r="I95" i="62"/>
  <c r="H95" i="62"/>
  <c r="H94" i="62"/>
  <c r="H105" i="62" s="1"/>
  <c r="H93" i="62"/>
  <c r="J91" i="62"/>
  <c r="H90" i="62"/>
  <c r="L88" i="62"/>
  <c r="J87" i="62"/>
  <c r="M86" i="62"/>
  <c r="M94" i="62" s="1"/>
  <c r="M108" i="62" s="1"/>
  <c r="M114" i="62" s="1"/>
  <c r="M118" i="62" s="1"/>
  <c r="L86" i="62"/>
  <c r="L94" i="62" s="1"/>
  <c r="K86" i="62"/>
  <c r="K94" i="62" s="1"/>
  <c r="H86" i="62"/>
  <c r="M84" i="62"/>
  <c r="L84" i="62"/>
  <c r="K84" i="62"/>
  <c r="J84" i="62"/>
  <c r="I84" i="62"/>
  <c r="H84" i="62"/>
  <c r="M72" i="62"/>
  <c r="L72" i="62"/>
  <c r="H72" i="62"/>
  <c r="M70" i="62"/>
  <c r="L70" i="62"/>
  <c r="K70" i="62"/>
  <c r="J70" i="62"/>
  <c r="I70" i="62"/>
  <c r="H70" i="62"/>
  <c r="J56" i="62"/>
  <c r="J72" i="62" s="1"/>
  <c r="I56" i="62"/>
  <c r="I72" i="62" s="1"/>
  <c r="H56" i="62"/>
  <c r="M54" i="62"/>
  <c r="L54" i="62"/>
  <c r="K54" i="62"/>
  <c r="J54" i="62"/>
  <c r="J46" i="62"/>
  <c r="M41" i="62"/>
  <c r="M131" i="62" s="1"/>
  <c r="L41" i="62"/>
  <c r="L131" i="62" s="1"/>
  <c r="K41" i="62"/>
  <c r="K131" i="62" s="1"/>
  <c r="J41" i="62"/>
  <c r="I41" i="62"/>
  <c r="I131" i="62" s="1"/>
  <c r="H41" i="62"/>
  <c r="H131" i="62" s="1"/>
  <c r="M38" i="62"/>
  <c r="M104" i="62" s="1"/>
  <c r="L38" i="62"/>
  <c r="K38" i="62"/>
  <c r="K132" i="62" s="1"/>
  <c r="J38" i="62"/>
  <c r="I38" i="62"/>
  <c r="I104" i="62" s="1"/>
  <c r="I36" i="62"/>
  <c r="I129" i="62" s="1"/>
  <c r="M33" i="62"/>
  <c r="M127" i="62" s="1"/>
  <c r="L33" i="62"/>
  <c r="K33" i="62"/>
  <c r="J33" i="62"/>
  <c r="H33" i="62"/>
  <c r="H88" i="62" s="1"/>
  <c r="K32" i="62"/>
  <c r="K56" i="62" s="1"/>
  <c r="K72" i="62" s="1"/>
  <c r="J32" i="62"/>
  <c r="J86" i="62" s="1"/>
  <c r="J94" i="62" s="1"/>
  <c r="J108" i="62" s="1"/>
  <c r="J114" i="62" s="1"/>
  <c r="J118" i="62" s="1"/>
  <c r="J126" i="62" s="1"/>
  <c r="I32" i="62"/>
  <c r="I86" i="62" s="1"/>
  <c r="I94" i="62" s="1"/>
  <c r="I108" i="62" s="1"/>
  <c r="I114" i="62" s="1"/>
  <c r="I118" i="62" s="1"/>
  <c r="I126" i="62" s="1"/>
  <c r="I29" i="62"/>
  <c r="H27" i="62"/>
  <c r="M20" i="62"/>
  <c r="M139" i="62" s="1"/>
  <c r="L20" i="62"/>
  <c r="L139" i="62" s="1"/>
  <c r="K20" i="62"/>
  <c r="K139" i="62" s="1"/>
  <c r="J20" i="62"/>
  <c r="J139" i="62" s="1"/>
  <c r="I20" i="62"/>
  <c r="I139" i="62" s="1"/>
  <c r="H20" i="62"/>
  <c r="H139" i="62" s="1"/>
  <c r="M19" i="62"/>
  <c r="M96" i="62" s="1"/>
  <c r="M97" i="62" s="1"/>
  <c r="L19" i="62"/>
  <c r="K19" i="62"/>
  <c r="K138" i="62" s="1"/>
  <c r="J19" i="62"/>
  <c r="I19" i="62"/>
  <c r="I96" i="62" s="1"/>
  <c r="I97" i="62" s="1"/>
  <c r="H19" i="62"/>
  <c r="I15" i="62"/>
  <c r="I110" i="62" s="1"/>
  <c r="I10" i="62"/>
  <c r="H10" i="62"/>
  <c r="M5" i="62"/>
  <c r="L5" i="62"/>
  <c r="L103" i="62" s="1"/>
  <c r="K5" i="62"/>
  <c r="J5" i="62"/>
  <c r="I5" i="62"/>
  <c r="H5" i="62"/>
  <c r="H103" i="62" s="1"/>
  <c r="N105" i="67" l="1"/>
  <c r="O32" i="67"/>
  <c r="N57" i="67"/>
  <c r="N73" i="67" s="1"/>
  <c r="N92" i="67" s="1"/>
  <c r="M117" i="67"/>
  <c r="M109" i="67"/>
  <c r="L133" i="67"/>
  <c r="L140" i="67" s="1"/>
  <c r="L145" i="67" s="1"/>
  <c r="L153" i="67" s="1"/>
  <c r="L129" i="67"/>
  <c r="N87" i="66"/>
  <c r="N95" i="66" s="1"/>
  <c r="N57" i="66"/>
  <c r="N73" i="66" s="1"/>
  <c r="O32" i="66"/>
  <c r="M106" i="66"/>
  <c r="M109" i="66"/>
  <c r="M115" i="66" s="1"/>
  <c r="M119" i="66" s="1"/>
  <c r="M127" i="66" s="1"/>
  <c r="K161" i="65"/>
  <c r="K52" i="65"/>
  <c r="O100" i="65"/>
  <c r="O103" i="65" s="1"/>
  <c r="P100" i="65"/>
  <c r="P103" i="65" s="1"/>
  <c r="S161" i="65"/>
  <c r="S52" i="65"/>
  <c r="L161" i="65"/>
  <c r="L52" i="65"/>
  <c r="Q161" i="65"/>
  <c r="Q52" i="65"/>
  <c r="K117" i="65"/>
  <c r="K109" i="65"/>
  <c r="S90" i="65"/>
  <c r="S115" i="65"/>
  <c r="S27" i="65"/>
  <c r="J161" i="65"/>
  <c r="J52" i="65"/>
  <c r="I161" i="65"/>
  <c r="I52" i="65"/>
  <c r="R168" i="65"/>
  <c r="R131" i="65"/>
  <c r="R138" i="65"/>
  <c r="R101" i="65"/>
  <c r="R102" i="65" s="1"/>
  <c r="R103" i="65" s="1"/>
  <c r="R18" i="65"/>
  <c r="R31" i="65" s="1"/>
  <c r="L105" i="65"/>
  <c r="L57" i="65"/>
  <c r="L73" i="65" s="1"/>
  <c r="L92" i="65" s="1"/>
  <c r="M32" i="65"/>
  <c r="O161" i="65"/>
  <c r="O52" i="65"/>
  <c r="J133" i="65"/>
  <c r="J140" i="65" s="1"/>
  <c r="J145" i="65" s="1"/>
  <c r="J153" i="65" s="1"/>
  <c r="J129" i="65"/>
  <c r="P161" i="65"/>
  <c r="P52" i="65"/>
  <c r="M161" i="65"/>
  <c r="M52" i="65"/>
  <c r="R51" i="65"/>
  <c r="R106" i="65"/>
  <c r="R107" i="65" s="1"/>
  <c r="M161" i="64"/>
  <c r="M52" i="64"/>
  <c r="Q106" i="64"/>
  <c r="Q51" i="64"/>
  <c r="M97" i="64"/>
  <c r="M107" i="64" s="1"/>
  <c r="I106" i="64"/>
  <c r="I107" i="64" s="1"/>
  <c r="I51" i="64"/>
  <c r="J109" i="64"/>
  <c r="J117" i="64"/>
  <c r="N107" i="64"/>
  <c r="H161" i="64"/>
  <c r="H52" i="64"/>
  <c r="P106" i="64"/>
  <c r="P51" i="64"/>
  <c r="K51" i="64"/>
  <c r="K106" i="64"/>
  <c r="K107" i="64" s="1"/>
  <c r="L100" i="64"/>
  <c r="L103" i="64" s="1"/>
  <c r="R51" i="64"/>
  <c r="R106" i="64"/>
  <c r="S103" i="64"/>
  <c r="L161" i="64"/>
  <c r="L52" i="64"/>
  <c r="R107" i="64"/>
  <c r="N51" i="64"/>
  <c r="N106" i="64"/>
  <c r="N103" i="64"/>
  <c r="P103" i="64"/>
  <c r="P107" i="64"/>
  <c r="S51" i="64"/>
  <c r="S106" i="64"/>
  <c r="S107" i="64"/>
  <c r="Q107" i="64"/>
  <c r="J51" i="64"/>
  <c r="J106" i="64"/>
  <c r="J107" i="64" s="1"/>
  <c r="I103" i="64"/>
  <c r="K57" i="64"/>
  <c r="K73" i="64" s="1"/>
  <c r="K92" i="64" s="1"/>
  <c r="K105" i="64"/>
  <c r="L32" i="64"/>
  <c r="I129" i="64"/>
  <c r="I133" i="64"/>
  <c r="I140" i="64" s="1"/>
  <c r="I145" i="64" s="1"/>
  <c r="I153" i="64" s="1"/>
  <c r="O51" i="64"/>
  <c r="O106" i="64"/>
  <c r="O107" i="64" s="1"/>
  <c r="J103" i="64"/>
  <c r="O100" i="64"/>
  <c r="O103" i="64" s="1"/>
  <c r="H133" i="63"/>
  <c r="H140" i="63" s="1"/>
  <c r="H145" i="63" s="1"/>
  <c r="H153" i="63" s="1"/>
  <c r="H129" i="63"/>
  <c r="Q151" i="63"/>
  <c r="Q150" i="63"/>
  <c r="Q149" i="63"/>
  <c r="Q148" i="63"/>
  <c r="Q147" i="63"/>
  <c r="Q146" i="63"/>
  <c r="P160" i="63"/>
  <c r="P114" i="63"/>
  <c r="P113" i="63"/>
  <c r="P48" i="63"/>
  <c r="O96" i="63"/>
  <c r="O97" i="63"/>
  <c r="J148" i="63"/>
  <c r="J147" i="63"/>
  <c r="J146" i="63"/>
  <c r="S124" i="63"/>
  <c r="S111" i="63"/>
  <c r="O124" i="63"/>
  <c r="O111" i="63"/>
  <c r="N122" i="63"/>
  <c r="N121" i="63"/>
  <c r="M148" i="63"/>
  <c r="M147" i="63"/>
  <c r="M146" i="63"/>
  <c r="I117" i="63"/>
  <c r="I109" i="63"/>
  <c r="L121" i="63"/>
  <c r="L122" i="63"/>
  <c r="R151" i="63"/>
  <c r="R150" i="63"/>
  <c r="R149" i="63"/>
  <c r="R148" i="63"/>
  <c r="R147" i="63"/>
  <c r="R146" i="63"/>
  <c r="I96" i="63"/>
  <c r="L160" i="63"/>
  <c r="L114" i="63"/>
  <c r="L113" i="63"/>
  <c r="L48" i="63"/>
  <c r="P150" i="63"/>
  <c r="P148" i="63"/>
  <c r="P146" i="63"/>
  <c r="P151" i="63"/>
  <c r="P149" i="63"/>
  <c r="P147" i="63"/>
  <c r="H111" i="63"/>
  <c r="H124" i="63"/>
  <c r="O122" i="63"/>
  <c r="O121" i="63"/>
  <c r="J100" i="63"/>
  <c r="J103" i="63" s="1"/>
  <c r="M97" i="63"/>
  <c r="R96" i="63"/>
  <c r="Q124" i="63"/>
  <c r="Q111" i="63"/>
  <c r="P96" i="63"/>
  <c r="L94" i="63"/>
  <c r="L97" i="63" s="1"/>
  <c r="I122" i="63"/>
  <c r="I121" i="63"/>
  <c r="J96" i="63"/>
  <c r="H160" i="63"/>
  <c r="H114" i="63"/>
  <c r="H48" i="63"/>
  <c r="H51" i="63" s="1"/>
  <c r="H113" i="63"/>
  <c r="L111" i="63"/>
  <c r="L124" i="63"/>
  <c r="H150" i="63"/>
  <c r="H148" i="63"/>
  <c r="H146" i="63"/>
  <c r="H151" i="63"/>
  <c r="H149" i="63"/>
  <c r="H147" i="63"/>
  <c r="O103" i="63"/>
  <c r="K99" i="63"/>
  <c r="K100" i="63" s="1"/>
  <c r="K103" i="63" s="1"/>
  <c r="I94" i="63"/>
  <c r="Q122" i="63"/>
  <c r="Q121" i="63"/>
  <c r="S114" i="63"/>
  <c r="S113" i="63"/>
  <c r="S160" i="63"/>
  <c r="S48" i="63"/>
  <c r="K147" i="63"/>
  <c r="K146" i="63"/>
  <c r="K148" i="63"/>
  <c r="R102" i="63"/>
  <c r="R103" i="63" s="1"/>
  <c r="N102" i="63"/>
  <c r="R122" i="63"/>
  <c r="R121" i="63"/>
  <c r="J122" i="63"/>
  <c r="J121" i="63"/>
  <c r="R94" i="63"/>
  <c r="R97" i="63" s="1"/>
  <c r="R107" i="63" s="1"/>
  <c r="N94" i="63"/>
  <c r="N97" i="63" s="1"/>
  <c r="J94" i="63"/>
  <c r="R99" i="63"/>
  <c r="R100" i="63" s="1"/>
  <c r="N160" i="63"/>
  <c r="N114" i="63"/>
  <c r="N113" i="63"/>
  <c r="N48" i="63"/>
  <c r="M96" i="63"/>
  <c r="M99" i="63"/>
  <c r="M100" i="63" s="1"/>
  <c r="M103" i="63" s="1"/>
  <c r="I160" i="63"/>
  <c r="I114" i="63"/>
  <c r="I113" i="63"/>
  <c r="I48" i="63"/>
  <c r="P97" i="63"/>
  <c r="L147" i="63"/>
  <c r="L148" i="63"/>
  <c r="L146" i="63"/>
  <c r="S99" i="63"/>
  <c r="S100" i="63" s="1"/>
  <c r="J124" i="63"/>
  <c r="J111" i="63"/>
  <c r="K114" i="63"/>
  <c r="K113" i="63"/>
  <c r="K160" i="63"/>
  <c r="K48" i="63"/>
  <c r="K124" i="63"/>
  <c r="K111" i="63"/>
  <c r="R124" i="63"/>
  <c r="R111" i="63"/>
  <c r="J133" i="63"/>
  <c r="J140" i="63" s="1"/>
  <c r="J145" i="63" s="1"/>
  <c r="J153" i="63" s="1"/>
  <c r="J129" i="63"/>
  <c r="P111" i="63"/>
  <c r="P124" i="63"/>
  <c r="K122" i="63"/>
  <c r="K121" i="63"/>
  <c r="H121" i="63"/>
  <c r="H122" i="63"/>
  <c r="O150" i="63"/>
  <c r="O148" i="63"/>
  <c r="O146" i="63"/>
  <c r="O147" i="63"/>
  <c r="O149" i="63"/>
  <c r="O151" i="63"/>
  <c r="Q160" i="63"/>
  <c r="Q114" i="63"/>
  <c r="Q113" i="63"/>
  <c r="Q48" i="63"/>
  <c r="I151" i="63"/>
  <c r="I150" i="63"/>
  <c r="I149" i="63"/>
  <c r="I148" i="63"/>
  <c r="I147" i="63"/>
  <c r="I146" i="63"/>
  <c r="L99" i="63"/>
  <c r="L100" i="63" s="1"/>
  <c r="L103" i="63" s="1"/>
  <c r="M160" i="63"/>
  <c r="M114" i="63"/>
  <c r="M113" i="63"/>
  <c r="M48" i="63"/>
  <c r="P122" i="63"/>
  <c r="P121" i="63"/>
  <c r="Q94" i="63"/>
  <c r="Q97" i="63" s="1"/>
  <c r="S103" i="63"/>
  <c r="S122" i="63"/>
  <c r="S121" i="63"/>
  <c r="K96" i="63"/>
  <c r="K97" i="63" s="1"/>
  <c r="O99" i="63"/>
  <c r="O100" i="63" s="1"/>
  <c r="J160" i="63"/>
  <c r="J114" i="63"/>
  <c r="J113" i="63"/>
  <c r="J48" i="63"/>
  <c r="O114" i="63"/>
  <c r="O113" i="63"/>
  <c r="O160" i="63"/>
  <c r="O48" i="63"/>
  <c r="K57" i="63"/>
  <c r="K73" i="63" s="1"/>
  <c r="K92" i="63" s="1"/>
  <c r="K105" i="63"/>
  <c r="L32" i="63"/>
  <c r="N124" i="63"/>
  <c r="N111" i="63"/>
  <c r="N151" i="63"/>
  <c r="N150" i="63"/>
  <c r="N149" i="63"/>
  <c r="N148" i="63"/>
  <c r="N147" i="63"/>
  <c r="N146" i="63"/>
  <c r="M122" i="63"/>
  <c r="M121" i="63"/>
  <c r="P99" i="63"/>
  <c r="Q100" i="63" s="1"/>
  <c r="Q103" i="63" s="1"/>
  <c r="K136" i="62"/>
  <c r="K103" i="62"/>
  <c r="K102" i="62"/>
  <c r="H101" i="62"/>
  <c r="H89" i="62"/>
  <c r="H138" i="62"/>
  <c r="H96" i="62"/>
  <c r="H97" i="62" s="1"/>
  <c r="H18" i="62"/>
  <c r="L96" i="62"/>
  <c r="L97" i="62" s="1"/>
  <c r="L138" i="62"/>
  <c r="H107" i="62"/>
  <c r="H141" i="62"/>
  <c r="H113" i="62"/>
  <c r="K105" i="62"/>
  <c r="K108" i="62"/>
  <c r="K114" i="62" s="1"/>
  <c r="K118" i="62" s="1"/>
  <c r="K126" i="62" s="1"/>
  <c r="M98" i="62"/>
  <c r="L105" i="62"/>
  <c r="L108" i="62"/>
  <c r="L114" i="62" s="1"/>
  <c r="L118" i="62" s="1"/>
  <c r="L126" i="62" s="1"/>
  <c r="I137" i="62"/>
  <c r="I109" i="62"/>
  <c r="I98" i="62"/>
  <c r="I4" i="62"/>
  <c r="K115" i="62"/>
  <c r="K46" i="62"/>
  <c r="K90" i="62"/>
  <c r="L102" i="62"/>
  <c r="J105" i="62"/>
  <c r="H108" i="62"/>
  <c r="H114" i="62" s="1"/>
  <c r="H118" i="62" s="1"/>
  <c r="H126" i="62" s="1"/>
  <c r="L124" i="62"/>
  <c r="L122" i="62"/>
  <c r="L120" i="62"/>
  <c r="L119" i="62"/>
  <c r="L123" i="62"/>
  <c r="M130" i="62"/>
  <c r="I132" i="62"/>
  <c r="M138" i="62"/>
  <c r="I102" i="62"/>
  <c r="M102" i="62"/>
  <c r="J15" i="62"/>
  <c r="J96" i="62"/>
  <c r="J97" i="62" s="1"/>
  <c r="J138" i="62"/>
  <c r="L46" i="62"/>
  <c r="L127" i="62"/>
  <c r="L116" i="62"/>
  <c r="J104" i="62"/>
  <c r="J132" i="62"/>
  <c r="J130" i="62"/>
  <c r="J117" i="62"/>
  <c r="M46" i="62"/>
  <c r="L90" i="62"/>
  <c r="I103" i="62"/>
  <c r="K104" i="62"/>
  <c r="M105" i="62"/>
  <c r="M124" i="62"/>
  <c r="M122" i="62"/>
  <c r="M120" i="62"/>
  <c r="I117" i="62"/>
  <c r="M119" i="62"/>
  <c r="M123" i="62"/>
  <c r="K127" i="62"/>
  <c r="H130" i="62"/>
  <c r="L136" i="62"/>
  <c r="J112" i="62"/>
  <c r="L101" i="62"/>
  <c r="L89" i="62"/>
  <c r="I105" i="62"/>
  <c r="J92" i="62"/>
  <c r="J48" i="62"/>
  <c r="J51" i="62" s="1"/>
  <c r="H4" i="62"/>
  <c r="J102" i="62"/>
  <c r="J136" i="62"/>
  <c r="H109" i="62"/>
  <c r="H137" i="62"/>
  <c r="H111" i="62"/>
  <c r="H46" i="62"/>
  <c r="H127" i="62"/>
  <c r="H116" i="62"/>
  <c r="K88" i="62"/>
  <c r="K96" i="62"/>
  <c r="K97" i="62" s="1"/>
  <c r="H102" i="62"/>
  <c r="J103" i="62"/>
  <c r="L104" i="62"/>
  <c r="H115" i="62"/>
  <c r="L117" i="62"/>
  <c r="L121" i="62"/>
  <c r="I130" i="62"/>
  <c r="M132" i="62"/>
  <c r="M136" i="62"/>
  <c r="I138" i="62"/>
  <c r="I33" i="62"/>
  <c r="M88" i="62"/>
  <c r="M90" i="62"/>
  <c r="J115" i="62"/>
  <c r="J88" i="62"/>
  <c r="J90" i="62"/>
  <c r="I116" i="62"/>
  <c r="M116" i="62"/>
  <c r="K117" i="62"/>
  <c r="K130" i="62"/>
  <c r="S167" i="61"/>
  <c r="R167" i="61"/>
  <c r="Q167" i="61"/>
  <c r="P167" i="61"/>
  <c r="O167" i="61"/>
  <c r="N167" i="61"/>
  <c r="M167" i="61"/>
  <c r="L167" i="61"/>
  <c r="K167" i="61"/>
  <c r="J167" i="61"/>
  <c r="I167" i="61"/>
  <c r="H167" i="61"/>
  <c r="S166" i="61"/>
  <c r="R166" i="61"/>
  <c r="Q166" i="61"/>
  <c r="P166" i="61"/>
  <c r="O166" i="61"/>
  <c r="N166" i="61"/>
  <c r="M166" i="61"/>
  <c r="L166" i="61"/>
  <c r="K166" i="61"/>
  <c r="J166" i="61"/>
  <c r="I166" i="61"/>
  <c r="H166" i="61"/>
  <c r="S156" i="61"/>
  <c r="R156" i="61"/>
  <c r="Q156" i="61"/>
  <c r="P156" i="61"/>
  <c r="O156" i="61"/>
  <c r="N156" i="61"/>
  <c r="M156" i="61"/>
  <c r="L156" i="61"/>
  <c r="K156" i="61"/>
  <c r="J156" i="61"/>
  <c r="I156" i="61"/>
  <c r="H156" i="61"/>
  <c r="S155" i="61"/>
  <c r="R155" i="61"/>
  <c r="Q155" i="61"/>
  <c r="P155" i="61"/>
  <c r="O155" i="61"/>
  <c r="N155" i="61"/>
  <c r="M155" i="61"/>
  <c r="L155" i="61"/>
  <c r="K155" i="61"/>
  <c r="J155" i="61"/>
  <c r="I155" i="61"/>
  <c r="H155" i="61"/>
  <c r="L154" i="61"/>
  <c r="P141" i="61"/>
  <c r="P150" i="61" s="1"/>
  <c r="E138" i="61"/>
  <c r="I137" i="61"/>
  <c r="S135" i="61"/>
  <c r="R135" i="61"/>
  <c r="Q135" i="61"/>
  <c r="P135" i="61"/>
  <c r="O135" i="61"/>
  <c r="N135" i="61"/>
  <c r="M135" i="61"/>
  <c r="L135" i="61"/>
  <c r="K135" i="61"/>
  <c r="J135" i="61"/>
  <c r="I135" i="61"/>
  <c r="H135" i="61"/>
  <c r="J126" i="61"/>
  <c r="S123" i="61"/>
  <c r="R123" i="61"/>
  <c r="Q123" i="61"/>
  <c r="P123" i="61"/>
  <c r="O123" i="61"/>
  <c r="N123" i="61"/>
  <c r="M123" i="61"/>
  <c r="L123" i="61"/>
  <c r="K123" i="61"/>
  <c r="J123" i="61"/>
  <c r="I123" i="61"/>
  <c r="H123" i="61"/>
  <c r="R119" i="61"/>
  <c r="R120" i="61" s="1"/>
  <c r="S118" i="61"/>
  <c r="R118" i="61"/>
  <c r="Q118" i="61"/>
  <c r="P118" i="61"/>
  <c r="O118" i="61"/>
  <c r="N118" i="61"/>
  <c r="M118" i="61"/>
  <c r="L118" i="61"/>
  <c r="K118" i="61"/>
  <c r="J118" i="61"/>
  <c r="I118" i="61"/>
  <c r="H118" i="61"/>
  <c r="S115" i="61"/>
  <c r="R115" i="61"/>
  <c r="Q115" i="61"/>
  <c r="P115" i="61"/>
  <c r="O115" i="61"/>
  <c r="N115" i="61"/>
  <c r="M115" i="61"/>
  <c r="H115" i="61"/>
  <c r="H105" i="61"/>
  <c r="R95" i="61"/>
  <c r="N95" i="61"/>
  <c r="J95" i="61"/>
  <c r="S90" i="61"/>
  <c r="R90" i="61"/>
  <c r="Q90" i="61"/>
  <c r="P90" i="61"/>
  <c r="O90" i="61"/>
  <c r="N90" i="61"/>
  <c r="S89" i="61"/>
  <c r="R89" i="61"/>
  <c r="Q89" i="61"/>
  <c r="P89" i="61"/>
  <c r="O89" i="61"/>
  <c r="N89" i="61"/>
  <c r="M89" i="61"/>
  <c r="L89" i="61"/>
  <c r="K89" i="61"/>
  <c r="J89" i="61"/>
  <c r="I89" i="61"/>
  <c r="S88" i="61"/>
  <c r="R88" i="61"/>
  <c r="Q88" i="61"/>
  <c r="P88" i="61"/>
  <c r="O88" i="61"/>
  <c r="N88" i="61"/>
  <c r="M88" i="61"/>
  <c r="L88" i="61"/>
  <c r="K88" i="61"/>
  <c r="J88" i="61"/>
  <c r="I88" i="61"/>
  <c r="S87" i="61"/>
  <c r="R87" i="61"/>
  <c r="Q87" i="61"/>
  <c r="P87" i="61"/>
  <c r="O87" i="61"/>
  <c r="N87" i="61"/>
  <c r="M87" i="61"/>
  <c r="L87" i="61"/>
  <c r="K87" i="61"/>
  <c r="J87" i="61"/>
  <c r="I87" i="61"/>
  <c r="S86" i="61"/>
  <c r="R86" i="61"/>
  <c r="Q86" i="61"/>
  <c r="P86" i="61"/>
  <c r="O86" i="61"/>
  <c r="N86" i="61"/>
  <c r="M86" i="61"/>
  <c r="L86" i="61"/>
  <c r="K86" i="61"/>
  <c r="J86" i="61"/>
  <c r="I86" i="61"/>
  <c r="H86" i="61"/>
  <c r="S71" i="61"/>
  <c r="R71" i="61"/>
  <c r="Q71" i="61"/>
  <c r="P71" i="61"/>
  <c r="O71" i="61"/>
  <c r="N71" i="61"/>
  <c r="M71" i="61"/>
  <c r="L71" i="61"/>
  <c r="K71" i="61"/>
  <c r="J71" i="61"/>
  <c r="I71" i="61"/>
  <c r="H71" i="61"/>
  <c r="H57" i="61"/>
  <c r="H73" i="61" s="1"/>
  <c r="H92" i="61" s="1"/>
  <c r="S41" i="61"/>
  <c r="S158" i="61" s="1"/>
  <c r="R41" i="61"/>
  <c r="R158" i="61" s="1"/>
  <c r="Q41" i="61"/>
  <c r="Q158" i="61" s="1"/>
  <c r="P41" i="61"/>
  <c r="P158" i="61" s="1"/>
  <c r="O41" i="61"/>
  <c r="O158" i="61" s="1"/>
  <c r="N41" i="61"/>
  <c r="N158" i="61" s="1"/>
  <c r="M41" i="61"/>
  <c r="M158" i="61" s="1"/>
  <c r="L41" i="61"/>
  <c r="L158" i="61" s="1"/>
  <c r="K41" i="61"/>
  <c r="K158" i="61" s="1"/>
  <c r="J41" i="61"/>
  <c r="J158" i="61" s="1"/>
  <c r="I41" i="61"/>
  <c r="I158" i="61" s="1"/>
  <c r="H41" i="61"/>
  <c r="H158" i="61" s="1"/>
  <c r="S38" i="61"/>
  <c r="R38" i="61"/>
  <c r="Q38" i="61"/>
  <c r="P38" i="61"/>
  <c r="P157" i="61" s="1"/>
  <c r="O38" i="61"/>
  <c r="N38" i="61"/>
  <c r="M38" i="61"/>
  <c r="L38" i="61"/>
  <c r="K38" i="61"/>
  <c r="J38" i="61"/>
  <c r="I38" i="61"/>
  <c r="H38" i="61"/>
  <c r="H143" i="61" s="1"/>
  <c r="S33" i="61"/>
  <c r="R33" i="61"/>
  <c r="R110" i="61" s="1"/>
  <c r="Q33" i="61"/>
  <c r="P33" i="61"/>
  <c r="O33" i="61"/>
  <c r="N33" i="61"/>
  <c r="M33" i="61"/>
  <c r="L33" i="61"/>
  <c r="K33" i="61"/>
  <c r="J33" i="61"/>
  <c r="J46" i="61" s="1"/>
  <c r="I33" i="61"/>
  <c r="H33" i="61"/>
  <c r="J32" i="61"/>
  <c r="J105" i="61" s="1"/>
  <c r="J117" i="61" s="1"/>
  <c r="I32" i="61"/>
  <c r="I105" i="61" s="1"/>
  <c r="J29" i="61"/>
  <c r="J115" i="61" s="1"/>
  <c r="I29" i="61"/>
  <c r="I115" i="61" s="1"/>
  <c r="S27" i="61"/>
  <c r="R27" i="61"/>
  <c r="Q27" i="61"/>
  <c r="P27" i="61"/>
  <c r="O27" i="61"/>
  <c r="N27" i="61"/>
  <c r="M27" i="61"/>
  <c r="M101" i="61" s="1"/>
  <c r="I27" i="61"/>
  <c r="H27" i="61"/>
  <c r="H138" i="61" s="1"/>
  <c r="S19" i="61"/>
  <c r="S95" i="61" s="1"/>
  <c r="S96" i="61" s="1"/>
  <c r="R19" i="61"/>
  <c r="R165" i="61" s="1"/>
  <c r="Q19" i="61"/>
  <c r="P19" i="61"/>
  <c r="P119" i="61" s="1"/>
  <c r="P120" i="61" s="1"/>
  <c r="O19" i="61"/>
  <c r="O95" i="61" s="1"/>
  <c r="O96" i="61" s="1"/>
  <c r="N19" i="61"/>
  <c r="N165" i="61" s="1"/>
  <c r="M19" i="61"/>
  <c r="L19" i="61"/>
  <c r="L95" i="61" s="1"/>
  <c r="K19" i="61"/>
  <c r="K95" i="61" s="1"/>
  <c r="K96" i="61" s="1"/>
  <c r="J19" i="61"/>
  <c r="J165" i="61" s="1"/>
  <c r="I19" i="61"/>
  <c r="H19" i="61"/>
  <c r="H95" i="61" s="1"/>
  <c r="S18" i="61"/>
  <c r="R18" i="61"/>
  <c r="Q18" i="61"/>
  <c r="P18" i="61"/>
  <c r="O18" i="61"/>
  <c r="N18" i="61"/>
  <c r="M18" i="61"/>
  <c r="I18" i="61"/>
  <c r="H18" i="61"/>
  <c r="S10" i="61"/>
  <c r="R10" i="61"/>
  <c r="Q10" i="61"/>
  <c r="Q164" i="61" s="1"/>
  <c r="P10" i="61"/>
  <c r="O10" i="61"/>
  <c r="N10" i="61"/>
  <c r="M10" i="61"/>
  <c r="L10" i="61"/>
  <c r="L164" i="61" s="1"/>
  <c r="K10" i="61"/>
  <c r="J10" i="61"/>
  <c r="I10" i="61"/>
  <c r="H10" i="61"/>
  <c r="S5" i="61"/>
  <c r="R5" i="61"/>
  <c r="R163" i="61" s="1"/>
  <c r="Q5" i="61"/>
  <c r="P5" i="61"/>
  <c r="O5" i="61"/>
  <c r="N5" i="61"/>
  <c r="N163" i="61" s="1"/>
  <c r="M5" i="61"/>
  <c r="M93" i="61" s="1"/>
  <c r="L5" i="61"/>
  <c r="K5" i="61"/>
  <c r="J5" i="61"/>
  <c r="J163" i="61" s="1"/>
  <c r="I5" i="61"/>
  <c r="H5" i="61"/>
  <c r="H163" i="61" s="1"/>
  <c r="S4" i="61"/>
  <c r="R4" i="61"/>
  <c r="R162" i="61" s="1"/>
  <c r="Q4" i="61"/>
  <c r="P4" i="61"/>
  <c r="O4" i="61"/>
  <c r="N4" i="61"/>
  <c r="N162" i="61" s="1"/>
  <c r="M4" i="61"/>
  <c r="L4" i="61"/>
  <c r="K4" i="61"/>
  <c r="J4" i="61"/>
  <c r="J162" i="61" s="1"/>
  <c r="I4" i="61"/>
  <c r="I31" i="61" s="1"/>
  <c r="H4" i="61"/>
  <c r="M133" i="67" l="1"/>
  <c r="M140" i="67" s="1"/>
  <c r="M145" i="67" s="1"/>
  <c r="M153" i="67" s="1"/>
  <c r="M129" i="67"/>
  <c r="O105" i="67"/>
  <c r="P32" i="67"/>
  <c r="O57" i="67"/>
  <c r="O73" i="67" s="1"/>
  <c r="O92" i="67" s="1"/>
  <c r="N117" i="67"/>
  <c r="N109" i="67"/>
  <c r="O57" i="66"/>
  <c r="O73" i="66" s="1"/>
  <c r="P32" i="66"/>
  <c r="O87" i="66"/>
  <c r="O95" i="66" s="1"/>
  <c r="N109" i="66"/>
  <c r="N115" i="66" s="1"/>
  <c r="N119" i="66" s="1"/>
  <c r="N127" i="66" s="1"/>
  <c r="N106" i="66"/>
  <c r="M57" i="65"/>
  <c r="M73" i="65" s="1"/>
  <c r="M92" i="65" s="1"/>
  <c r="N32" i="65"/>
  <c r="M105" i="65"/>
  <c r="S168" i="65"/>
  <c r="S138" i="65"/>
  <c r="S131" i="65"/>
  <c r="S101" i="65"/>
  <c r="S102" i="65" s="1"/>
  <c r="S103" i="65" s="1"/>
  <c r="S18" i="65"/>
  <c r="S31" i="65" s="1"/>
  <c r="K133" i="65"/>
  <c r="K140" i="65" s="1"/>
  <c r="K145" i="65" s="1"/>
  <c r="K153" i="65" s="1"/>
  <c r="K129" i="65"/>
  <c r="R161" i="65"/>
  <c r="R52" i="65"/>
  <c r="L117" i="65"/>
  <c r="L109" i="65"/>
  <c r="K117" i="64"/>
  <c r="K109" i="64"/>
  <c r="S161" i="64"/>
  <c r="S52" i="64"/>
  <c r="P52" i="64"/>
  <c r="P161" i="64"/>
  <c r="J133" i="64"/>
  <c r="J140" i="64" s="1"/>
  <c r="J145" i="64" s="1"/>
  <c r="J153" i="64" s="1"/>
  <c r="J129" i="64"/>
  <c r="N161" i="64"/>
  <c r="N52" i="64"/>
  <c r="Q161" i="64"/>
  <c r="Q52" i="64"/>
  <c r="O161" i="64"/>
  <c r="O52" i="64"/>
  <c r="J161" i="64"/>
  <c r="J52" i="64"/>
  <c r="R161" i="64"/>
  <c r="R52" i="64"/>
  <c r="L105" i="64"/>
  <c r="M32" i="64"/>
  <c r="L57" i="64"/>
  <c r="L73" i="64" s="1"/>
  <c r="L92" i="64" s="1"/>
  <c r="K161" i="64"/>
  <c r="K52" i="64"/>
  <c r="I161" i="64"/>
  <c r="I52" i="64"/>
  <c r="K106" i="63"/>
  <c r="K107" i="63" s="1"/>
  <c r="K51" i="63"/>
  <c r="I106" i="63"/>
  <c r="I51" i="63"/>
  <c r="M107" i="63"/>
  <c r="L51" i="63"/>
  <c r="L106" i="63"/>
  <c r="P106" i="63"/>
  <c r="P51" i="63"/>
  <c r="O106" i="63"/>
  <c r="O107" i="63" s="1"/>
  <c r="O51" i="63"/>
  <c r="J106" i="63"/>
  <c r="J51" i="63"/>
  <c r="Q106" i="63"/>
  <c r="Q107" i="63" s="1"/>
  <c r="Q51" i="63"/>
  <c r="L107" i="63"/>
  <c r="L57" i="63"/>
  <c r="L73" i="63" s="1"/>
  <c r="L92" i="63" s="1"/>
  <c r="L105" i="63"/>
  <c r="M32" i="63"/>
  <c r="N106" i="63"/>
  <c r="N107" i="63" s="1"/>
  <c r="N51" i="63"/>
  <c r="H161" i="63"/>
  <c r="H52" i="63"/>
  <c r="I133" i="63"/>
  <c r="I140" i="63" s="1"/>
  <c r="I145" i="63" s="1"/>
  <c r="I153" i="63" s="1"/>
  <c r="I129" i="63"/>
  <c r="M106" i="63"/>
  <c r="M51" i="63"/>
  <c r="I97" i="63"/>
  <c r="I107" i="63" s="1"/>
  <c r="P100" i="63"/>
  <c r="P103" i="63" s="1"/>
  <c r="K117" i="63"/>
  <c r="K109" i="63"/>
  <c r="P107" i="63"/>
  <c r="J97" i="63"/>
  <c r="N103" i="63"/>
  <c r="S106" i="63"/>
  <c r="S107" i="63" s="1"/>
  <c r="S51" i="63"/>
  <c r="N100" i="63"/>
  <c r="J134" i="62"/>
  <c r="J30" i="62"/>
  <c r="M133" i="62"/>
  <c r="M92" i="62"/>
  <c r="M48" i="62"/>
  <c r="M51" i="62" s="1"/>
  <c r="M91" i="62"/>
  <c r="M87" i="62"/>
  <c r="K123" i="62"/>
  <c r="K121" i="62"/>
  <c r="K119" i="62"/>
  <c r="K124" i="62"/>
  <c r="K120" i="62"/>
  <c r="K122" i="62"/>
  <c r="M89" i="62"/>
  <c r="M101" i="62"/>
  <c r="H120" i="62"/>
  <c r="H119" i="62"/>
  <c r="H121" i="62"/>
  <c r="J123" i="62"/>
  <c r="J121" i="62"/>
  <c r="J119" i="62"/>
  <c r="J124" i="62"/>
  <c r="J120" i="62"/>
  <c r="J122" i="62"/>
  <c r="I127" i="62"/>
  <c r="I112" i="62"/>
  <c r="I90" i="62"/>
  <c r="I88" i="62"/>
  <c r="I115" i="62"/>
  <c r="I46" i="62"/>
  <c r="I111" i="62"/>
  <c r="K99" i="62"/>
  <c r="K98" i="62"/>
  <c r="H91" i="62"/>
  <c r="H87" i="62"/>
  <c r="H133" i="62"/>
  <c r="H48" i="62"/>
  <c r="H51" i="62" s="1"/>
  <c r="H123" i="62" s="1"/>
  <c r="H92" i="62"/>
  <c r="J98" i="62"/>
  <c r="J99" i="62"/>
  <c r="K91" i="62"/>
  <c r="K87" i="62"/>
  <c r="K92" i="62"/>
  <c r="K48" i="62"/>
  <c r="K51" i="62" s="1"/>
  <c r="K133" i="62"/>
  <c r="I135" i="62"/>
  <c r="I106" i="62"/>
  <c r="L99" i="62"/>
  <c r="L98" i="62"/>
  <c r="H99" i="62"/>
  <c r="H98" i="62"/>
  <c r="J89" i="62"/>
  <c r="J101" i="62"/>
  <c r="M99" i="62"/>
  <c r="K101" i="62"/>
  <c r="K89" i="62"/>
  <c r="H135" i="62"/>
  <c r="H106" i="62"/>
  <c r="H31" i="62"/>
  <c r="L91" i="62"/>
  <c r="L87" i="62"/>
  <c r="L133" i="62"/>
  <c r="L92" i="62"/>
  <c r="L48" i="62"/>
  <c r="L51" i="62" s="1"/>
  <c r="J110" i="62"/>
  <c r="K15" i="62"/>
  <c r="J10" i="62"/>
  <c r="J160" i="61"/>
  <c r="J114" i="61"/>
  <c r="J113" i="61"/>
  <c r="J48" i="61"/>
  <c r="R124" i="61"/>
  <c r="R111" i="61"/>
  <c r="Q99" i="61"/>
  <c r="L96" i="61"/>
  <c r="J133" i="61"/>
  <c r="J140" i="61" s="1"/>
  <c r="J145" i="61" s="1"/>
  <c r="J153" i="61" s="1"/>
  <c r="J129" i="61"/>
  <c r="R121" i="61"/>
  <c r="R122" i="61"/>
  <c r="M162" i="61"/>
  <c r="M130" i="61"/>
  <c r="Q163" i="61"/>
  <c r="Q126" i="61"/>
  <c r="Q125" i="61"/>
  <c r="I168" i="61"/>
  <c r="I138" i="61"/>
  <c r="I131" i="61"/>
  <c r="M31" i="61"/>
  <c r="N154" i="61"/>
  <c r="N142" i="61"/>
  <c r="N141" i="61"/>
  <c r="N137" i="61"/>
  <c r="N136" i="61"/>
  <c r="R159" i="61"/>
  <c r="R157" i="61"/>
  <c r="R143" i="61"/>
  <c r="N46" i="61"/>
  <c r="I101" i="61"/>
  <c r="I102" i="61" s="1"/>
  <c r="J109" i="61"/>
  <c r="J164" i="61"/>
  <c r="J134" i="61"/>
  <c r="N164" i="61"/>
  <c r="N134" i="61"/>
  <c r="R164" i="61"/>
  <c r="R134" i="61"/>
  <c r="J27" i="61"/>
  <c r="N168" i="61"/>
  <c r="N138" i="61"/>
  <c r="R168" i="61"/>
  <c r="R138" i="61"/>
  <c r="R131" i="61"/>
  <c r="K29" i="61"/>
  <c r="N31" i="61"/>
  <c r="R31" i="61"/>
  <c r="K32" i="61"/>
  <c r="K154" i="61"/>
  <c r="K142" i="61"/>
  <c r="K141" i="61"/>
  <c r="K137" i="61"/>
  <c r="K136" i="61"/>
  <c r="K112" i="61"/>
  <c r="K110" i="61"/>
  <c r="O154" i="61"/>
  <c r="O142" i="61"/>
  <c r="O141" i="61"/>
  <c r="O137" i="61"/>
  <c r="O136" i="61"/>
  <c r="O112" i="61"/>
  <c r="O110" i="61"/>
  <c r="S154" i="61"/>
  <c r="S142" i="61"/>
  <c r="S141" i="61"/>
  <c r="S137" i="61"/>
  <c r="S136" i="61"/>
  <c r="S112" i="61"/>
  <c r="S110" i="61"/>
  <c r="K159" i="61"/>
  <c r="K157" i="61"/>
  <c r="K143" i="61"/>
  <c r="K127" i="61"/>
  <c r="O159" i="61"/>
  <c r="O157" i="61"/>
  <c r="O143" i="61"/>
  <c r="O127" i="61"/>
  <c r="S159" i="61"/>
  <c r="S157" i="61"/>
  <c r="S143" i="61"/>
  <c r="S127" i="61"/>
  <c r="K46" i="61"/>
  <c r="O46" i="61"/>
  <c r="S46" i="61"/>
  <c r="J93" i="61"/>
  <c r="N93" i="61"/>
  <c r="N94" i="61" s="1"/>
  <c r="R93" i="61"/>
  <c r="M99" i="61"/>
  <c r="N101" i="61"/>
  <c r="N102" i="61" s="1"/>
  <c r="R101" i="61"/>
  <c r="J112" i="61"/>
  <c r="J125" i="61"/>
  <c r="N126" i="61"/>
  <c r="R127" i="61"/>
  <c r="J130" i="61"/>
  <c r="N131" i="61"/>
  <c r="Q162" i="61"/>
  <c r="Q130" i="61"/>
  <c r="M163" i="61"/>
  <c r="M126" i="61"/>
  <c r="M125" i="61"/>
  <c r="M164" i="61"/>
  <c r="M134" i="61"/>
  <c r="I165" i="61"/>
  <c r="I119" i="61"/>
  <c r="I120" i="61" s="1"/>
  <c r="Q165" i="61"/>
  <c r="Q119" i="61"/>
  <c r="Q120" i="61" s="1"/>
  <c r="Q168" i="61"/>
  <c r="Q138" i="61"/>
  <c r="Q131" i="61"/>
  <c r="Q31" i="61"/>
  <c r="R154" i="61"/>
  <c r="R142" i="61"/>
  <c r="R141" i="61"/>
  <c r="R137" i="61"/>
  <c r="R136" i="61"/>
  <c r="N159" i="61"/>
  <c r="N157" i="61"/>
  <c r="N143" i="61"/>
  <c r="Q93" i="61"/>
  <c r="N110" i="61"/>
  <c r="N127" i="61"/>
  <c r="K162" i="61"/>
  <c r="K130" i="61"/>
  <c r="O162" i="61"/>
  <c r="O130" i="61"/>
  <c r="S162" i="61"/>
  <c r="S130" i="61"/>
  <c r="K163" i="61"/>
  <c r="K126" i="61"/>
  <c r="K125" i="61"/>
  <c r="O163" i="61"/>
  <c r="O126" i="61"/>
  <c r="O125" i="61"/>
  <c r="S163" i="61"/>
  <c r="S126" i="61"/>
  <c r="S125" i="61"/>
  <c r="K164" i="61"/>
  <c r="K134" i="61"/>
  <c r="O164" i="61"/>
  <c r="O134" i="61"/>
  <c r="S164" i="61"/>
  <c r="S134" i="61"/>
  <c r="K165" i="61"/>
  <c r="K119" i="61"/>
  <c r="K120" i="61" s="1"/>
  <c r="O165" i="61"/>
  <c r="O119" i="61"/>
  <c r="O120" i="61" s="1"/>
  <c r="S165" i="61"/>
  <c r="S119" i="61"/>
  <c r="S120" i="61" s="1"/>
  <c r="O168" i="61"/>
  <c r="O138" i="61"/>
  <c r="O131" i="61"/>
  <c r="S168" i="61"/>
  <c r="S138" i="61"/>
  <c r="S131" i="61"/>
  <c r="O31" i="61"/>
  <c r="S31" i="61"/>
  <c r="H137" i="61"/>
  <c r="H136" i="61"/>
  <c r="H154" i="61"/>
  <c r="H141" i="61"/>
  <c r="H112" i="61"/>
  <c r="H110" i="61"/>
  <c r="H142" i="61"/>
  <c r="L137" i="61"/>
  <c r="L136" i="61"/>
  <c r="L141" i="61"/>
  <c r="L142" i="61"/>
  <c r="L112" i="61"/>
  <c r="L110" i="61"/>
  <c r="P137" i="61"/>
  <c r="P136" i="61"/>
  <c r="P142" i="61"/>
  <c r="P112" i="61"/>
  <c r="P110" i="61"/>
  <c r="P154" i="61"/>
  <c r="H157" i="61"/>
  <c r="H127" i="61"/>
  <c r="L157" i="61"/>
  <c r="L127" i="61"/>
  <c r="L159" i="61"/>
  <c r="L143" i="61"/>
  <c r="P159" i="61"/>
  <c r="P143" i="61"/>
  <c r="P127" i="61"/>
  <c r="H46" i="61"/>
  <c r="L46" i="61"/>
  <c r="P46" i="61"/>
  <c r="K93" i="61"/>
  <c r="K94" i="61" s="1"/>
  <c r="K97" i="61" s="1"/>
  <c r="O93" i="61"/>
  <c r="S93" i="61"/>
  <c r="S94" i="61" s="1"/>
  <c r="S97" i="61" s="1"/>
  <c r="P95" i="61"/>
  <c r="P96" i="61" s="1"/>
  <c r="J99" i="61"/>
  <c r="R99" i="61"/>
  <c r="O101" i="61"/>
  <c r="O102" i="61" s="1"/>
  <c r="S101" i="61"/>
  <c r="S102" i="61" s="1"/>
  <c r="N112" i="61"/>
  <c r="J119" i="61"/>
  <c r="J120" i="61" s="1"/>
  <c r="N125" i="61"/>
  <c r="R126" i="61"/>
  <c r="N130" i="61"/>
  <c r="H159" i="61"/>
  <c r="I162" i="61"/>
  <c r="I130" i="61"/>
  <c r="I163" i="61"/>
  <c r="I126" i="61"/>
  <c r="I125" i="61"/>
  <c r="I164" i="61"/>
  <c r="I134" i="61"/>
  <c r="M165" i="61"/>
  <c r="M119" i="61"/>
  <c r="M120" i="61" s="1"/>
  <c r="M168" i="61"/>
  <c r="M138" i="61"/>
  <c r="M131" i="61"/>
  <c r="J154" i="61"/>
  <c r="J142" i="61"/>
  <c r="J141" i="61"/>
  <c r="J137" i="61"/>
  <c r="J136" i="61"/>
  <c r="J159" i="61"/>
  <c r="J157" i="61"/>
  <c r="J143" i="61"/>
  <c r="R46" i="61"/>
  <c r="J57" i="61"/>
  <c r="J73" i="61" s="1"/>
  <c r="J92" i="61" s="1"/>
  <c r="J90" i="61"/>
  <c r="I93" i="61"/>
  <c r="Q101" i="61"/>
  <c r="Q102" i="61" s="1"/>
  <c r="P151" i="61"/>
  <c r="P147" i="61"/>
  <c r="P148" i="61"/>
  <c r="P149" i="61"/>
  <c r="H130" i="61"/>
  <c r="H162" i="61"/>
  <c r="L162" i="61"/>
  <c r="L130" i="61"/>
  <c r="P162" i="61"/>
  <c r="P130" i="61"/>
  <c r="H126" i="61"/>
  <c r="H125" i="61"/>
  <c r="L126" i="61"/>
  <c r="L125" i="61"/>
  <c r="L163" i="61"/>
  <c r="P163" i="61"/>
  <c r="P126" i="61"/>
  <c r="P125" i="61"/>
  <c r="H134" i="61"/>
  <c r="H164" i="61"/>
  <c r="L134" i="61"/>
  <c r="P134" i="61"/>
  <c r="P164" i="61"/>
  <c r="H165" i="61"/>
  <c r="H119" i="61"/>
  <c r="H120" i="61" s="1"/>
  <c r="L165" i="61"/>
  <c r="L119" i="61"/>
  <c r="L120" i="61" s="1"/>
  <c r="P122" i="61"/>
  <c r="P121" i="61"/>
  <c r="H131" i="61"/>
  <c r="H168" i="61"/>
  <c r="P131" i="61"/>
  <c r="P168" i="61"/>
  <c r="P138" i="61"/>
  <c r="H31" i="61"/>
  <c r="P31" i="61"/>
  <c r="I117" i="61"/>
  <c r="I109" i="61"/>
  <c r="I154" i="61"/>
  <c r="I142" i="61"/>
  <c r="I141" i="61"/>
  <c r="I112" i="61"/>
  <c r="I110" i="61"/>
  <c r="I136" i="61"/>
  <c r="M154" i="61"/>
  <c r="M142" i="61"/>
  <c r="M141" i="61"/>
  <c r="M112" i="61"/>
  <c r="M110" i="61"/>
  <c r="M136" i="61"/>
  <c r="M137" i="61"/>
  <c r="Q154" i="61"/>
  <c r="Q142" i="61"/>
  <c r="Q141" i="61"/>
  <c r="Q136" i="61"/>
  <c r="Q112" i="61"/>
  <c r="Q110" i="61"/>
  <c r="Q137" i="61"/>
  <c r="I159" i="61"/>
  <c r="I157" i="61"/>
  <c r="I143" i="61"/>
  <c r="I127" i="61"/>
  <c r="M159" i="61"/>
  <c r="M157" i="61"/>
  <c r="M143" i="61"/>
  <c r="M127" i="61"/>
  <c r="Q159" i="61"/>
  <c r="Q157" i="61"/>
  <c r="Q143" i="61"/>
  <c r="Q127" i="61"/>
  <c r="I46" i="61"/>
  <c r="M46" i="61"/>
  <c r="Q46" i="61"/>
  <c r="I57" i="61"/>
  <c r="I73" i="61" s="1"/>
  <c r="I92" i="61" s="1"/>
  <c r="I90" i="61"/>
  <c r="H93" i="61"/>
  <c r="H99" i="61" s="1"/>
  <c r="L93" i="61"/>
  <c r="P93" i="61"/>
  <c r="I95" i="61"/>
  <c r="I96" i="61" s="1"/>
  <c r="M95" i="61"/>
  <c r="M96" i="61" s="1"/>
  <c r="Q95" i="61"/>
  <c r="R96" i="61" s="1"/>
  <c r="K99" i="61"/>
  <c r="K100" i="61" s="1"/>
  <c r="O99" i="61"/>
  <c r="S99" i="61"/>
  <c r="S100" i="61" s="1"/>
  <c r="H101" i="61"/>
  <c r="P101" i="61"/>
  <c r="H117" i="61"/>
  <c r="H109" i="61"/>
  <c r="J110" i="61"/>
  <c r="R112" i="61"/>
  <c r="N119" i="61"/>
  <c r="N120" i="61" s="1"/>
  <c r="R125" i="61"/>
  <c r="J127" i="61"/>
  <c r="R130" i="61"/>
  <c r="Q134" i="61"/>
  <c r="P146" i="61"/>
  <c r="P165" i="61"/>
  <c r="S141" i="60"/>
  <c r="R141" i="60"/>
  <c r="Q141" i="60"/>
  <c r="P141" i="60"/>
  <c r="O141" i="60"/>
  <c r="N141" i="60"/>
  <c r="M141" i="60"/>
  <c r="L141" i="60"/>
  <c r="K141" i="60"/>
  <c r="J141" i="60"/>
  <c r="I141" i="60"/>
  <c r="H141" i="60"/>
  <c r="S140" i="60"/>
  <c r="R140" i="60"/>
  <c r="Q140" i="60"/>
  <c r="P140" i="60"/>
  <c r="O140" i="60"/>
  <c r="N140" i="60"/>
  <c r="M140" i="60"/>
  <c r="L140" i="60"/>
  <c r="K140" i="60"/>
  <c r="J140" i="60"/>
  <c r="I140" i="60"/>
  <c r="H140" i="60"/>
  <c r="K133" i="60"/>
  <c r="S130" i="60"/>
  <c r="R130" i="60"/>
  <c r="Q130" i="60"/>
  <c r="P130" i="60"/>
  <c r="O130" i="60"/>
  <c r="N130" i="60"/>
  <c r="M130" i="60"/>
  <c r="L130" i="60"/>
  <c r="K130" i="60"/>
  <c r="J130" i="60"/>
  <c r="I130" i="60"/>
  <c r="H130" i="60"/>
  <c r="S129" i="60"/>
  <c r="R129" i="60"/>
  <c r="Q129" i="60"/>
  <c r="P129" i="60"/>
  <c r="O129" i="60"/>
  <c r="N129" i="60"/>
  <c r="M129" i="60"/>
  <c r="L129" i="60"/>
  <c r="K129" i="60"/>
  <c r="J129" i="60"/>
  <c r="I129" i="60"/>
  <c r="H129" i="60"/>
  <c r="O128" i="60"/>
  <c r="S116" i="60"/>
  <c r="S120" i="60" s="1"/>
  <c r="K114" i="60"/>
  <c r="E114" i="60"/>
  <c r="L112" i="60"/>
  <c r="S111" i="60"/>
  <c r="R111" i="60"/>
  <c r="Q111" i="60"/>
  <c r="P111" i="60"/>
  <c r="O111" i="60"/>
  <c r="N111" i="60"/>
  <c r="M111" i="60"/>
  <c r="L111" i="60"/>
  <c r="K111" i="60"/>
  <c r="J111" i="60"/>
  <c r="I111" i="60"/>
  <c r="H111" i="60"/>
  <c r="S101" i="60"/>
  <c r="R101" i="60"/>
  <c r="Q101" i="60"/>
  <c r="P101" i="60"/>
  <c r="O101" i="60"/>
  <c r="N101" i="60"/>
  <c r="M101" i="60"/>
  <c r="L101" i="60"/>
  <c r="K101" i="60"/>
  <c r="J101" i="60"/>
  <c r="I101" i="60"/>
  <c r="H101" i="60"/>
  <c r="S96" i="60"/>
  <c r="R96" i="60"/>
  <c r="Q96" i="60"/>
  <c r="P96" i="60"/>
  <c r="O96" i="60"/>
  <c r="N96" i="60"/>
  <c r="M96" i="60"/>
  <c r="L96" i="60"/>
  <c r="K96" i="60"/>
  <c r="J96" i="60"/>
  <c r="I96" i="60"/>
  <c r="H96" i="60"/>
  <c r="S94" i="60"/>
  <c r="R94" i="60"/>
  <c r="Q94" i="60"/>
  <c r="P94" i="60"/>
  <c r="O94" i="60"/>
  <c r="N94" i="60"/>
  <c r="M94" i="60"/>
  <c r="L94" i="60"/>
  <c r="K94" i="60"/>
  <c r="J94" i="60"/>
  <c r="I94" i="60"/>
  <c r="H94" i="60"/>
  <c r="S91" i="60"/>
  <c r="K91" i="60"/>
  <c r="H87" i="60"/>
  <c r="H95" i="60" s="1"/>
  <c r="S85" i="60"/>
  <c r="R85" i="60"/>
  <c r="Q85" i="60"/>
  <c r="P85" i="60"/>
  <c r="O85" i="60"/>
  <c r="N85" i="60"/>
  <c r="M85" i="60"/>
  <c r="L85" i="60"/>
  <c r="K85" i="60"/>
  <c r="J85" i="60"/>
  <c r="I85" i="60"/>
  <c r="H85" i="60"/>
  <c r="S71" i="60"/>
  <c r="R71" i="60"/>
  <c r="Q71" i="60"/>
  <c r="P71" i="60"/>
  <c r="O71" i="60"/>
  <c r="N71" i="60"/>
  <c r="M71" i="60"/>
  <c r="L71" i="60"/>
  <c r="K71" i="60"/>
  <c r="J71" i="60"/>
  <c r="I71" i="60"/>
  <c r="H71" i="60"/>
  <c r="H57" i="60"/>
  <c r="H73" i="60" s="1"/>
  <c r="S41" i="60"/>
  <c r="S132" i="60" s="1"/>
  <c r="R41" i="60"/>
  <c r="R132" i="60" s="1"/>
  <c r="Q41" i="60"/>
  <c r="Q132" i="60" s="1"/>
  <c r="P41" i="60"/>
  <c r="P132" i="60" s="1"/>
  <c r="O41" i="60"/>
  <c r="O132" i="60" s="1"/>
  <c r="N41" i="60"/>
  <c r="N132" i="60" s="1"/>
  <c r="M41" i="60"/>
  <c r="M132" i="60" s="1"/>
  <c r="L41" i="60"/>
  <c r="L132" i="60" s="1"/>
  <c r="K41" i="60"/>
  <c r="K132" i="60" s="1"/>
  <c r="J41" i="60"/>
  <c r="J132" i="60" s="1"/>
  <c r="I41" i="60"/>
  <c r="I132" i="60" s="1"/>
  <c r="H41" i="60"/>
  <c r="H132" i="60" s="1"/>
  <c r="S38" i="60"/>
  <c r="S105" i="60" s="1"/>
  <c r="R38" i="60"/>
  <c r="Q38" i="60"/>
  <c r="P38" i="60"/>
  <c r="O38" i="60"/>
  <c r="N38" i="60"/>
  <c r="M38" i="60"/>
  <c r="M105" i="60" s="1"/>
  <c r="L38" i="60"/>
  <c r="K38" i="60"/>
  <c r="K105" i="60" s="1"/>
  <c r="J38" i="60"/>
  <c r="I38" i="60"/>
  <c r="I105" i="60" s="1"/>
  <c r="H38" i="60"/>
  <c r="S33" i="60"/>
  <c r="R33" i="60"/>
  <c r="R89" i="60" s="1"/>
  <c r="Q33" i="60"/>
  <c r="P33" i="60"/>
  <c r="O33" i="60"/>
  <c r="N33" i="60"/>
  <c r="M33" i="60"/>
  <c r="M91" i="60" s="1"/>
  <c r="L33" i="60"/>
  <c r="K33" i="60"/>
  <c r="J33" i="60"/>
  <c r="J89" i="60" s="1"/>
  <c r="I33" i="60"/>
  <c r="H33" i="60"/>
  <c r="H113" i="60" s="1"/>
  <c r="J32" i="60"/>
  <c r="J57" i="60" s="1"/>
  <c r="J73" i="60" s="1"/>
  <c r="I32" i="60"/>
  <c r="I87" i="60" s="1"/>
  <c r="I95" i="60" s="1"/>
  <c r="S27" i="60"/>
  <c r="S114" i="60" s="1"/>
  <c r="R27" i="60"/>
  <c r="Q27" i="60"/>
  <c r="Q108" i="60" s="1"/>
  <c r="P27" i="60"/>
  <c r="O27" i="60"/>
  <c r="N27" i="60"/>
  <c r="M27" i="60"/>
  <c r="L27" i="60"/>
  <c r="K27" i="60"/>
  <c r="J27" i="60"/>
  <c r="I27" i="60"/>
  <c r="H27" i="60"/>
  <c r="S19" i="60"/>
  <c r="R19" i="60"/>
  <c r="Q19" i="60"/>
  <c r="Q139" i="60" s="1"/>
  <c r="P19" i="60"/>
  <c r="P97" i="60" s="1"/>
  <c r="P98" i="60" s="1"/>
  <c r="O19" i="60"/>
  <c r="N19" i="60"/>
  <c r="M19" i="60"/>
  <c r="M139" i="60" s="1"/>
  <c r="L19" i="60"/>
  <c r="K19" i="60"/>
  <c r="J19" i="60"/>
  <c r="I19" i="60"/>
  <c r="I139" i="60" s="1"/>
  <c r="H19" i="60"/>
  <c r="S18" i="60"/>
  <c r="R18" i="60"/>
  <c r="Q18" i="60"/>
  <c r="P18" i="60"/>
  <c r="O18" i="60"/>
  <c r="N18" i="60"/>
  <c r="M18" i="60"/>
  <c r="L18" i="60"/>
  <c r="K18" i="60"/>
  <c r="J18" i="60"/>
  <c r="I18" i="60"/>
  <c r="H18" i="60"/>
  <c r="S10" i="60"/>
  <c r="R10" i="60"/>
  <c r="Q10" i="60"/>
  <c r="P10" i="60"/>
  <c r="P138" i="60" s="1"/>
  <c r="O10" i="60"/>
  <c r="N10" i="60"/>
  <c r="M10" i="60"/>
  <c r="L10" i="60"/>
  <c r="L138" i="60" s="1"/>
  <c r="K10" i="60"/>
  <c r="J10" i="60"/>
  <c r="I10" i="60"/>
  <c r="H10" i="60"/>
  <c r="H138" i="60" s="1"/>
  <c r="S5" i="60"/>
  <c r="R5" i="60"/>
  <c r="Q5" i="60"/>
  <c r="Q137" i="60" s="1"/>
  <c r="P5" i="60"/>
  <c r="O5" i="60"/>
  <c r="N5" i="60"/>
  <c r="M5" i="60"/>
  <c r="M137" i="60" s="1"/>
  <c r="L5" i="60"/>
  <c r="K5" i="60"/>
  <c r="J5" i="60"/>
  <c r="I5" i="60"/>
  <c r="I137" i="60" s="1"/>
  <c r="H5" i="60"/>
  <c r="H137" i="60" s="1"/>
  <c r="S4" i="60"/>
  <c r="R4" i="60"/>
  <c r="Q4" i="60"/>
  <c r="Q136" i="60" s="1"/>
  <c r="P4" i="60"/>
  <c r="O4" i="60"/>
  <c r="O31" i="60" s="1"/>
  <c r="N4" i="60"/>
  <c r="M4" i="60"/>
  <c r="M136" i="60" s="1"/>
  <c r="L4" i="60"/>
  <c r="K4" i="60"/>
  <c r="J4" i="60"/>
  <c r="I4" i="60"/>
  <c r="I136" i="60" s="1"/>
  <c r="H4" i="60"/>
  <c r="P105" i="67" l="1"/>
  <c r="P57" i="67"/>
  <c r="P73" i="67" s="1"/>
  <c r="P92" i="67" s="1"/>
  <c r="Q32" i="67"/>
  <c r="O117" i="67"/>
  <c r="O109" i="67"/>
  <c r="N133" i="67"/>
  <c r="N140" i="67" s="1"/>
  <c r="N145" i="67" s="1"/>
  <c r="N153" i="67" s="1"/>
  <c r="N129" i="67"/>
  <c r="O109" i="66"/>
  <c r="O115" i="66" s="1"/>
  <c r="O119" i="66" s="1"/>
  <c r="O127" i="66" s="1"/>
  <c r="O106" i="66"/>
  <c r="Q32" i="66"/>
  <c r="P87" i="66"/>
  <c r="P95" i="66" s="1"/>
  <c r="P57" i="66"/>
  <c r="P73" i="66" s="1"/>
  <c r="M117" i="65"/>
  <c r="M109" i="65"/>
  <c r="N57" i="65"/>
  <c r="N73" i="65" s="1"/>
  <c r="N92" i="65" s="1"/>
  <c r="N105" i="65"/>
  <c r="O32" i="65"/>
  <c r="L133" i="65"/>
  <c r="L140" i="65" s="1"/>
  <c r="L145" i="65" s="1"/>
  <c r="L153" i="65" s="1"/>
  <c r="L129" i="65"/>
  <c r="M57" i="64"/>
  <c r="M73" i="64" s="1"/>
  <c r="M92" i="64" s="1"/>
  <c r="N32" i="64"/>
  <c r="M105" i="64"/>
  <c r="L117" i="64"/>
  <c r="L109" i="64"/>
  <c r="K133" i="64"/>
  <c r="K140" i="64" s="1"/>
  <c r="K145" i="64" s="1"/>
  <c r="K153" i="64" s="1"/>
  <c r="K129" i="64"/>
  <c r="S161" i="63"/>
  <c r="S52" i="63"/>
  <c r="N161" i="63"/>
  <c r="N52" i="63"/>
  <c r="L109" i="63"/>
  <c r="L117" i="63"/>
  <c r="L161" i="63"/>
  <c r="L52" i="63"/>
  <c r="L150" i="63"/>
  <c r="L149" i="63"/>
  <c r="L151" i="63"/>
  <c r="M161" i="63"/>
  <c r="M52" i="63"/>
  <c r="M150" i="63"/>
  <c r="M149" i="63"/>
  <c r="M151" i="63"/>
  <c r="P161" i="63"/>
  <c r="P52" i="63"/>
  <c r="K161" i="63"/>
  <c r="K52" i="63"/>
  <c r="K150" i="63"/>
  <c r="K151" i="63"/>
  <c r="K149" i="63"/>
  <c r="K133" i="63"/>
  <c r="K140" i="63" s="1"/>
  <c r="K145" i="63" s="1"/>
  <c r="K153" i="63" s="1"/>
  <c r="K129" i="63"/>
  <c r="J161" i="63"/>
  <c r="J52" i="63"/>
  <c r="J149" i="63"/>
  <c r="J151" i="63"/>
  <c r="J150" i="63"/>
  <c r="J107" i="63"/>
  <c r="M57" i="63"/>
  <c r="M73" i="63" s="1"/>
  <c r="M92" i="63" s="1"/>
  <c r="M105" i="63"/>
  <c r="N32" i="63"/>
  <c r="Q161" i="63"/>
  <c r="Q52" i="63"/>
  <c r="O161" i="63"/>
  <c r="O52" i="63"/>
  <c r="I161" i="63"/>
  <c r="I52" i="63"/>
  <c r="L134" i="62"/>
  <c r="L30" i="62"/>
  <c r="J4" i="62"/>
  <c r="J109" i="62"/>
  <c r="J137" i="62"/>
  <c r="K110" i="62"/>
  <c r="K10" i="62"/>
  <c r="L15" i="62"/>
  <c r="K112" i="62"/>
  <c r="J52" i="62"/>
  <c r="H134" i="62"/>
  <c r="H52" i="62"/>
  <c r="I124" i="62"/>
  <c r="I122" i="62"/>
  <c r="I120" i="62"/>
  <c r="I119" i="62"/>
  <c r="I121" i="62"/>
  <c r="I123" i="62"/>
  <c r="H124" i="62"/>
  <c r="K134" i="62"/>
  <c r="K30" i="62"/>
  <c r="I101" i="62"/>
  <c r="I89" i="62"/>
  <c r="I99" i="62"/>
  <c r="I133" i="62"/>
  <c r="I92" i="62"/>
  <c r="I48" i="62"/>
  <c r="I51" i="62" s="1"/>
  <c r="I91" i="62"/>
  <c r="I87" i="62"/>
  <c r="H122" i="62"/>
  <c r="M30" i="62"/>
  <c r="M52" i="62" s="1"/>
  <c r="M134" i="62"/>
  <c r="I160" i="61"/>
  <c r="I114" i="61"/>
  <c r="I113" i="61"/>
  <c r="I48" i="61"/>
  <c r="M151" i="61"/>
  <c r="M150" i="61"/>
  <c r="M149" i="61"/>
  <c r="M148" i="61"/>
  <c r="M147" i="61"/>
  <c r="M146" i="61"/>
  <c r="R160" i="61"/>
  <c r="R48" i="61"/>
  <c r="R113" i="61"/>
  <c r="R114" i="61"/>
  <c r="M122" i="61"/>
  <c r="M121" i="61"/>
  <c r="K122" i="61"/>
  <c r="K121" i="61"/>
  <c r="I122" i="61"/>
  <c r="I121" i="61"/>
  <c r="O124" i="61"/>
  <c r="O111" i="61"/>
  <c r="J106" i="61"/>
  <c r="J51" i="61"/>
  <c r="P102" i="61"/>
  <c r="P103" i="61" s="1"/>
  <c r="P94" i="61"/>
  <c r="P97" i="61" s="1"/>
  <c r="P99" i="61"/>
  <c r="P100" i="61" s="1"/>
  <c r="Q151" i="61"/>
  <c r="Q150" i="61"/>
  <c r="Q149" i="61"/>
  <c r="Q148" i="61"/>
  <c r="Q147" i="61"/>
  <c r="Q146" i="61"/>
  <c r="L122" i="61"/>
  <c r="L121" i="61"/>
  <c r="I94" i="61"/>
  <c r="I97" i="61" s="1"/>
  <c r="J122" i="61"/>
  <c r="J121" i="61"/>
  <c r="R100" i="61"/>
  <c r="L114" i="61"/>
  <c r="L113" i="61"/>
  <c r="L160" i="61"/>
  <c r="L48" i="61"/>
  <c r="P124" i="61"/>
  <c r="P111" i="61"/>
  <c r="L150" i="61"/>
  <c r="L146" i="61"/>
  <c r="L151" i="61"/>
  <c r="L147" i="61"/>
  <c r="L148" i="61"/>
  <c r="L149" i="61"/>
  <c r="H124" i="61"/>
  <c r="H111" i="61"/>
  <c r="Q94" i="61"/>
  <c r="J94" i="61"/>
  <c r="J97" i="61" s="1"/>
  <c r="J107" i="61" s="1"/>
  <c r="S124" i="61"/>
  <c r="S111" i="61"/>
  <c r="S151" i="61"/>
  <c r="S150" i="61"/>
  <c r="S149" i="61"/>
  <c r="S148" i="61"/>
  <c r="S147" i="61"/>
  <c r="S146" i="61"/>
  <c r="N160" i="61"/>
  <c r="N114" i="61"/>
  <c r="N48" i="61"/>
  <c r="N113" i="61"/>
  <c r="H133" i="61"/>
  <c r="H140" i="61" s="1"/>
  <c r="H145" i="61" s="1"/>
  <c r="H153" i="61" s="1"/>
  <c r="H129" i="61"/>
  <c r="S122" i="61"/>
  <c r="S121" i="61"/>
  <c r="N124" i="61"/>
  <c r="N111" i="61"/>
  <c r="O151" i="61"/>
  <c r="O150" i="61"/>
  <c r="O149" i="61"/>
  <c r="O148" i="61"/>
  <c r="O147" i="61"/>
  <c r="O146" i="61"/>
  <c r="J168" i="61"/>
  <c r="J138" i="61"/>
  <c r="J131" i="61"/>
  <c r="J101" i="61"/>
  <c r="J102" i="61" s="1"/>
  <c r="J18" i="61"/>
  <c r="J31" i="61" s="1"/>
  <c r="Q100" i="61"/>
  <c r="J124" i="61"/>
  <c r="J111" i="61"/>
  <c r="Q96" i="61"/>
  <c r="L94" i="61"/>
  <c r="L97" i="61" s="1"/>
  <c r="L99" i="61"/>
  <c r="L100" i="61" s="1"/>
  <c r="Q160" i="61"/>
  <c r="Q114" i="61"/>
  <c r="Q113" i="61"/>
  <c r="Q48" i="61"/>
  <c r="Q124" i="61"/>
  <c r="Q111" i="61"/>
  <c r="M124" i="61"/>
  <c r="M111" i="61"/>
  <c r="I151" i="61"/>
  <c r="I150" i="61"/>
  <c r="I149" i="61"/>
  <c r="I148" i="61"/>
  <c r="I147" i="61"/>
  <c r="I146" i="61"/>
  <c r="I133" i="61"/>
  <c r="I140" i="61" s="1"/>
  <c r="I145" i="61" s="1"/>
  <c r="I153" i="61" s="1"/>
  <c r="I129" i="61"/>
  <c r="J151" i="61"/>
  <c r="J150" i="61"/>
  <c r="J149" i="61"/>
  <c r="J148" i="61"/>
  <c r="J147" i="61"/>
  <c r="J146" i="61"/>
  <c r="N99" i="61"/>
  <c r="N100" i="61" s="1"/>
  <c r="N103" i="61" s="1"/>
  <c r="O94" i="61"/>
  <c r="O97" i="61" s="1"/>
  <c r="H160" i="61"/>
  <c r="H114" i="61"/>
  <c r="H113" i="61"/>
  <c r="H48" i="61"/>
  <c r="H51" i="61" s="1"/>
  <c r="L124" i="61"/>
  <c r="L111" i="61"/>
  <c r="O122" i="61"/>
  <c r="O121" i="61"/>
  <c r="Q122" i="61"/>
  <c r="Q121" i="61"/>
  <c r="I99" i="61"/>
  <c r="I100" i="61" s="1"/>
  <c r="I103" i="61" s="1"/>
  <c r="S160" i="61"/>
  <c r="S114" i="61"/>
  <c r="S113" i="61"/>
  <c r="S48" i="61"/>
  <c r="K105" i="61"/>
  <c r="L32" i="61"/>
  <c r="K57" i="61"/>
  <c r="K73" i="61" s="1"/>
  <c r="K92" i="61" s="1"/>
  <c r="K115" i="61"/>
  <c r="L29" i="61"/>
  <c r="K27" i="61"/>
  <c r="K90" i="61"/>
  <c r="N122" i="61"/>
  <c r="N121" i="61"/>
  <c r="I124" i="61"/>
  <c r="I111" i="61"/>
  <c r="Q103" i="61"/>
  <c r="P114" i="61"/>
  <c r="P113" i="61"/>
  <c r="P160" i="61"/>
  <c r="P48" i="61"/>
  <c r="K160" i="61"/>
  <c r="K114" i="61"/>
  <c r="K113" i="61"/>
  <c r="K48" i="61"/>
  <c r="M160" i="61"/>
  <c r="M114" i="61"/>
  <c r="M113" i="61"/>
  <c r="M48" i="61"/>
  <c r="H122" i="61"/>
  <c r="H121" i="61"/>
  <c r="S103" i="61"/>
  <c r="J100" i="61"/>
  <c r="H149" i="61"/>
  <c r="H150" i="61"/>
  <c r="H146" i="61"/>
  <c r="H151" i="61"/>
  <c r="H147" i="61"/>
  <c r="H148" i="61"/>
  <c r="R151" i="61"/>
  <c r="R150" i="61"/>
  <c r="R149" i="61"/>
  <c r="R148" i="61"/>
  <c r="R147" i="61"/>
  <c r="R146" i="61"/>
  <c r="R102" i="61"/>
  <c r="R103" i="61" s="1"/>
  <c r="R94" i="61"/>
  <c r="R97" i="61" s="1"/>
  <c r="O160" i="61"/>
  <c r="O114" i="61"/>
  <c r="O113" i="61"/>
  <c r="O48" i="61"/>
  <c r="K124" i="61"/>
  <c r="K111" i="61"/>
  <c r="K151" i="61"/>
  <c r="K150" i="61"/>
  <c r="K149" i="61"/>
  <c r="K148" i="61"/>
  <c r="K147" i="61"/>
  <c r="K146" i="61"/>
  <c r="N151" i="61"/>
  <c r="N150" i="61"/>
  <c r="N149" i="61"/>
  <c r="N148" i="61"/>
  <c r="N147" i="61"/>
  <c r="N146" i="61"/>
  <c r="N96" i="61"/>
  <c r="N97" i="61" s="1"/>
  <c r="J96" i="61"/>
  <c r="M94" i="61"/>
  <c r="M97" i="61" s="1"/>
  <c r="J102" i="60"/>
  <c r="J90" i="60"/>
  <c r="I109" i="60"/>
  <c r="I115" i="60" s="1"/>
  <c r="I119" i="60" s="1"/>
  <c r="I127" i="60" s="1"/>
  <c r="I106" i="60"/>
  <c r="R102" i="60"/>
  <c r="R90" i="60"/>
  <c r="Q138" i="60"/>
  <c r="Q110" i="60"/>
  <c r="I142" i="60"/>
  <c r="I114" i="60"/>
  <c r="I31" i="60"/>
  <c r="Q31" i="60"/>
  <c r="N128" i="60"/>
  <c r="N117" i="60"/>
  <c r="N116" i="60"/>
  <c r="N113" i="60"/>
  <c r="N112" i="60"/>
  <c r="N91" i="60"/>
  <c r="N133" i="60"/>
  <c r="N131" i="60"/>
  <c r="N118" i="60"/>
  <c r="N105" i="60"/>
  <c r="J46" i="60"/>
  <c r="M103" i="60"/>
  <c r="Q104" i="60"/>
  <c r="J136" i="60"/>
  <c r="J107" i="60"/>
  <c r="N136" i="60"/>
  <c r="N107" i="60"/>
  <c r="R136" i="60"/>
  <c r="R107" i="60"/>
  <c r="J137" i="60"/>
  <c r="J104" i="60"/>
  <c r="J103" i="60"/>
  <c r="N137" i="60"/>
  <c r="N104" i="60"/>
  <c r="N103" i="60"/>
  <c r="R137" i="60"/>
  <c r="R104" i="60"/>
  <c r="R103" i="60"/>
  <c r="J138" i="60"/>
  <c r="J110" i="60"/>
  <c r="N138" i="60"/>
  <c r="N110" i="60"/>
  <c r="R138" i="60"/>
  <c r="R110" i="60"/>
  <c r="J139" i="60"/>
  <c r="J97" i="60"/>
  <c r="J98" i="60" s="1"/>
  <c r="N139" i="60"/>
  <c r="N97" i="60"/>
  <c r="N98" i="60" s="1"/>
  <c r="R139" i="60"/>
  <c r="R97" i="60"/>
  <c r="R98" i="60" s="1"/>
  <c r="J142" i="60"/>
  <c r="J114" i="60"/>
  <c r="J108" i="60"/>
  <c r="N142" i="60"/>
  <c r="N114" i="60"/>
  <c r="N108" i="60"/>
  <c r="R142" i="60"/>
  <c r="R114" i="60"/>
  <c r="R108" i="60"/>
  <c r="J31" i="60"/>
  <c r="N31" i="60"/>
  <c r="R31" i="60"/>
  <c r="K32" i="60"/>
  <c r="K113" i="60"/>
  <c r="K112" i="60"/>
  <c r="K128" i="60"/>
  <c r="K117" i="60"/>
  <c r="O113" i="60"/>
  <c r="O112" i="60"/>
  <c r="O116" i="60"/>
  <c r="S113" i="60"/>
  <c r="S112" i="60"/>
  <c r="S128" i="60"/>
  <c r="S117" i="60"/>
  <c r="O133" i="60"/>
  <c r="O131" i="60"/>
  <c r="O118" i="60"/>
  <c r="O105" i="60"/>
  <c r="K46" i="60"/>
  <c r="O46" i="60"/>
  <c r="S46" i="60"/>
  <c r="K89" i="60"/>
  <c r="O89" i="60"/>
  <c r="S89" i="60"/>
  <c r="M97" i="60"/>
  <c r="M98" i="60" s="1"/>
  <c r="Q103" i="60"/>
  <c r="Q107" i="60"/>
  <c r="O117" i="60"/>
  <c r="S122" i="60"/>
  <c r="K131" i="60"/>
  <c r="S133" i="60"/>
  <c r="I138" i="60"/>
  <c r="I110" i="60"/>
  <c r="Q142" i="60"/>
  <c r="Q114" i="60"/>
  <c r="M31" i="60"/>
  <c r="J128" i="60"/>
  <c r="J117" i="60"/>
  <c r="J116" i="60"/>
  <c r="J113" i="60"/>
  <c r="J112" i="60"/>
  <c r="J91" i="60"/>
  <c r="J133" i="60"/>
  <c r="J131" i="60"/>
  <c r="J118" i="60"/>
  <c r="J105" i="60"/>
  <c r="N46" i="60"/>
  <c r="J87" i="60"/>
  <c r="J95" i="60" s="1"/>
  <c r="N89" i="60"/>
  <c r="I97" i="60"/>
  <c r="I98" i="60" s="1"/>
  <c r="K136" i="60"/>
  <c r="K107" i="60"/>
  <c r="S136" i="60"/>
  <c r="S107" i="60"/>
  <c r="K137" i="60"/>
  <c r="K104" i="60"/>
  <c r="K103" i="60"/>
  <c r="O137" i="60"/>
  <c r="O104" i="60"/>
  <c r="O103" i="60"/>
  <c r="S137" i="60"/>
  <c r="S104" i="60"/>
  <c r="S103" i="60"/>
  <c r="K138" i="60"/>
  <c r="K110" i="60"/>
  <c r="O138" i="60"/>
  <c r="O110" i="60"/>
  <c r="S138" i="60"/>
  <c r="S110" i="60"/>
  <c r="K139" i="60"/>
  <c r="K97" i="60"/>
  <c r="K98" i="60" s="1"/>
  <c r="O139" i="60"/>
  <c r="O97" i="60"/>
  <c r="O98" i="60" s="1"/>
  <c r="S139" i="60"/>
  <c r="S97" i="60"/>
  <c r="S98" i="60" s="1"/>
  <c r="K142" i="60"/>
  <c r="K108" i="60"/>
  <c r="O142" i="60"/>
  <c r="O114" i="60"/>
  <c r="O108" i="60"/>
  <c r="S142" i="60"/>
  <c r="S108" i="60"/>
  <c r="K31" i="60"/>
  <c r="S31" i="60"/>
  <c r="H116" i="60"/>
  <c r="H91" i="60"/>
  <c r="H112" i="60"/>
  <c r="H128" i="60"/>
  <c r="H117" i="60"/>
  <c r="L128" i="60"/>
  <c r="L117" i="60"/>
  <c r="L91" i="60"/>
  <c r="L113" i="60"/>
  <c r="L116" i="60"/>
  <c r="P116" i="60"/>
  <c r="P91" i="60"/>
  <c r="P112" i="60"/>
  <c r="P128" i="60"/>
  <c r="P117" i="60"/>
  <c r="H133" i="60"/>
  <c r="H131" i="60"/>
  <c r="H118" i="60"/>
  <c r="H105" i="60"/>
  <c r="L105" i="60"/>
  <c r="L133" i="60"/>
  <c r="L131" i="60"/>
  <c r="L118" i="60"/>
  <c r="P133" i="60"/>
  <c r="P131" i="60"/>
  <c r="P118" i="60"/>
  <c r="P105" i="60"/>
  <c r="H46" i="60"/>
  <c r="L46" i="60"/>
  <c r="P46" i="60"/>
  <c r="H106" i="60"/>
  <c r="H109" i="60"/>
  <c r="H115" i="60" s="1"/>
  <c r="H119" i="60" s="1"/>
  <c r="H127" i="60" s="1"/>
  <c r="H89" i="60"/>
  <c r="L89" i="60"/>
  <c r="P89" i="60"/>
  <c r="O91" i="60"/>
  <c r="Q97" i="60"/>
  <c r="Q98" i="60" s="1"/>
  <c r="I104" i="60"/>
  <c r="I108" i="60"/>
  <c r="H110" i="60"/>
  <c r="P113" i="60"/>
  <c r="K118" i="60"/>
  <c r="S131" i="60"/>
  <c r="M138" i="60"/>
  <c r="M110" i="60"/>
  <c r="M142" i="60"/>
  <c r="M114" i="60"/>
  <c r="R128" i="60"/>
  <c r="R117" i="60"/>
  <c r="R116" i="60"/>
  <c r="R113" i="60"/>
  <c r="R112" i="60"/>
  <c r="R91" i="60"/>
  <c r="R133" i="60"/>
  <c r="R131" i="60"/>
  <c r="R118" i="60"/>
  <c r="R105" i="60"/>
  <c r="R46" i="60"/>
  <c r="M107" i="60"/>
  <c r="S125" i="60"/>
  <c r="S123" i="60"/>
  <c r="S121" i="60"/>
  <c r="S124" i="60"/>
  <c r="O136" i="60"/>
  <c r="O107" i="60"/>
  <c r="H107" i="60"/>
  <c r="H136" i="60"/>
  <c r="L107" i="60"/>
  <c r="L136" i="60"/>
  <c r="P136" i="60"/>
  <c r="P107" i="60"/>
  <c r="H104" i="60"/>
  <c r="H103" i="60"/>
  <c r="L104" i="60"/>
  <c r="L103" i="60"/>
  <c r="L137" i="60"/>
  <c r="P104" i="60"/>
  <c r="P103" i="60"/>
  <c r="P137" i="60"/>
  <c r="L110" i="60"/>
  <c r="H97" i="60"/>
  <c r="H98" i="60" s="1"/>
  <c r="H139" i="60"/>
  <c r="L139" i="60"/>
  <c r="L97" i="60"/>
  <c r="L98" i="60" s="1"/>
  <c r="P100" i="60"/>
  <c r="P99" i="60"/>
  <c r="H114" i="60"/>
  <c r="H108" i="60"/>
  <c r="H142" i="60"/>
  <c r="L108" i="60"/>
  <c r="L142" i="60"/>
  <c r="L114" i="60"/>
  <c r="P142" i="60"/>
  <c r="P114" i="60"/>
  <c r="P108" i="60"/>
  <c r="H31" i="60"/>
  <c r="L31" i="60"/>
  <c r="P31" i="60"/>
  <c r="I128" i="60"/>
  <c r="I117" i="60"/>
  <c r="I116" i="60"/>
  <c r="I112" i="60"/>
  <c r="I113" i="60"/>
  <c r="M128" i="60"/>
  <c r="M117" i="60"/>
  <c r="M116" i="60"/>
  <c r="M113" i="60"/>
  <c r="M112" i="60"/>
  <c r="Q128" i="60"/>
  <c r="Q117" i="60"/>
  <c r="Q116" i="60"/>
  <c r="Q112" i="60"/>
  <c r="Q113" i="60"/>
  <c r="I133" i="60"/>
  <c r="I131" i="60"/>
  <c r="I118" i="60"/>
  <c r="M133" i="60"/>
  <c r="M131" i="60"/>
  <c r="M118" i="60"/>
  <c r="Q133" i="60"/>
  <c r="Q131" i="60"/>
  <c r="Q118" i="60"/>
  <c r="I46" i="60"/>
  <c r="M46" i="60"/>
  <c r="Q46" i="60"/>
  <c r="I57" i="60"/>
  <c r="I73" i="60" s="1"/>
  <c r="I89" i="60"/>
  <c r="M89" i="60"/>
  <c r="Q89" i="60"/>
  <c r="I91" i="60"/>
  <c r="Q91" i="60"/>
  <c r="I103" i="60"/>
  <c r="M104" i="60"/>
  <c r="Q105" i="60"/>
  <c r="I107" i="60"/>
  <c r="M108" i="60"/>
  <c r="P110" i="60"/>
  <c r="K116" i="60"/>
  <c r="S118" i="60"/>
  <c r="P139" i="60"/>
  <c r="S167" i="59"/>
  <c r="R167" i="59"/>
  <c r="Q167" i="59"/>
  <c r="P167" i="59"/>
  <c r="O167" i="59"/>
  <c r="N167" i="59"/>
  <c r="M167" i="59"/>
  <c r="L167" i="59"/>
  <c r="K167" i="59"/>
  <c r="J167" i="59"/>
  <c r="I167" i="59"/>
  <c r="H167" i="59"/>
  <c r="Q166" i="59"/>
  <c r="P166" i="59"/>
  <c r="M166" i="59"/>
  <c r="L166" i="59"/>
  <c r="K166" i="59"/>
  <c r="J166" i="59"/>
  <c r="I166" i="59"/>
  <c r="H166" i="59"/>
  <c r="Q165" i="59"/>
  <c r="P165" i="59"/>
  <c r="I165" i="59"/>
  <c r="H165" i="59"/>
  <c r="M164" i="59"/>
  <c r="L164" i="59"/>
  <c r="I163" i="59"/>
  <c r="H163" i="59"/>
  <c r="Q159" i="59"/>
  <c r="I159" i="59"/>
  <c r="H159" i="59"/>
  <c r="M158" i="59"/>
  <c r="Q157" i="59"/>
  <c r="P157" i="59"/>
  <c r="I157" i="59"/>
  <c r="S156" i="59"/>
  <c r="R156" i="59"/>
  <c r="Q156" i="59"/>
  <c r="P156" i="59"/>
  <c r="O156" i="59"/>
  <c r="N156" i="59"/>
  <c r="M156" i="59"/>
  <c r="L156" i="59"/>
  <c r="K156" i="59"/>
  <c r="J156" i="59"/>
  <c r="I156" i="59"/>
  <c r="H156" i="59"/>
  <c r="S155" i="59"/>
  <c r="R155" i="59"/>
  <c r="Q155" i="59"/>
  <c r="P155" i="59"/>
  <c r="O155" i="59"/>
  <c r="N155" i="59"/>
  <c r="M155" i="59"/>
  <c r="L155" i="59"/>
  <c r="K155" i="59"/>
  <c r="J155" i="59"/>
  <c r="I155" i="59"/>
  <c r="H155" i="59"/>
  <c r="M154" i="59"/>
  <c r="L154" i="59"/>
  <c r="M149" i="59"/>
  <c r="I148" i="59"/>
  <c r="Q143" i="59"/>
  <c r="I143" i="59"/>
  <c r="H143" i="59"/>
  <c r="M142" i="59"/>
  <c r="Q141" i="59"/>
  <c r="P141" i="59"/>
  <c r="P148" i="59" s="1"/>
  <c r="I141" i="59"/>
  <c r="I138" i="59"/>
  <c r="H138" i="59"/>
  <c r="E138" i="59"/>
  <c r="Q137" i="59"/>
  <c r="N137" i="59"/>
  <c r="I137" i="59"/>
  <c r="S135" i="59"/>
  <c r="R135" i="59"/>
  <c r="Q135" i="59"/>
  <c r="P135" i="59"/>
  <c r="O135" i="59"/>
  <c r="N135" i="59"/>
  <c r="M135" i="59"/>
  <c r="L135" i="59"/>
  <c r="K135" i="59"/>
  <c r="J135" i="59"/>
  <c r="I135" i="59"/>
  <c r="H135" i="59"/>
  <c r="Q134" i="59"/>
  <c r="K131" i="59"/>
  <c r="H131" i="59"/>
  <c r="L130" i="59"/>
  <c r="H129" i="59"/>
  <c r="L127" i="59"/>
  <c r="P126" i="59"/>
  <c r="H126" i="59"/>
  <c r="L125" i="59"/>
  <c r="S123" i="59"/>
  <c r="R123" i="59"/>
  <c r="Q123" i="59"/>
  <c r="P123" i="59"/>
  <c r="O123" i="59"/>
  <c r="N123" i="59"/>
  <c r="M123" i="59"/>
  <c r="L123" i="59"/>
  <c r="K123" i="59"/>
  <c r="J123" i="59"/>
  <c r="I123" i="59"/>
  <c r="H123" i="59"/>
  <c r="S119" i="59"/>
  <c r="S120" i="59" s="1"/>
  <c r="P119" i="59"/>
  <c r="P120" i="59" s="1"/>
  <c r="L119" i="59"/>
  <c r="K119" i="59"/>
  <c r="K120" i="59" s="1"/>
  <c r="H119" i="59"/>
  <c r="H120" i="59" s="1"/>
  <c r="S118" i="59"/>
  <c r="R118" i="59"/>
  <c r="Q118" i="59"/>
  <c r="P118" i="59"/>
  <c r="O118" i="59"/>
  <c r="N118" i="59"/>
  <c r="M118" i="59"/>
  <c r="L118" i="59"/>
  <c r="L120" i="59" s="1"/>
  <c r="K118" i="59"/>
  <c r="J118" i="59"/>
  <c r="I118" i="59"/>
  <c r="H118" i="59"/>
  <c r="H117" i="59"/>
  <c r="H133" i="59" s="1"/>
  <c r="H140" i="59" s="1"/>
  <c r="H145" i="59" s="1"/>
  <c r="H153" i="59" s="1"/>
  <c r="N115" i="59"/>
  <c r="M115" i="59"/>
  <c r="L115" i="59"/>
  <c r="K115" i="59"/>
  <c r="J115" i="59"/>
  <c r="I115" i="59"/>
  <c r="H115" i="59"/>
  <c r="P113" i="59"/>
  <c r="H113" i="59"/>
  <c r="L112" i="59"/>
  <c r="L110" i="59"/>
  <c r="L124" i="59" s="1"/>
  <c r="H109" i="59"/>
  <c r="J105" i="59"/>
  <c r="I105" i="59"/>
  <c r="H105" i="59"/>
  <c r="K101" i="59"/>
  <c r="H101" i="59"/>
  <c r="M96" i="59"/>
  <c r="Q95" i="59"/>
  <c r="Q96" i="59" s="1"/>
  <c r="P95" i="59"/>
  <c r="M95" i="59"/>
  <c r="L95" i="59"/>
  <c r="I95" i="59"/>
  <c r="I96" i="59" s="1"/>
  <c r="H95" i="59"/>
  <c r="P93" i="59"/>
  <c r="P94" i="59" s="1"/>
  <c r="O93" i="59"/>
  <c r="H93" i="59"/>
  <c r="N90" i="59"/>
  <c r="M90" i="59"/>
  <c r="L90" i="59"/>
  <c r="L91" i="59" s="1"/>
  <c r="K90" i="59"/>
  <c r="J90" i="59"/>
  <c r="I90" i="59"/>
  <c r="S89" i="59"/>
  <c r="R89" i="59"/>
  <c r="Q89" i="59"/>
  <c r="P89" i="59"/>
  <c r="O89" i="59"/>
  <c r="N89" i="59"/>
  <c r="M89" i="59"/>
  <c r="L89" i="59"/>
  <c r="K89" i="59"/>
  <c r="J89" i="59"/>
  <c r="I89" i="59"/>
  <c r="S88" i="59"/>
  <c r="R88" i="59"/>
  <c r="Q88" i="59"/>
  <c r="P88" i="59"/>
  <c r="O88" i="59"/>
  <c r="N88" i="59"/>
  <c r="M88" i="59"/>
  <c r="L88" i="59"/>
  <c r="K88" i="59"/>
  <c r="J88" i="59"/>
  <c r="I88" i="59"/>
  <c r="S87" i="59"/>
  <c r="R87" i="59"/>
  <c r="Q87" i="59"/>
  <c r="P87" i="59"/>
  <c r="O87" i="59"/>
  <c r="N87" i="59"/>
  <c r="M87" i="59"/>
  <c r="L87" i="59"/>
  <c r="K87" i="59"/>
  <c r="J87" i="59"/>
  <c r="I87" i="59"/>
  <c r="S86" i="59"/>
  <c r="R86" i="59"/>
  <c r="Q86" i="59"/>
  <c r="P86" i="59"/>
  <c r="O86" i="59"/>
  <c r="N86" i="59"/>
  <c r="M86" i="59"/>
  <c r="L86" i="59"/>
  <c r="K86" i="59"/>
  <c r="J86" i="59"/>
  <c r="I86" i="59"/>
  <c r="H86" i="59"/>
  <c r="I73" i="59"/>
  <c r="I92" i="59" s="1"/>
  <c r="S71" i="59"/>
  <c r="R71" i="59"/>
  <c r="Q71" i="59"/>
  <c r="P71" i="59"/>
  <c r="O71" i="59"/>
  <c r="N71" i="59"/>
  <c r="M71" i="59"/>
  <c r="L71" i="59"/>
  <c r="K71" i="59"/>
  <c r="J71" i="59"/>
  <c r="I71" i="59"/>
  <c r="H71" i="59"/>
  <c r="I57" i="59"/>
  <c r="H57" i="59"/>
  <c r="H73" i="59" s="1"/>
  <c r="H92" i="59" s="1"/>
  <c r="Q48" i="59"/>
  <c r="Q106" i="59" s="1"/>
  <c r="I48" i="59"/>
  <c r="I106" i="59" s="1"/>
  <c r="Q46" i="59"/>
  <c r="P46" i="59"/>
  <c r="M46" i="59"/>
  <c r="I46" i="59"/>
  <c r="H46" i="59"/>
  <c r="H160" i="59" s="1"/>
  <c r="O43" i="59"/>
  <c r="N43" i="59"/>
  <c r="L43" i="59"/>
  <c r="S41" i="59"/>
  <c r="S158" i="59" s="1"/>
  <c r="R41" i="59"/>
  <c r="R158" i="59" s="1"/>
  <c r="Q41" i="59"/>
  <c r="Q158" i="59" s="1"/>
  <c r="P41" i="59"/>
  <c r="P158" i="59" s="1"/>
  <c r="O41" i="59"/>
  <c r="O158" i="59" s="1"/>
  <c r="N41" i="59"/>
  <c r="N158" i="59" s="1"/>
  <c r="M41" i="59"/>
  <c r="L41" i="59"/>
  <c r="L158" i="59" s="1"/>
  <c r="K41" i="59"/>
  <c r="K158" i="59" s="1"/>
  <c r="J41" i="59"/>
  <c r="J158" i="59" s="1"/>
  <c r="I41" i="59"/>
  <c r="I158" i="59" s="1"/>
  <c r="H41" i="59"/>
  <c r="H158" i="59" s="1"/>
  <c r="S38" i="59"/>
  <c r="R38" i="59"/>
  <c r="Q38" i="59"/>
  <c r="Q127" i="59" s="1"/>
  <c r="P38" i="59"/>
  <c r="P159" i="59" s="1"/>
  <c r="O38" i="59"/>
  <c r="N38" i="59"/>
  <c r="M38" i="59"/>
  <c r="M159" i="59" s="1"/>
  <c r="L38" i="59"/>
  <c r="K38" i="59"/>
  <c r="J38" i="59"/>
  <c r="I38" i="59"/>
  <c r="I127" i="59" s="1"/>
  <c r="H38" i="59"/>
  <c r="H157" i="59" s="1"/>
  <c r="S33" i="59"/>
  <c r="R33" i="59"/>
  <c r="R137" i="59" s="1"/>
  <c r="Q33" i="59"/>
  <c r="Q154" i="59" s="1"/>
  <c r="P33" i="59"/>
  <c r="O33" i="59"/>
  <c r="O112" i="59" s="1"/>
  <c r="N33" i="59"/>
  <c r="M33" i="59"/>
  <c r="M141" i="59" s="1"/>
  <c r="L33" i="59"/>
  <c r="K33" i="59"/>
  <c r="J33" i="59"/>
  <c r="J137" i="59" s="1"/>
  <c r="I33" i="59"/>
  <c r="I154" i="59" s="1"/>
  <c r="H33" i="59"/>
  <c r="K32" i="59"/>
  <c r="J32" i="59"/>
  <c r="J57" i="59" s="1"/>
  <c r="J73" i="59" s="1"/>
  <c r="J92" i="59" s="1"/>
  <c r="I32" i="59"/>
  <c r="O29" i="59"/>
  <c r="N27" i="59"/>
  <c r="M27" i="59"/>
  <c r="L27" i="59"/>
  <c r="L168" i="59" s="1"/>
  <c r="K27" i="59"/>
  <c r="J27" i="59"/>
  <c r="I27" i="59"/>
  <c r="H27" i="59"/>
  <c r="S20" i="59"/>
  <c r="S166" i="59" s="1"/>
  <c r="R20" i="59"/>
  <c r="R166" i="59" s="1"/>
  <c r="Q20" i="59"/>
  <c r="P20" i="59"/>
  <c r="O20" i="59"/>
  <c r="O166" i="59" s="1"/>
  <c r="N20" i="59"/>
  <c r="N166" i="59" s="1"/>
  <c r="S19" i="59"/>
  <c r="R19" i="59"/>
  <c r="Q19" i="59"/>
  <c r="Q119" i="59" s="1"/>
  <c r="Q120" i="59" s="1"/>
  <c r="P19" i="59"/>
  <c r="O19" i="59"/>
  <c r="N19" i="59"/>
  <c r="M19" i="59"/>
  <c r="M165" i="59" s="1"/>
  <c r="L19" i="59"/>
  <c r="L165" i="59" s="1"/>
  <c r="K19" i="59"/>
  <c r="J19" i="59"/>
  <c r="I19" i="59"/>
  <c r="I119" i="59" s="1"/>
  <c r="I120" i="59" s="1"/>
  <c r="H19" i="59"/>
  <c r="N18" i="59"/>
  <c r="K18" i="59"/>
  <c r="J18" i="59"/>
  <c r="S10" i="59"/>
  <c r="R10" i="59"/>
  <c r="Q10" i="59"/>
  <c r="Q164" i="59" s="1"/>
  <c r="P10" i="59"/>
  <c r="O10" i="59"/>
  <c r="N10" i="59"/>
  <c r="N164" i="59" s="1"/>
  <c r="M10" i="59"/>
  <c r="L10" i="59"/>
  <c r="K10" i="59"/>
  <c r="J10" i="59"/>
  <c r="I10" i="59"/>
  <c r="I164" i="59" s="1"/>
  <c r="H10" i="59"/>
  <c r="S5" i="59"/>
  <c r="S163" i="59" s="1"/>
  <c r="R5" i="59"/>
  <c r="Q5" i="59"/>
  <c r="P5" i="59"/>
  <c r="P163" i="59" s="1"/>
  <c r="O5" i="59"/>
  <c r="O163" i="59" s="1"/>
  <c r="N5" i="59"/>
  <c r="M5" i="59"/>
  <c r="L5" i="59"/>
  <c r="L163" i="59" s="1"/>
  <c r="K5" i="59"/>
  <c r="K163" i="59" s="1"/>
  <c r="J5" i="59"/>
  <c r="I5" i="59"/>
  <c r="H5" i="59"/>
  <c r="H125" i="59" s="1"/>
  <c r="S4" i="59"/>
  <c r="S162" i="59" s="1"/>
  <c r="R4" i="59"/>
  <c r="Q4" i="59"/>
  <c r="P4" i="59"/>
  <c r="O4" i="59"/>
  <c r="O162" i="59" s="1"/>
  <c r="N4" i="59"/>
  <c r="M4" i="59"/>
  <c r="M136" i="59" s="1"/>
  <c r="L4" i="59"/>
  <c r="L162" i="59" s="1"/>
  <c r="K4" i="59"/>
  <c r="K162" i="59" s="1"/>
  <c r="J4" i="59"/>
  <c r="I4" i="59"/>
  <c r="H4" i="59"/>
  <c r="O133" i="67" l="1"/>
  <c r="O140" i="67" s="1"/>
  <c r="O145" i="67" s="1"/>
  <c r="O153" i="67" s="1"/>
  <c r="O129" i="67"/>
  <c r="R32" i="67"/>
  <c r="Q105" i="67"/>
  <c r="Q57" i="67"/>
  <c r="Q73" i="67" s="1"/>
  <c r="Q92" i="67" s="1"/>
  <c r="P117" i="67"/>
  <c r="P109" i="67"/>
  <c r="R32" i="66"/>
  <c r="Q87" i="66"/>
  <c r="Q95" i="66" s="1"/>
  <c r="Q57" i="66"/>
  <c r="Q73" i="66" s="1"/>
  <c r="P109" i="66"/>
  <c r="P115" i="66" s="1"/>
  <c r="P119" i="66" s="1"/>
  <c r="P127" i="66" s="1"/>
  <c r="P106" i="66"/>
  <c r="N117" i="65"/>
  <c r="N109" i="65"/>
  <c r="O57" i="65"/>
  <c r="O73" i="65" s="1"/>
  <c r="O92" i="65" s="1"/>
  <c r="O105" i="65"/>
  <c r="P32" i="65"/>
  <c r="M129" i="65"/>
  <c r="M133" i="65"/>
  <c r="M140" i="65" s="1"/>
  <c r="M145" i="65" s="1"/>
  <c r="M153" i="65" s="1"/>
  <c r="O32" i="64"/>
  <c r="N57" i="64"/>
  <c r="N73" i="64" s="1"/>
  <c r="N92" i="64" s="1"/>
  <c r="N105" i="64"/>
  <c r="L129" i="64"/>
  <c r="L133" i="64"/>
  <c r="L140" i="64" s="1"/>
  <c r="L145" i="64" s="1"/>
  <c r="L153" i="64" s="1"/>
  <c r="M117" i="64"/>
  <c r="M109" i="64"/>
  <c r="N105" i="63"/>
  <c r="O32" i="63"/>
  <c r="N57" i="63"/>
  <c r="N73" i="63" s="1"/>
  <c r="N92" i="63" s="1"/>
  <c r="L133" i="63"/>
  <c r="L140" i="63" s="1"/>
  <c r="L145" i="63" s="1"/>
  <c r="L153" i="63" s="1"/>
  <c r="L129" i="63"/>
  <c r="M117" i="63"/>
  <c r="M109" i="63"/>
  <c r="I134" i="62"/>
  <c r="I30" i="62"/>
  <c r="L10" i="62"/>
  <c r="L110" i="62"/>
  <c r="M15" i="62"/>
  <c r="L112" i="62"/>
  <c r="K109" i="62"/>
  <c r="K137" i="62"/>
  <c r="K4" i="62"/>
  <c r="J106" i="62"/>
  <c r="J111" i="62"/>
  <c r="J135" i="62"/>
  <c r="K52" i="62"/>
  <c r="L52" i="62"/>
  <c r="P106" i="61"/>
  <c r="P51" i="61"/>
  <c r="L115" i="61"/>
  <c r="M90" i="61"/>
  <c r="L27" i="61"/>
  <c r="L90" i="61"/>
  <c r="L91" i="61" s="1"/>
  <c r="H161" i="61"/>
  <c r="H52" i="61"/>
  <c r="Q51" i="61"/>
  <c r="Q106" i="61"/>
  <c r="O106" i="61"/>
  <c r="O51" i="61"/>
  <c r="S106" i="61"/>
  <c r="S107" i="61" s="1"/>
  <c r="S51" i="61"/>
  <c r="N106" i="61"/>
  <c r="N107" i="61" s="1"/>
  <c r="N51" i="61"/>
  <c r="M100" i="61"/>
  <c r="L106" i="61"/>
  <c r="L107" i="61" s="1"/>
  <c r="L51" i="61"/>
  <c r="J161" i="61"/>
  <c r="J52" i="61"/>
  <c r="M106" i="61"/>
  <c r="M107" i="61" s="1"/>
  <c r="M51" i="61"/>
  <c r="K117" i="61"/>
  <c r="K109" i="61"/>
  <c r="O107" i="61"/>
  <c r="Q97" i="61"/>
  <c r="Q107" i="61" s="1"/>
  <c r="K106" i="61"/>
  <c r="K107" i="61" s="1"/>
  <c r="K51" i="61"/>
  <c r="K168" i="61"/>
  <c r="K138" i="61"/>
  <c r="K131" i="61"/>
  <c r="K101" i="61"/>
  <c r="K102" i="61" s="1"/>
  <c r="K103" i="61" s="1"/>
  <c r="K18" i="61"/>
  <c r="K31" i="61" s="1"/>
  <c r="M32" i="61"/>
  <c r="L57" i="61"/>
  <c r="L73" i="61" s="1"/>
  <c r="L92" i="61" s="1"/>
  <c r="L105" i="61"/>
  <c r="J103" i="61"/>
  <c r="P107" i="61"/>
  <c r="R106" i="61"/>
  <c r="R107" i="61" s="1"/>
  <c r="R51" i="61"/>
  <c r="I51" i="61"/>
  <c r="I106" i="61"/>
  <c r="I107" i="61" s="1"/>
  <c r="O100" i="61"/>
  <c r="O103" i="61" s="1"/>
  <c r="K125" i="60"/>
  <c r="K123" i="60"/>
  <c r="K121" i="60"/>
  <c r="K124" i="60"/>
  <c r="K122" i="60"/>
  <c r="K120" i="60"/>
  <c r="R134" i="60"/>
  <c r="R93" i="60"/>
  <c r="R92" i="60"/>
  <c r="R88" i="60"/>
  <c r="R48" i="60"/>
  <c r="R51" i="60" s="1"/>
  <c r="P93" i="60"/>
  <c r="P92" i="60"/>
  <c r="P134" i="60"/>
  <c r="P88" i="60"/>
  <c r="P48" i="60"/>
  <c r="P51" i="60" s="1"/>
  <c r="I99" i="60"/>
  <c r="I100" i="60"/>
  <c r="K102" i="60"/>
  <c r="K90" i="60"/>
  <c r="O124" i="60"/>
  <c r="O122" i="60"/>
  <c r="O120" i="60"/>
  <c r="O121" i="60"/>
  <c r="O123" i="60"/>
  <c r="O125" i="60"/>
  <c r="Q102" i="60"/>
  <c r="Q90" i="60"/>
  <c r="Q134" i="60"/>
  <c r="Q93" i="60"/>
  <c r="Q88" i="60"/>
  <c r="Q48" i="60"/>
  <c r="Q51" i="60" s="1"/>
  <c r="Q92" i="60"/>
  <c r="I125" i="60"/>
  <c r="I124" i="60"/>
  <c r="I123" i="60"/>
  <c r="I122" i="60"/>
  <c r="I121" i="60"/>
  <c r="I120" i="60"/>
  <c r="H100" i="60"/>
  <c r="H99" i="60"/>
  <c r="Q100" i="60"/>
  <c r="Q99" i="60"/>
  <c r="H102" i="60"/>
  <c r="H90" i="60"/>
  <c r="L134" i="60"/>
  <c r="L93" i="60"/>
  <c r="L92" i="60"/>
  <c r="L88" i="60"/>
  <c r="L48" i="60"/>
  <c r="L51" i="60" s="1"/>
  <c r="H124" i="60"/>
  <c r="H122" i="60"/>
  <c r="H120" i="60"/>
  <c r="H125" i="60"/>
  <c r="H123" i="60"/>
  <c r="H121" i="60"/>
  <c r="O100" i="60"/>
  <c r="O99" i="60"/>
  <c r="N102" i="60"/>
  <c r="N90" i="60"/>
  <c r="M99" i="60"/>
  <c r="M100" i="60"/>
  <c r="S134" i="60"/>
  <c r="S93" i="60"/>
  <c r="S92" i="60"/>
  <c r="S88" i="60"/>
  <c r="S48" i="60"/>
  <c r="S51" i="60" s="1"/>
  <c r="J134" i="60"/>
  <c r="J93" i="60"/>
  <c r="J92" i="60"/>
  <c r="J88" i="60"/>
  <c r="J48" i="60"/>
  <c r="J51" i="60" s="1"/>
  <c r="N125" i="60"/>
  <c r="N124" i="60"/>
  <c r="N123" i="60"/>
  <c r="N122" i="60"/>
  <c r="N121" i="60"/>
  <c r="N120" i="60"/>
  <c r="R100" i="60"/>
  <c r="R99" i="60"/>
  <c r="M90" i="60"/>
  <c r="M102" i="60"/>
  <c r="M134" i="60"/>
  <c r="M92" i="60"/>
  <c r="M88" i="60"/>
  <c r="M48" i="60"/>
  <c r="M51" i="60" s="1"/>
  <c r="M93" i="60"/>
  <c r="L100" i="60"/>
  <c r="L99" i="60"/>
  <c r="H93" i="60"/>
  <c r="H92" i="60"/>
  <c r="H134" i="60"/>
  <c r="H88" i="60"/>
  <c r="H48" i="60"/>
  <c r="H51" i="60" s="1"/>
  <c r="J109" i="60"/>
  <c r="J115" i="60" s="1"/>
  <c r="J119" i="60" s="1"/>
  <c r="J127" i="60" s="1"/>
  <c r="J106" i="60"/>
  <c r="S102" i="60"/>
  <c r="S90" i="60"/>
  <c r="O92" i="60"/>
  <c r="O134" i="60"/>
  <c r="O93" i="60"/>
  <c r="O88" i="60"/>
  <c r="O48" i="60"/>
  <c r="O51" i="60" s="1"/>
  <c r="N100" i="60"/>
  <c r="N99" i="60"/>
  <c r="M125" i="60"/>
  <c r="M124" i="60"/>
  <c r="M123" i="60"/>
  <c r="M122" i="60"/>
  <c r="M121" i="60"/>
  <c r="M120" i="60"/>
  <c r="R125" i="60"/>
  <c r="R124" i="60"/>
  <c r="R123" i="60"/>
  <c r="R122" i="60"/>
  <c r="R121" i="60"/>
  <c r="R120" i="60"/>
  <c r="L102" i="60"/>
  <c r="L90" i="60"/>
  <c r="L125" i="60"/>
  <c r="L123" i="60"/>
  <c r="L121" i="60"/>
  <c r="L124" i="60"/>
  <c r="L122" i="60"/>
  <c r="L120" i="60"/>
  <c r="J100" i="60"/>
  <c r="J99" i="60"/>
  <c r="I90" i="60"/>
  <c r="I102" i="60"/>
  <c r="I134" i="60"/>
  <c r="I93" i="60"/>
  <c r="I88" i="60"/>
  <c r="I48" i="60"/>
  <c r="I51" i="60" s="1"/>
  <c r="I92" i="60"/>
  <c r="Q125" i="60"/>
  <c r="Q124" i="60"/>
  <c r="Q123" i="60"/>
  <c r="Q122" i="60"/>
  <c r="Q121" i="60"/>
  <c r="Q120" i="60"/>
  <c r="P102" i="60"/>
  <c r="P90" i="60"/>
  <c r="P124" i="60"/>
  <c r="P122" i="60"/>
  <c r="P120" i="60"/>
  <c r="P125" i="60"/>
  <c r="P123" i="60"/>
  <c r="P121" i="60"/>
  <c r="S100" i="60"/>
  <c r="S99" i="60"/>
  <c r="K100" i="60"/>
  <c r="K99" i="60"/>
  <c r="N134" i="60"/>
  <c r="N93" i="60"/>
  <c r="N92" i="60"/>
  <c r="N88" i="60"/>
  <c r="N48" i="60"/>
  <c r="N51" i="60" s="1"/>
  <c r="J125" i="60"/>
  <c r="J124" i="60"/>
  <c r="J123" i="60"/>
  <c r="J122" i="60"/>
  <c r="J121" i="60"/>
  <c r="J120" i="60"/>
  <c r="O102" i="60"/>
  <c r="O90" i="60"/>
  <c r="K134" i="60"/>
  <c r="K92" i="60"/>
  <c r="K93" i="60"/>
  <c r="K88" i="60"/>
  <c r="K48" i="60"/>
  <c r="K51" i="60" s="1"/>
  <c r="L32" i="60"/>
  <c r="K87" i="60"/>
  <c r="K95" i="60" s="1"/>
  <c r="K57" i="60"/>
  <c r="K73" i="60" s="1"/>
  <c r="L122" i="59"/>
  <c r="L121" i="59"/>
  <c r="H121" i="59"/>
  <c r="S121" i="59"/>
  <c r="P121" i="59"/>
  <c r="K121" i="59"/>
  <c r="J162" i="59"/>
  <c r="J130" i="59"/>
  <c r="R162" i="59"/>
  <c r="R130" i="59"/>
  <c r="N163" i="59"/>
  <c r="N126" i="59"/>
  <c r="N125" i="59"/>
  <c r="N93" i="59"/>
  <c r="J164" i="59"/>
  <c r="J134" i="59"/>
  <c r="R164" i="59"/>
  <c r="R134" i="59"/>
  <c r="N136" i="59"/>
  <c r="M114" i="59"/>
  <c r="M113" i="59"/>
  <c r="O94" i="59"/>
  <c r="P146" i="59"/>
  <c r="S164" i="59"/>
  <c r="S134" i="59"/>
  <c r="I121" i="59"/>
  <c r="K57" i="59"/>
  <c r="K73" i="59" s="1"/>
  <c r="K92" i="59" s="1"/>
  <c r="K105" i="59"/>
  <c r="K154" i="59"/>
  <c r="K142" i="59"/>
  <c r="K141" i="59"/>
  <c r="K137" i="59"/>
  <c r="K136" i="59"/>
  <c r="K46" i="59"/>
  <c r="S154" i="59"/>
  <c r="S142" i="59"/>
  <c r="S141" i="59"/>
  <c r="S137" i="59"/>
  <c r="S136" i="59"/>
  <c r="S46" i="59"/>
  <c r="O159" i="59"/>
  <c r="O157" i="59"/>
  <c r="O143" i="59"/>
  <c r="P160" i="59"/>
  <c r="P30" i="59"/>
  <c r="O99" i="59"/>
  <c r="O110" i="59"/>
  <c r="O125" i="59"/>
  <c r="K126" i="59"/>
  <c r="S126" i="59"/>
  <c r="O127" i="59"/>
  <c r="O130" i="59"/>
  <c r="J136" i="59"/>
  <c r="Q151" i="59"/>
  <c r="Q149" i="59"/>
  <c r="Q147" i="59"/>
  <c r="Q146" i="59"/>
  <c r="Q150" i="59"/>
  <c r="H162" i="59"/>
  <c r="H99" i="59"/>
  <c r="H31" i="59"/>
  <c r="P162" i="59"/>
  <c r="P99" i="59"/>
  <c r="H134" i="59"/>
  <c r="H164" i="59"/>
  <c r="P134" i="59"/>
  <c r="J165" i="59"/>
  <c r="J119" i="59"/>
  <c r="J120" i="59" s="1"/>
  <c r="J95" i="59"/>
  <c r="J96" i="59" s="1"/>
  <c r="R165" i="59"/>
  <c r="R119" i="59"/>
  <c r="R120" i="59" s="1"/>
  <c r="R95" i="59"/>
  <c r="R96" i="59" s="1"/>
  <c r="H168" i="59"/>
  <c r="H18" i="59"/>
  <c r="K31" i="59"/>
  <c r="H137" i="59"/>
  <c r="H136" i="59"/>
  <c r="H154" i="59"/>
  <c r="H142" i="59"/>
  <c r="L137" i="59"/>
  <c r="L136" i="59"/>
  <c r="L141" i="59"/>
  <c r="P137" i="59"/>
  <c r="P136" i="59"/>
  <c r="P154" i="59"/>
  <c r="P142" i="59"/>
  <c r="L159" i="59"/>
  <c r="L157" i="59"/>
  <c r="L143" i="59"/>
  <c r="I160" i="59"/>
  <c r="I114" i="59"/>
  <c r="I113" i="59"/>
  <c r="Q160" i="59"/>
  <c r="Q114" i="59"/>
  <c r="Q113" i="59"/>
  <c r="M48" i="59"/>
  <c r="I51" i="59"/>
  <c r="Q51" i="59"/>
  <c r="K93" i="59"/>
  <c r="S93" i="59"/>
  <c r="S99" i="59" s="1"/>
  <c r="H110" i="59"/>
  <c r="P110" i="59"/>
  <c r="L111" i="59"/>
  <c r="H112" i="59"/>
  <c r="P112" i="59"/>
  <c r="H114" i="59"/>
  <c r="P114" i="59"/>
  <c r="P125" i="59"/>
  <c r="L126" i="59"/>
  <c r="H127" i="59"/>
  <c r="P127" i="59"/>
  <c r="H130" i="59"/>
  <c r="P130" i="59"/>
  <c r="L131" i="59"/>
  <c r="I134" i="59"/>
  <c r="H141" i="59"/>
  <c r="L142" i="59"/>
  <c r="P143" i="59"/>
  <c r="N162" i="59"/>
  <c r="N130" i="59"/>
  <c r="J163" i="59"/>
  <c r="J126" i="59"/>
  <c r="J125" i="59"/>
  <c r="J93" i="59"/>
  <c r="J99" i="59" s="1"/>
  <c r="R163" i="59"/>
  <c r="R126" i="59"/>
  <c r="R125" i="59"/>
  <c r="R93" i="59"/>
  <c r="R94" i="59" s="1"/>
  <c r="R97" i="59" s="1"/>
  <c r="J117" i="59"/>
  <c r="J109" i="59"/>
  <c r="P151" i="59"/>
  <c r="P149" i="59"/>
  <c r="P147" i="59"/>
  <c r="P150" i="59"/>
  <c r="K164" i="59"/>
  <c r="K134" i="59"/>
  <c r="O164" i="59"/>
  <c r="O134" i="59"/>
  <c r="Q121" i="59"/>
  <c r="J31" i="59"/>
  <c r="O154" i="59"/>
  <c r="O142" i="59"/>
  <c r="O141" i="59"/>
  <c r="O137" i="59"/>
  <c r="O136" i="59"/>
  <c r="O46" i="59"/>
  <c r="K159" i="59"/>
  <c r="K157" i="59"/>
  <c r="K143" i="59"/>
  <c r="S159" i="59"/>
  <c r="S157" i="59"/>
  <c r="S143" i="59"/>
  <c r="M160" i="59"/>
  <c r="L31" i="59"/>
  <c r="L134" i="59"/>
  <c r="N165" i="59"/>
  <c r="N119" i="59"/>
  <c r="N120" i="59" s="1"/>
  <c r="N95" i="59"/>
  <c r="N96" i="59" s="1"/>
  <c r="L138" i="59"/>
  <c r="L18" i="59"/>
  <c r="L32" i="59"/>
  <c r="I162" i="59"/>
  <c r="I130" i="59"/>
  <c r="M130" i="59"/>
  <c r="Q162" i="59"/>
  <c r="Q130" i="59"/>
  <c r="I126" i="59"/>
  <c r="I125" i="59"/>
  <c r="I93" i="59"/>
  <c r="I94" i="59" s="1"/>
  <c r="I97" i="59" s="1"/>
  <c r="I107" i="59" s="1"/>
  <c r="M163" i="59"/>
  <c r="M126" i="59"/>
  <c r="M125" i="59"/>
  <c r="M93" i="59"/>
  <c r="Q126" i="59"/>
  <c r="Q125" i="59"/>
  <c r="Q93" i="59"/>
  <c r="Q94" i="59" s="1"/>
  <c r="Q97" i="59" s="1"/>
  <c r="Q107" i="59" s="1"/>
  <c r="M134" i="59"/>
  <c r="K165" i="59"/>
  <c r="K95" i="59"/>
  <c r="O165" i="59"/>
  <c r="O95" i="59"/>
  <c r="O96" i="59" s="1"/>
  <c r="S165" i="59"/>
  <c r="S95" i="59"/>
  <c r="I168" i="59"/>
  <c r="I18" i="59"/>
  <c r="I31" i="59" s="1"/>
  <c r="I131" i="59"/>
  <c r="I101" i="59"/>
  <c r="I102" i="59" s="1"/>
  <c r="M138" i="59"/>
  <c r="M18" i="59"/>
  <c r="M31" i="59" s="1"/>
  <c r="M131" i="59"/>
  <c r="M101" i="59"/>
  <c r="O90" i="59"/>
  <c r="N31" i="59"/>
  <c r="M150" i="59"/>
  <c r="M148" i="59"/>
  <c r="M146" i="59"/>
  <c r="L46" i="59"/>
  <c r="H48" i="59"/>
  <c r="H51" i="59" s="1"/>
  <c r="P48" i="59"/>
  <c r="L93" i="59"/>
  <c r="L94" i="59" s="1"/>
  <c r="L101" i="59"/>
  <c r="L102" i="59" s="1"/>
  <c r="I117" i="59"/>
  <c r="I109" i="59"/>
  <c r="K110" i="59"/>
  <c r="S110" i="59"/>
  <c r="K112" i="59"/>
  <c r="S112" i="59"/>
  <c r="O119" i="59"/>
  <c r="O120" i="59" s="1"/>
  <c r="K125" i="59"/>
  <c r="S125" i="59"/>
  <c r="O126" i="59"/>
  <c r="K127" i="59"/>
  <c r="S127" i="59"/>
  <c r="K130" i="59"/>
  <c r="S130" i="59"/>
  <c r="N134" i="59"/>
  <c r="R136" i="59"/>
  <c r="I151" i="59"/>
  <c r="I149" i="59"/>
  <c r="I147" i="59"/>
  <c r="I146" i="59"/>
  <c r="M147" i="59"/>
  <c r="Q148" i="59"/>
  <c r="I150" i="59"/>
  <c r="M151" i="59"/>
  <c r="M162" i="59"/>
  <c r="Q163" i="59"/>
  <c r="M168" i="59"/>
  <c r="J168" i="59"/>
  <c r="J138" i="59"/>
  <c r="N168" i="59"/>
  <c r="N138" i="59"/>
  <c r="J46" i="59"/>
  <c r="N46" i="59"/>
  <c r="R46" i="59"/>
  <c r="I110" i="59"/>
  <c r="I122" i="59" s="1"/>
  <c r="M110" i="59"/>
  <c r="Q110" i="59"/>
  <c r="I112" i="59"/>
  <c r="M112" i="59"/>
  <c r="Q112" i="59"/>
  <c r="M119" i="59"/>
  <c r="M120" i="59" s="1"/>
  <c r="M127" i="59"/>
  <c r="P164" i="59"/>
  <c r="K168" i="59"/>
  <c r="K138" i="59"/>
  <c r="J154" i="59"/>
  <c r="J142" i="59"/>
  <c r="J141" i="59"/>
  <c r="N154" i="59"/>
  <c r="N142" i="59"/>
  <c r="N141" i="59"/>
  <c r="R154" i="59"/>
  <c r="R142" i="59"/>
  <c r="R141" i="59"/>
  <c r="J159" i="59"/>
  <c r="J157" i="59"/>
  <c r="J143" i="59"/>
  <c r="N159" i="59"/>
  <c r="N157" i="59"/>
  <c r="N143" i="59"/>
  <c r="R159" i="59"/>
  <c r="R157" i="59"/>
  <c r="R143" i="59"/>
  <c r="J101" i="59"/>
  <c r="J102" i="59" s="1"/>
  <c r="N101" i="59"/>
  <c r="N102" i="59" s="1"/>
  <c r="J110" i="59"/>
  <c r="N110" i="59"/>
  <c r="R110" i="59"/>
  <c r="J112" i="59"/>
  <c r="N112" i="59"/>
  <c r="R112" i="59"/>
  <c r="J127" i="59"/>
  <c r="N127" i="59"/>
  <c r="R127" i="59"/>
  <c r="J131" i="59"/>
  <c r="N131" i="59"/>
  <c r="I136" i="59"/>
  <c r="Q136" i="59"/>
  <c r="M137" i="59"/>
  <c r="I142" i="59"/>
  <c r="Q142" i="59"/>
  <c r="M143" i="59"/>
  <c r="M157" i="59"/>
  <c r="S167" i="58"/>
  <c r="R167" i="58"/>
  <c r="Q167" i="58"/>
  <c r="P167" i="58"/>
  <c r="O167" i="58"/>
  <c r="N167" i="58"/>
  <c r="M167" i="58"/>
  <c r="L167" i="58"/>
  <c r="K167" i="58"/>
  <c r="J167" i="58"/>
  <c r="I167" i="58"/>
  <c r="H167" i="58"/>
  <c r="S166" i="58"/>
  <c r="R166" i="58"/>
  <c r="Q166" i="58"/>
  <c r="P166" i="58"/>
  <c r="O166" i="58"/>
  <c r="M166" i="58"/>
  <c r="L166" i="58"/>
  <c r="K166" i="58"/>
  <c r="J166" i="58"/>
  <c r="I166" i="58"/>
  <c r="H166" i="58"/>
  <c r="L165" i="58"/>
  <c r="S156" i="58"/>
  <c r="R156" i="58"/>
  <c r="Q156" i="58"/>
  <c r="P156" i="58"/>
  <c r="O156" i="58"/>
  <c r="N156" i="58"/>
  <c r="M156" i="58"/>
  <c r="L156" i="58"/>
  <c r="K156" i="58"/>
  <c r="J156" i="58"/>
  <c r="I156" i="58"/>
  <c r="H156" i="58"/>
  <c r="S155" i="58"/>
  <c r="R155" i="58"/>
  <c r="Q155" i="58"/>
  <c r="P155" i="58"/>
  <c r="O155" i="58"/>
  <c r="N155" i="58"/>
  <c r="M155" i="58"/>
  <c r="L155" i="58"/>
  <c r="K155" i="58"/>
  <c r="J155" i="58"/>
  <c r="I155" i="58"/>
  <c r="H155" i="58"/>
  <c r="E138" i="58"/>
  <c r="S135" i="58"/>
  <c r="R135" i="58"/>
  <c r="Q135" i="58"/>
  <c r="P135" i="58"/>
  <c r="O135" i="58"/>
  <c r="N135" i="58"/>
  <c r="M135" i="58"/>
  <c r="L135" i="58"/>
  <c r="K135" i="58"/>
  <c r="J135" i="58"/>
  <c r="I135" i="58"/>
  <c r="H135" i="58"/>
  <c r="O130" i="58"/>
  <c r="S126" i="58"/>
  <c r="O125" i="58"/>
  <c r="S123" i="58"/>
  <c r="R123" i="58"/>
  <c r="Q123" i="58"/>
  <c r="P123" i="58"/>
  <c r="O123" i="58"/>
  <c r="N123" i="58"/>
  <c r="M123" i="58"/>
  <c r="L123" i="58"/>
  <c r="K123" i="58"/>
  <c r="J123" i="58"/>
  <c r="I123" i="58"/>
  <c r="H123" i="58"/>
  <c r="K119" i="58"/>
  <c r="K120" i="58" s="1"/>
  <c r="S118" i="58"/>
  <c r="R118" i="58"/>
  <c r="Q118" i="58"/>
  <c r="P118" i="58"/>
  <c r="O118" i="58"/>
  <c r="N118" i="58"/>
  <c r="M118" i="58"/>
  <c r="L118" i="58"/>
  <c r="K118" i="58"/>
  <c r="J118" i="58"/>
  <c r="I118" i="58"/>
  <c r="H118" i="58"/>
  <c r="S115" i="58"/>
  <c r="R115" i="58"/>
  <c r="Q115" i="58"/>
  <c r="P115" i="58"/>
  <c r="N115" i="58"/>
  <c r="M115" i="58"/>
  <c r="L115" i="58"/>
  <c r="K115" i="58"/>
  <c r="J115" i="58"/>
  <c r="I115" i="58"/>
  <c r="H115" i="58"/>
  <c r="S110" i="58"/>
  <c r="H105" i="58"/>
  <c r="H117" i="58" s="1"/>
  <c r="P101" i="58"/>
  <c r="Q95" i="58"/>
  <c r="M95" i="58"/>
  <c r="I95" i="58"/>
  <c r="P93" i="58"/>
  <c r="L93" i="58"/>
  <c r="H93" i="58"/>
  <c r="S90" i="58"/>
  <c r="R90" i="58"/>
  <c r="Q90" i="58"/>
  <c r="N90" i="58"/>
  <c r="M90" i="58"/>
  <c r="L90" i="58"/>
  <c r="L91" i="58" s="1"/>
  <c r="K90" i="58"/>
  <c r="J90" i="58"/>
  <c r="I90" i="58"/>
  <c r="S89" i="58"/>
  <c r="R89" i="58"/>
  <c r="Q89" i="58"/>
  <c r="P89" i="58"/>
  <c r="O89" i="58"/>
  <c r="N89" i="58"/>
  <c r="M89" i="58"/>
  <c r="L89" i="58"/>
  <c r="K89" i="58"/>
  <c r="J89" i="58"/>
  <c r="I89" i="58"/>
  <c r="S88" i="58"/>
  <c r="R88" i="58"/>
  <c r="Q88" i="58"/>
  <c r="P88" i="58"/>
  <c r="O88" i="58"/>
  <c r="N88" i="58"/>
  <c r="M88" i="58"/>
  <c r="L88" i="58"/>
  <c r="K88" i="58"/>
  <c r="J88" i="58"/>
  <c r="I88" i="58"/>
  <c r="S87" i="58"/>
  <c r="R87" i="58"/>
  <c r="Q87" i="58"/>
  <c r="P87" i="58"/>
  <c r="O87" i="58"/>
  <c r="N87" i="58"/>
  <c r="M87" i="58"/>
  <c r="L87" i="58"/>
  <c r="K87" i="58"/>
  <c r="J87" i="58"/>
  <c r="I87" i="58"/>
  <c r="S86" i="58"/>
  <c r="R86" i="58"/>
  <c r="Q86" i="58"/>
  <c r="P86" i="58"/>
  <c r="O86" i="58"/>
  <c r="N86" i="58"/>
  <c r="M86" i="58"/>
  <c r="L86" i="58"/>
  <c r="K86" i="58"/>
  <c r="J86" i="58"/>
  <c r="I86" i="58"/>
  <c r="H86" i="58"/>
  <c r="I73" i="58"/>
  <c r="I92" i="58" s="1"/>
  <c r="S71" i="58"/>
  <c r="R71" i="58"/>
  <c r="Q71" i="58"/>
  <c r="P71" i="58"/>
  <c r="O71" i="58"/>
  <c r="N71" i="58"/>
  <c r="M71" i="58"/>
  <c r="L71" i="58"/>
  <c r="K71" i="58"/>
  <c r="J71" i="58"/>
  <c r="I71" i="58"/>
  <c r="H71" i="58"/>
  <c r="I57" i="58"/>
  <c r="H57" i="58"/>
  <c r="H73" i="58" s="1"/>
  <c r="H92" i="58" s="1"/>
  <c r="M48" i="58"/>
  <c r="M106" i="58" s="1"/>
  <c r="Q46" i="58"/>
  <c r="M46" i="58"/>
  <c r="I46" i="58"/>
  <c r="I48" i="58" s="1"/>
  <c r="M43" i="58"/>
  <c r="L43" i="58"/>
  <c r="K43" i="58"/>
  <c r="K41" i="58" s="1"/>
  <c r="K158" i="58" s="1"/>
  <c r="J43" i="58"/>
  <c r="I43" i="58"/>
  <c r="H43" i="58"/>
  <c r="N42" i="58"/>
  <c r="N41" i="58" s="1"/>
  <c r="N158" i="58" s="1"/>
  <c r="S41" i="58"/>
  <c r="S158" i="58" s="1"/>
  <c r="R41" i="58"/>
  <c r="R158" i="58" s="1"/>
  <c r="Q41" i="58"/>
  <c r="Q158" i="58" s="1"/>
  <c r="P41" i="58"/>
  <c r="P158" i="58" s="1"/>
  <c r="O41" i="58"/>
  <c r="O158" i="58" s="1"/>
  <c r="M41" i="58"/>
  <c r="M158" i="58" s="1"/>
  <c r="L41" i="58"/>
  <c r="L158" i="58" s="1"/>
  <c r="J41" i="58"/>
  <c r="J158" i="58" s="1"/>
  <c r="I41" i="58"/>
  <c r="I158" i="58" s="1"/>
  <c r="H41" i="58"/>
  <c r="H158" i="58" s="1"/>
  <c r="S38" i="58"/>
  <c r="R38" i="58"/>
  <c r="Q38" i="58"/>
  <c r="P38" i="58"/>
  <c r="O38" i="58"/>
  <c r="O127" i="58" s="1"/>
  <c r="N38" i="58"/>
  <c r="M38" i="58"/>
  <c r="L38" i="58"/>
  <c r="K38" i="58"/>
  <c r="K127" i="58" s="1"/>
  <c r="J38" i="58"/>
  <c r="I38" i="58"/>
  <c r="H38" i="58"/>
  <c r="S33" i="58"/>
  <c r="S112" i="58" s="1"/>
  <c r="R33" i="58"/>
  <c r="R46" i="58" s="1"/>
  <c r="Q33" i="58"/>
  <c r="P33" i="58"/>
  <c r="O33" i="58"/>
  <c r="O46" i="58" s="1"/>
  <c r="N33" i="58"/>
  <c r="N46" i="58" s="1"/>
  <c r="M33" i="58"/>
  <c r="L33" i="58"/>
  <c r="K33" i="58"/>
  <c r="K110" i="58" s="1"/>
  <c r="K111" i="58" s="1"/>
  <c r="J33" i="58"/>
  <c r="J46" i="58" s="1"/>
  <c r="I33" i="58"/>
  <c r="H33" i="58"/>
  <c r="J32" i="58"/>
  <c r="J105" i="58" s="1"/>
  <c r="I32" i="58"/>
  <c r="I105" i="58" s="1"/>
  <c r="S31" i="58"/>
  <c r="K31" i="58"/>
  <c r="O29" i="58"/>
  <c r="S27" i="58"/>
  <c r="R27" i="58"/>
  <c r="Q27" i="58"/>
  <c r="P27" i="58"/>
  <c r="N27" i="58"/>
  <c r="M27" i="58"/>
  <c r="L27" i="58"/>
  <c r="K27" i="58"/>
  <c r="K131" i="58" s="1"/>
  <c r="J27" i="58"/>
  <c r="I27" i="58"/>
  <c r="H27" i="58"/>
  <c r="H101" i="58" s="1"/>
  <c r="N21" i="58"/>
  <c r="N20" i="58"/>
  <c r="N166" i="58" s="1"/>
  <c r="S19" i="58"/>
  <c r="S165" i="58" s="1"/>
  <c r="R19" i="58"/>
  <c r="Q19" i="58"/>
  <c r="P19" i="58"/>
  <c r="O19" i="58"/>
  <c r="O165" i="58" s="1"/>
  <c r="N19" i="58"/>
  <c r="M19" i="58"/>
  <c r="L19" i="58"/>
  <c r="L119" i="58" s="1"/>
  <c r="L120" i="58" s="1"/>
  <c r="K19" i="58"/>
  <c r="K165" i="58" s="1"/>
  <c r="J19" i="58"/>
  <c r="J18" i="58" s="1"/>
  <c r="I19" i="58"/>
  <c r="H19" i="58"/>
  <c r="S18" i="58"/>
  <c r="R18" i="58"/>
  <c r="Q18" i="58"/>
  <c r="N18" i="58"/>
  <c r="M18" i="58"/>
  <c r="K18" i="58"/>
  <c r="I18" i="58"/>
  <c r="S10" i="58"/>
  <c r="R10" i="58"/>
  <c r="Q10" i="58"/>
  <c r="P10" i="58"/>
  <c r="O10" i="58"/>
  <c r="N10" i="58"/>
  <c r="M10" i="58"/>
  <c r="M164" i="58" s="1"/>
  <c r="L10" i="58"/>
  <c r="K10" i="58"/>
  <c r="J10" i="58"/>
  <c r="I10" i="58"/>
  <c r="H10" i="58"/>
  <c r="S5" i="58"/>
  <c r="S163" i="58" s="1"/>
  <c r="R5" i="58"/>
  <c r="Q5" i="58"/>
  <c r="Q93" i="58" s="1"/>
  <c r="Q94" i="58" s="1"/>
  <c r="P5" i="58"/>
  <c r="O5" i="58"/>
  <c r="O163" i="58" s="1"/>
  <c r="N5" i="58"/>
  <c r="M5" i="58"/>
  <c r="M93" i="58" s="1"/>
  <c r="M94" i="58" s="1"/>
  <c r="L5" i="58"/>
  <c r="K5" i="58"/>
  <c r="K163" i="58" s="1"/>
  <c r="J5" i="58"/>
  <c r="I5" i="58"/>
  <c r="I93" i="58" s="1"/>
  <c r="I94" i="58" s="1"/>
  <c r="H5" i="58"/>
  <c r="S4" i="58"/>
  <c r="S162" i="58" s="1"/>
  <c r="R4" i="58"/>
  <c r="Q4" i="58"/>
  <c r="Q99" i="58" s="1"/>
  <c r="P4" i="58"/>
  <c r="O4" i="58"/>
  <c r="O162" i="58" s="1"/>
  <c r="N4" i="58"/>
  <c r="M4" i="58"/>
  <c r="M99" i="58" s="1"/>
  <c r="L4" i="58"/>
  <c r="K4" i="58"/>
  <c r="K162" i="58" s="1"/>
  <c r="J4" i="58"/>
  <c r="I4" i="58"/>
  <c r="I99" i="58" s="1"/>
  <c r="H4" i="58"/>
  <c r="Q117" i="67" l="1"/>
  <c r="Q109" i="67"/>
  <c r="R105" i="67"/>
  <c r="S32" i="67"/>
  <c r="R57" i="67"/>
  <c r="R73" i="67" s="1"/>
  <c r="R92" i="67" s="1"/>
  <c r="P133" i="67"/>
  <c r="P140" i="67" s="1"/>
  <c r="P145" i="67" s="1"/>
  <c r="P153" i="67" s="1"/>
  <c r="P129" i="67"/>
  <c r="Q109" i="66"/>
  <c r="Q115" i="66" s="1"/>
  <c r="Q119" i="66" s="1"/>
  <c r="Q127" i="66" s="1"/>
  <c r="Q106" i="66"/>
  <c r="R87" i="66"/>
  <c r="R95" i="66" s="1"/>
  <c r="R57" i="66"/>
  <c r="R73" i="66" s="1"/>
  <c r="S32" i="66"/>
  <c r="O109" i="65"/>
  <c r="O117" i="65"/>
  <c r="P105" i="65"/>
  <c r="P57" i="65"/>
  <c r="P73" i="65" s="1"/>
  <c r="P92" i="65" s="1"/>
  <c r="Q32" i="65"/>
  <c r="N133" i="65"/>
  <c r="N140" i="65" s="1"/>
  <c r="N145" i="65" s="1"/>
  <c r="N153" i="65" s="1"/>
  <c r="N129" i="65"/>
  <c r="N117" i="64"/>
  <c r="N109" i="64"/>
  <c r="M129" i="64"/>
  <c r="M133" i="64"/>
  <c r="M140" i="64" s="1"/>
  <c r="M145" i="64" s="1"/>
  <c r="M153" i="64" s="1"/>
  <c r="O57" i="64"/>
  <c r="O73" i="64" s="1"/>
  <c r="O92" i="64" s="1"/>
  <c r="O105" i="64"/>
  <c r="P32" i="64"/>
  <c r="M133" i="63"/>
  <c r="M140" i="63" s="1"/>
  <c r="M145" i="63" s="1"/>
  <c r="M153" i="63" s="1"/>
  <c r="M129" i="63"/>
  <c r="O57" i="63"/>
  <c r="O73" i="63" s="1"/>
  <c r="O92" i="63" s="1"/>
  <c r="O105" i="63"/>
  <c r="P32" i="63"/>
  <c r="N117" i="63"/>
  <c r="N109" i="63"/>
  <c r="L137" i="62"/>
  <c r="L4" i="62"/>
  <c r="I52" i="62"/>
  <c r="J29" i="62"/>
  <c r="I27" i="62"/>
  <c r="I93" i="62"/>
  <c r="K135" i="62"/>
  <c r="K106" i="62"/>
  <c r="K111" i="62"/>
  <c r="M110" i="62"/>
  <c r="M10" i="62"/>
  <c r="M112" i="62"/>
  <c r="M161" i="61"/>
  <c r="M52" i="61"/>
  <c r="N161" i="61"/>
  <c r="N52" i="61"/>
  <c r="I161" i="61"/>
  <c r="I52" i="61"/>
  <c r="L161" i="61"/>
  <c r="L52" i="61"/>
  <c r="Q161" i="61"/>
  <c r="Q52" i="61"/>
  <c r="L168" i="61"/>
  <c r="L131" i="61"/>
  <c r="L138" i="61"/>
  <c r="L101" i="61"/>
  <c r="L18" i="61"/>
  <c r="L31" i="61" s="1"/>
  <c r="M105" i="61"/>
  <c r="M57" i="61"/>
  <c r="M73" i="61" s="1"/>
  <c r="M92" i="61" s="1"/>
  <c r="N32" i="61"/>
  <c r="P52" i="61"/>
  <c r="P161" i="61"/>
  <c r="R161" i="61"/>
  <c r="R52" i="61"/>
  <c r="L117" i="61"/>
  <c r="L109" i="61"/>
  <c r="K161" i="61"/>
  <c r="K52" i="61"/>
  <c r="O161" i="61"/>
  <c r="O52" i="61"/>
  <c r="K133" i="61"/>
  <c r="K140" i="61" s="1"/>
  <c r="K145" i="61" s="1"/>
  <c r="K153" i="61" s="1"/>
  <c r="K129" i="61"/>
  <c r="S161" i="61"/>
  <c r="S52" i="61"/>
  <c r="Q135" i="60"/>
  <c r="Q52" i="60"/>
  <c r="P135" i="60"/>
  <c r="P52" i="60"/>
  <c r="M32" i="60"/>
  <c r="L87" i="60"/>
  <c r="L95" i="60" s="1"/>
  <c r="L57" i="60"/>
  <c r="L73" i="60" s="1"/>
  <c r="O135" i="60"/>
  <c r="O52" i="60"/>
  <c r="S52" i="60"/>
  <c r="S135" i="60"/>
  <c r="R135" i="60"/>
  <c r="R52" i="60"/>
  <c r="K135" i="60"/>
  <c r="K52" i="60"/>
  <c r="H135" i="60"/>
  <c r="H52" i="60"/>
  <c r="M135" i="60"/>
  <c r="M52" i="60"/>
  <c r="L135" i="60"/>
  <c r="L52" i="60"/>
  <c r="K109" i="60"/>
  <c r="K115" i="60" s="1"/>
  <c r="K119" i="60" s="1"/>
  <c r="K127" i="60" s="1"/>
  <c r="K106" i="60"/>
  <c r="J135" i="60"/>
  <c r="J52" i="60"/>
  <c r="N135" i="60"/>
  <c r="N52" i="60"/>
  <c r="I135" i="60"/>
  <c r="I52" i="60"/>
  <c r="R124" i="59"/>
  <c r="R111" i="59"/>
  <c r="J148" i="59"/>
  <c r="J147" i="59"/>
  <c r="J146" i="59"/>
  <c r="L97" i="59"/>
  <c r="M94" i="59"/>
  <c r="M97" i="59" s="1"/>
  <c r="I99" i="59"/>
  <c r="I100" i="59" s="1"/>
  <c r="K102" i="59"/>
  <c r="M106" i="59"/>
  <c r="M51" i="59"/>
  <c r="N151" i="59"/>
  <c r="N150" i="59"/>
  <c r="N149" i="59"/>
  <c r="N148" i="59"/>
  <c r="N147" i="59"/>
  <c r="N146" i="59"/>
  <c r="S124" i="59"/>
  <c r="S111" i="59"/>
  <c r="M99" i="59"/>
  <c r="O151" i="59"/>
  <c r="O150" i="59"/>
  <c r="O149" i="59"/>
  <c r="O148" i="59"/>
  <c r="O147" i="59"/>
  <c r="O146" i="59"/>
  <c r="J133" i="59"/>
  <c r="J140" i="59" s="1"/>
  <c r="J145" i="59" s="1"/>
  <c r="J153" i="59" s="1"/>
  <c r="J129" i="59"/>
  <c r="R99" i="59"/>
  <c r="N94" i="59"/>
  <c r="N97" i="59" s="1"/>
  <c r="J124" i="59"/>
  <c r="J111" i="59"/>
  <c r="R151" i="59"/>
  <c r="R150" i="59"/>
  <c r="R149" i="59"/>
  <c r="R148" i="59"/>
  <c r="R147" i="59"/>
  <c r="R146" i="59"/>
  <c r="R160" i="59"/>
  <c r="R114" i="59"/>
  <c r="R113" i="59"/>
  <c r="R48" i="59"/>
  <c r="K111" i="59"/>
  <c r="K124" i="59"/>
  <c r="H52" i="59"/>
  <c r="H161" i="59"/>
  <c r="M102" i="59"/>
  <c r="I103" i="59"/>
  <c r="S96" i="59"/>
  <c r="K96" i="59"/>
  <c r="L105" i="59"/>
  <c r="M32" i="59"/>
  <c r="L57" i="59"/>
  <c r="L73" i="59" s="1"/>
  <c r="L92" i="59" s="1"/>
  <c r="N122" i="59"/>
  <c r="N121" i="59"/>
  <c r="L99" i="59"/>
  <c r="O160" i="59"/>
  <c r="O48" i="59"/>
  <c r="O113" i="59"/>
  <c r="O114" i="59"/>
  <c r="N99" i="59"/>
  <c r="N100" i="59" s="1"/>
  <c r="P124" i="59"/>
  <c r="P111" i="59"/>
  <c r="Q30" i="59"/>
  <c r="Q52" i="59" s="1"/>
  <c r="Q161" i="59"/>
  <c r="L150" i="59"/>
  <c r="L148" i="59"/>
  <c r="L146" i="59"/>
  <c r="L151" i="59"/>
  <c r="L147" i="59"/>
  <c r="L149" i="59"/>
  <c r="R122" i="59"/>
  <c r="R121" i="59"/>
  <c r="S160" i="59"/>
  <c r="S48" i="59"/>
  <c r="S114" i="59"/>
  <c r="S113" i="59"/>
  <c r="K117" i="59"/>
  <c r="K109" i="59"/>
  <c r="K122" i="59"/>
  <c r="S122" i="59"/>
  <c r="M124" i="59"/>
  <c r="M111" i="59"/>
  <c r="J160" i="59"/>
  <c r="J114" i="59"/>
  <c r="J113" i="59"/>
  <c r="J48" i="59"/>
  <c r="I133" i="59"/>
  <c r="I140" i="59" s="1"/>
  <c r="I145" i="59" s="1"/>
  <c r="I153" i="59" s="1"/>
  <c r="I129" i="59"/>
  <c r="J94" i="59"/>
  <c r="J97" i="59" s="1"/>
  <c r="H151" i="59"/>
  <c r="H149" i="59"/>
  <c r="H147" i="59"/>
  <c r="H148" i="59"/>
  <c r="H150" i="59"/>
  <c r="H146" i="59"/>
  <c r="S94" i="59"/>
  <c r="S97" i="59" s="1"/>
  <c r="K160" i="59"/>
  <c r="K48" i="59"/>
  <c r="K114" i="59"/>
  <c r="K113" i="59"/>
  <c r="N124" i="59"/>
  <c r="N111" i="59"/>
  <c r="I124" i="59"/>
  <c r="I111" i="59"/>
  <c r="O121" i="59"/>
  <c r="O122" i="59"/>
  <c r="P106" i="59"/>
  <c r="P51" i="59"/>
  <c r="P161" i="59" s="1"/>
  <c r="Q99" i="59"/>
  <c r="Q100" i="59" s="1"/>
  <c r="K94" i="59"/>
  <c r="K97" i="59" s="1"/>
  <c r="J122" i="59"/>
  <c r="J121" i="59"/>
  <c r="P52" i="59"/>
  <c r="S151" i="59"/>
  <c r="S150" i="59"/>
  <c r="S149" i="59"/>
  <c r="S148" i="59"/>
  <c r="S147" i="59"/>
  <c r="S146" i="59"/>
  <c r="O97" i="59"/>
  <c r="N103" i="59"/>
  <c r="M122" i="59"/>
  <c r="M121" i="59"/>
  <c r="Q124" i="59"/>
  <c r="Q111" i="59"/>
  <c r="N160" i="59"/>
  <c r="N114" i="59"/>
  <c r="N113" i="59"/>
  <c r="N48" i="59"/>
  <c r="K99" i="59"/>
  <c r="K100" i="59" s="1"/>
  <c r="L48" i="59"/>
  <c r="L160" i="59"/>
  <c r="L113" i="59"/>
  <c r="L114" i="59"/>
  <c r="Q122" i="59"/>
  <c r="P96" i="59"/>
  <c r="P97" i="59" s="1"/>
  <c r="P107" i="59" s="1"/>
  <c r="H124" i="59"/>
  <c r="H111" i="59"/>
  <c r="L96" i="59"/>
  <c r="I161" i="59"/>
  <c r="I52" i="59"/>
  <c r="P100" i="59"/>
  <c r="O124" i="59"/>
  <c r="O111" i="59"/>
  <c r="K151" i="59"/>
  <c r="K150" i="59"/>
  <c r="K149" i="59"/>
  <c r="K148" i="59"/>
  <c r="K147" i="59"/>
  <c r="K146" i="59"/>
  <c r="P122" i="59"/>
  <c r="H122" i="59"/>
  <c r="I106" i="58"/>
  <c r="I51" i="58"/>
  <c r="L162" i="58"/>
  <c r="L130" i="58"/>
  <c r="L99" i="58"/>
  <c r="O160" i="58"/>
  <c r="O114" i="58"/>
  <c r="O48" i="58"/>
  <c r="O113" i="58"/>
  <c r="I100" i="58"/>
  <c r="P168" i="58"/>
  <c r="P138" i="58"/>
  <c r="P131" i="58"/>
  <c r="P18" i="58"/>
  <c r="P90" i="58"/>
  <c r="O27" i="58"/>
  <c r="O90" i="58"/>
  <c r="I117" i="58"/>
  <c r="I109" i="58"/>
  <c r="H137" i="58"/>
  <c r="H136" i="58"/>
  <c r="H141" i="58"/>
  <c r="H142" i="58"/>
  <c r="H112" i="58"/>
  <c r="H110" i="58"/>
  <c r="H46" i="58"/>
  <c r="H154" i="58"/>
  <c r="L137" i="58"/>
  <c r="L136" i="58"/>
  <c r="L142" i="58"/>
  <c r="L154" i="58"/>
  <c r="L112" i="58"/>
  <c r="L110" i="58"/>
  <c r="L46" i="58"/>
  <c r="L141" i="58"/>
  <c r="P137" i="58"/>
  <c r="P136" i="58"/>
  <c r="P154" i="58"/>
  <c r="P141" i="58"/>
  <c r="P112" i="58"/>
  <c r="P110" i="58"/>
  <c r="P46" i="58"/>
  <c r="P142" i="58"/>
  <c r="H157" i="58"/>
  <c r="H159" i="58"/>
  <c r="H143" i="58"/>
  <c r="H127" i="58"/>
  <c r="L159" i="58"/>
  <c r="L143" i="58"/>
  <c r="L127" i="58"/>
  <c r="L157" i="58"/>
  <c r="P159" i="58"/>
  <c r="P143" i="58"/>
  <c r="P157" i="58"/>
  <c r="P127" i="58"/>
  <c r="M51" i="58"/>
  <c r="O115" i="58"/>
  <c r="K124" i="58"/>
  <c r="H162" i="58"/>
  <c r="H130" i="58"/>
  <c r="H99" i="58"/>
  <c r="Q160" i="58"/>
  <c r="Q114" i="58"/>
  <c r="Q113" i="58"/>
  <c r="J162" i="58"/>
  <c r="J130" i="58"/>
  <c r="J31" i="58"/>
  <c r="R162" i="58"/>
  <c r="R130" i="58"/>
  <c r="R31" i="58"/>
  <c r="N163" i="58"/>
  <c r="N126" i="58"/>
  <c r="N125" i="58"/>
  <c r="N93" i="58"/>
  <c r="N94" i="58" s="1"/>
  <c r="J164" i="58"/>
  <c r="J134" i="58"/>
  <c r="R164" i="58"/>
  <c r="R134" i="58"/>
  <c r="J165" i="58"/>
  <c r="J119" i="58"/>
  <c r="J120" i="58" s="1"/>
  <c r="J95" i="58"/>
  <c r="J96" i="58" s="1"/>
  <c r="R165" i="58"/>
  <c r="R119" i="58"/>
  <c r="R120" i="58" s="1"/>
  <c r="R95" i="58"/>
  <c r="R96" i="58" s="1"/>
  <c r="L168" i="58"/>
  <c r="L138" i="58"/>
  <c r="L131" i="58"/>
  <c r="L18" i="58"/>
  <c r="L31" i="58" s="1"/>
  <c r="I160" i="58"/>
  <c r="I114" i="58"/>
  <c r="I113" i="58"/>
  <c r="H133" i="58"/>
  <c r="H140" i="58" s="1"/>
  <c r="H145" i="58" s="1"/>
  <c r="H153" i="58" s="1"/>
  <c r="H129" i="58"/>
  <c r="S111" i="58"/>
  <c r="S124" i="58"/>
  <c r="K121" i="58"/>
  <c r="K122" i="58"/>
  <c r="P130" i="58"/>
  <c r="P162" i="58"/>
  <c r="P99" i="58"/>
  <c r="P31" i="58"/>
  <c r="N162" i="58"/>
  <c r="N130" i="58"/>
  <c r="N99" i="58"/>
  <c r="N100" i="58" s="1"/>
  <c r="N31" i="58"/>
  <c r="J163" i="58"/>
  <c r="J126" i="58"/>
  <c r="J125" i="58"/>
  <c r="J93" i="58"/>
  <c r="J94" i="58" s="1"/>
  <c r="J97" i="58" s="1"/>
  <c r="R163" i="58"/>
  <c r="R126" i="58"/>
  <c r="R125" i="58"/>
  <c r="R93" i="58"/>
  <c r="R94" i="58" s="1"/>
  <c r="R97" i="58" s="1"/>
  <c r="N164" i="58"/>
  <c r="N134" i="58"/>
  <c r="N165" i="58"/>
  <c r="N119" i="58"/>
  <c r="N120" i="58" s="1"/>
  <c r="N95" i="58"/>
  <c r="N96" i="58" s="1"/>
  <c r="H168" i="58"/>
  <c r="H138" i="58"/>
  <c r="H131" i="58"/>
  <c r="H18" i="58"/>
  <c r="H31" i="58" s="1"/>
  <c r="J160" i="58"/>
  <c r="J114" i="58"/>
  <c r="J113" i="58"/>
  <c r="J48" i="58"/>
  <c r="N160" i="58"/>
  <c r="N114" i="58"/>
  <c r="N113" i="58"/>
  <c r="N48" i="58"/>
  <c r="R160" i="58"/>
  <c r="R114" i="58"/>
  <c r="R113" i="58"/>
  <c r="R48" i="58"/>
  <c r="M160" i="58"/>
  <c r="M114" i="58"/>
  <c r="M113" i="58"/>
  <c r="Q48" i="58"/>
  <c r="L101" i="58"/>
  <c r="K112" i="58"/>
  <c r="K164" i="58"/>
  <c r="K134" i="58"/>
  <c r="O164" i="58"/>
  <c r="O134" i="58"/>
  <c r="S164" i="58"/>
  <c r="S134" i="58"/>
  <c r="I168" i="58"/>
  <c r="I138" i="58"/>
  <c r="I131" i="58"/>
  <c r="M168" i="58"/>
  <c r="M138" i="58"/>
  <c r="M131" i="58"/>
  <c r="Q168" i="58"/>
  <c r="Q138" i="58"/>
  <c r="Q131" i="58"/>
  <c r="I154" i="58"/>
  <c r="I142" i="58"/>
  <c r="I141" i="58"/>
  <c r="I136" i="58"/>
  <c r="I112" i="58"/>
  <c r="I110" i="58"/>
  <c r="I137" i="58"/>
  <c r="M154" i="58"/>
  <c r="M142" i="58"/>
  <c r="M141" i="58"/>
  <c r="M136" i="58"/>
  <c r="M137" i="58"/>
  <c r="M112" i="58"/>
  <c r="M110" i="58"/>
  <c r="Q154" i="58"/>
  <c r="Q142" i="58"/>
  <c r="Q141" i="58"/>
  <c r="Q137" i="58"/>
  <c r="Q112" i="58"/>
  <c r="Q110" i="58"/>
  <c r="I159" i="58"/>
  <c r="I157" i="58"/>
  <c r="I143" i="58"/>
  <c r="I127" i="58"/>
  <c r="M159" i="58"/>
  <c r="M157" i="58"/>
  <c r="M143" i="58"/>
  <c r="M127" i="58"/>
  <c r="Q159" i="58"/>
  <c r="Q157" i="58"/>
  <c r="Q143" i="58"/>
  <c r="Q127" i="58"/>
  <c r="J57" i="58"/>
  <c r="J73" i="58" s="1"/>
  <c r="J92" i="58" s="1"/>
  <c r="I101" i="58"/>
  <c r="I102" i="58" s="1"/>
  <c r="I103" i="58" s="1"/>
  <c r="M101" i="58"/>
  <c r="Q101" i="58"/>
  <c r="Q102" i="58" s="1"/>
  <c r="O112" i="58"/>
  <c r="O119" i="58"/>
  <c r="O120" i="58" s="1"/>
  <c r="S125" i="58"/>
  <c r="S130" i="58"/>
  <c r="M134" i="58"/>
  <c r="L163" i="58"/>
  <c r="L126" i="58"/>
  <c r="L125" i="58"/>
  <c r="P163" i="58"/>
  <c r="P126" i="58"/>
  <c r="P125" i="58"/>
  <c r="H134" i="58"/>
  <c r="L134" i="58"/>
  <c r="L164" i="58"/>
  <c r="P134" i="58"/>
  <c r="P164" i="58"/>
  <c r="H165" i="58"/>
  <c r="H119" i="58"/>
  <c r="H120" i="58" s="1"/>
  <c r="L122" i="58"/>
  <c r="L121" i="58"/>
  <c r="P165" i="58"/>
  <c r="P119" i="58"/>
  <c r="P120" i="58" s="1"/>
  <c r="J168" i="58"/>
  <c r="J138" i="58"/>
  <c r="J131" i="58"/>
  <c r="N168" i="58"/>
  <c r="N138" i="58"/>
  <c r="N131" i="58"/>
  <c r="R168" i="58"/>
  <c r="R138" i="58"/>
  <c r="R131" i="58"/>
  <c r="I31" i="58"/>
  <c r="M31" i="58"/>
  <c r="Q31" i="58"/>
  <c r="J117" i="58"/>
  <c r="J109" i="58"/>
  <c r="J154" i="58"/>
  <c r="J142" i="58"/>
  <c r="J141" i="58"/>
  <c r="J137" i="58"/>
  <c r="J136" i="58"/>
  <c r="J112" i="58"/>
  <c r="J110" i="58"/>
  <c r="N154" i="58"/>
  <c r="N142" i="58"/>
  <c r="N141" i="58"/>
  <c r="N137" i="58"/>
  <c r="N136" i="58"/>
  <c r="N112" i="58"/>
  <c r="N110" i="58"/>
  <c r="R154" i="58"/>
  <c r="R142" i="58"/>
  <c r="R141" i="58"/>
  <c r="R137" i="58"/>
  <c r="R136" i="58"/>
  <c r="R112" i="58"/>
  <c r="R110" i="58"/>
  <c r="J159" i="58"/>
  <c r="J157" i="58"/>
  <c r="J143" i="58"/>
  <c r="J127" i="58"/>
  <c r="N159" i="58"/>
  <c r="N157" i="58"/>
  <c r="N143" i="58"/>
  <c r="N127" i="58"/>
  <c r="R159" i="58"/>
  <c r="R157" i="58"/>
  <c r="R143" i="58"/>
  <c r="R127" i="58"/>
  <c r="K46" i="58"/>
  <c r="S46" i="58"/>
  <c r="K95" i="58"/>
  <c r="K96" i="58" s="1"/>
  <c r="O95" i="58"/>
  <c r="S95" i="58"/>
  <c r="S96" i="58" s="1"/>
  <c r="J101" i="58"/>
  <c r="N101" i="58"/>
  <c r="N102" i="58" s="1"/>
  <c r="N103" i="58" s="1"/>
  <c r="R101" i="58"/>
  <c r="R102" i="58" s="1"/>
  <c r="S119" i="58"/>
  <c r="S120" i="58" s="1"/>
  <c r="K126" i="58"/>
  <c r="Q136" i="58"/>
  <c r="H163" i="58"/>
  <c r="H126" i="58"/>
  <c r="H125" i="58"/>
  <c r="I162" i="58"/>
  <c r="I130" i="58"/>
  <c r="M162" i="58"/>
  <c r="M130" i="58"/>
  <c r="Q162" i="58"/>
  <c r="Q130" i="58"/>
  <c r="I163" i="58"/>
  <c r="I126" i="58"/>
  <c r="I125" i="58"/>
  <c r="M163" i="58"/>
  <c r="M126" i="58"/>
  <c r="M125" i="58"/>
  <c r="Q163" i="58"/>
  <c r="Q126" i="58"/>
  <c r="Q125" i="58"/>
  <c r="I164" i="58"/>
  <c r="I134" i="58"/>
  <c r="Q164" i="58"/>
  <c r="Q134" i="58"/>
  <c r="I165" i="58"/>
  <c r="I119" i="58"/>
  <c r="I120" i="58" s="1"/>
  <c r="M165" i="58"/>
  <c r="M119" i="58"/>
  <c r="M120" i="58" s="1"/>
  <c r="Q165" i="58"/>
  <c r="Q119" i="58"/>
  <c r="Q120" i="58" s="1"/>
  <c r="K168" i="58"/>
  <c r="K138" i="58"/>
  <c r="S168" i="58"/>
  <c r="S138" i="58"/>
  <c r="S131" i="58"/>
  <c r="K32" i="58"/>
  <c r="K154" i="58"/>
  <c r="K142" i="58"/>
  <c r="K141" i="58"/>
  <c r="K137" i="58"/>
  <c r="K136" i="58"/>
  <c r="O154" i="58"/>
  <c r="O142" i="58"/>
  <c r="O141" i="58"/>
  <c r="O137" i="58"/>
  <c r="O136" i="58"/>
  <c r="S154" i="58"/>
  <c r="S142" i="58"/>
  <c r="S141" i="58"/>
  <c r="S137" i="58"/>
  <c r="S136" i="58"/>
  <c r="K159" i="58"/>
  <c r="K157" i="58"/>
  <c r="K143" i="58"/>
  <c r="O159" i="58"/>
  <c r="O157" i="58"/>
  <c r="O143" i="58"/>
  <c r="S159" i="58"/>
  <c r="S157" i="58"/>
  <c r="S143" i="58"/>
  <c r="K93" i="58"/>
  <c r="O93" i="58"/>
  <c r="S93" i="58"/>
  <c r="H95" i="58"/>
  <c r="I96" i="58" s="1"/>
  <c r="I97" i="58" s="1"/>
  <c r="I107" i="58" s="1"/>
  <c r="L95" i="58"/>
  <c r="P95" i="58"/>
  <c r="P96" i="58" s="1"/>
  <c r="K101" i="58"/>
  <c r="K102" i="58" s="1"/>
  <c r="S101" i="58"/>
  <c r="S102" i="58" s="1"/>
  <c r="O110" i="58"/>
  <c r="K125" i="58"/>
  <c r="O126" i="58"/>
  <c r="S127" i="58"/>
  <c r="K130" i="58"/>
  <c r="H164" i="58"/>
  <c r="H109" i="58"/>
  <c r="S167" i="57"/>
  <c r="R167" i="57"/>
  <c r="Q167" i="57"/>
  <c r="P167" i="57"/>
  <c r="O167" i="57"/>
  <c r="N167" i="57"/>
  <c r="K167" i="57"/>
  <c r="J167" i="57"/>
  <c r="I167" i="57"/>
  <c r="H167" i="57"/>
  <c r="L166" i="57"/>
  <c r="K166" i="57"/>
  <c r="J166" i="57"/>
  <c r="I166" i="57"/>
  <c r="H166" i="57"/>
  <c r="Q165" i="57"/>
  <c r="H165" i="57"/>
  <c r="I163" i="57"/>
  <c r="L162" i="57"/>
  <c r="Q157" i="57"/>
  <c r="S156" i="57"/>
  <c r="R156" i="57"/>
  <c r="Q156" i="57"/>
  <c r="P156" i="57"/>
  <c r="O156" i="57"/>
  <c r="N156" i="57"/>
  <c r="M156" i="57"/>
  <c r="L156" i="57"/>
  <c r="K156" i="57"/>
  <c r="J156" i="57"/>
  <c r="I156" i="57"/>
  <c r="H156" i="57"/>
  <c r="S155" i="57"/>
  <c r="R155" i="57"/>
  <c r="Q155" i="57"/>
  <c r="P155" i="57"/>
  <c r="O155" i="57"/>
  <c r="N155" i="57"/>
  <c r="M155" i="57"/>
  <c r="L155" i="57"/>
  <c r="K155" i="57"/>
  <c r="J155" i="57"/>
  <c r="I155" i="57"/>
  <c r="H155" i="57"/>
  <c r="I143" i="57"/>
  <c r="E138" i="57"/>
  <c r="N137" i="57"/>
  <c r="S135" i="57"/>
  <c r="R135" i="57"/>
  <c r="Q135" i="57"/>
  <c r="O135" i="57"/>
  <c r="N135" i="57"/>
  <c r="M135" i="57"/>
  <c r="L135" i="57"/>
  <c r="K135" i="57"/>
  <c r="J135" i="57"/>
  <c r="I135" i="57"/>
  <c r="H135" i="57"/>
  <c r="I131" i="57"/>
  <c r="H130" i="57"/>
  <c r="L126" i="57"/>
  <c r="I126" i="57"/>
  <c r="M125" i="57"/>
  <c r="H125" i="57"/>
  <c r="S123" i="57"/>
  <c r="R123" i="57"/>
  <c r="Q123" i="57"/>
  <c r="P123" i="57"/>
  <c r="O123" i="57"/>
  <c r="N123" i="57"/>
  <c r="M123" i="57"/>
  <c r="L123" i="57"/>
  <c r="K123" i="57"/>
  <c r="J123" i="57"/>
  <c r="I123" i="57"/>
  <c r="H123" i="57"/>
  <c r="L119" i="57"/>
  <c r="L120" i="57" s="1"/>
  <c r="I119" i="57"/>
  <c r="I120" i="57" s="1"/>
  <c r="S118" i="57"/>
  <c r="R118" i="57"/>
  <c r="Q118" i="57"/>
  <c r="P118" i="57"/>
  <c r="O118" i="57"/>
  <c r="N118" i="57"/>
  <c r="M118" i="57"/>
  <c r="L118" i="57"/>
  <c r="K118" i="57"/>
  <c r="J118" i="57"/>
  <c r="I118" i="57"/>
  <c r="H118" i="57"/>
  <c r="N115" i="57"/>
  <c r="M115" i="57"/>
  <c r="J115" i="57"/>
  <c r="I115" i="57"/>
  <c r="H115" i="57"/>
  <c r="S112" i="57"/>
  <c r="R112" i="57"/>
  <c r="O112" i="57"/>
  <c r="N112" i="57"/>
  <c r="K112" i="57"/>
  <c r="J112" i="57"/>
  <c r="J111" i="57"/>
  <c r="S110" i="57"/>
  <c r="S124" i="57" s="1"/>
  <c r="R110" i="57"/>
  <c r="R124" i="57" s="1"/>
  <c r="O110" i="57"/>
  <c r="O124" i="57" s="1"/>
  <c r="N110" i="57"/>
  <c r="N124" i="57" s="1"/>
  <c r="K110" i="57"/>
  <c r="K124" i="57" s="1"/>
  <c r="J110" i="57"/>
  <c r="J124" i="57" s="1"/>
  <c r="H105" i="57"/>
  <c r="N101" i="57"/>
  <c r="K101" i="57"/>
  <c r="K102" i="57" s="1"/>
  <c r="J101" i="57"/>
  <c r="Q96" i="57"/>
  <c r="P96" i="57"/>
  <c r="S95" i="57"/>
  <c r="P95" i="57"/>
  <c r="O95" i="57"/>
  <c r="L95" i="57"/>
  <c r="L96" i="57" s="1"/>
  <c r="K95" i="57"/>
  <c r="H95" i="57"/>
  <c r="S93" i="57"/>
  <c r="S94" i="57" s="1"/>
  <c r="R93" i="57"/>
  <c r="J93" i="57"/>
  <c r="J94" i="57" s="1"/>
  <c r="O90" i="57"/>
  <c r="N90" i="57"/>
  <c r="J90" i="57"/>
  <c r="I90" i="57"/>
  <c r="S89" i="57"/>
  <c r="R89" i="57"/>
  <c r="Q89" i="57"/>
  <c r="P89" i="57"/>
  <c r="O89" i="57"/>
  <c r="N89" i="57"/>
  <c r="M89" i="57"/>
  <c r="L89" i="57"/>
  <c r="K89" i="57"/>
  <c r="J89" i="57"/>
  <c r="I89" i="57"/>
  <c r="S88" i="57"/>
  <c r="R88" i="57"/>
  <c r="Q88" i="57"/>
  <c r="P88" i="57"/>
  <c r="O88" i="57"/>
  <c r="N88" i="57"/>
  <c r="K88" i="57"/>
  <c r="J88" i="57"/>
  <c r="I88" i="57"/>
  <c r="S87" i="57"/>
  <c r="R87" i="57"/>
  <c r="Q87" i="57"/>
  <c r="P87" i="57"/>
  <c r="O87" i="57"/>
  <c r="N87" i="57"/>
  <c r="M87" i="57"/>
  <c r="L87" i="57"/>
  <c r="K87" i="57"/>
  <c r="J87" i="57"/>
  <c r="I87" i="57"/>
  <c r="S86" i="57"/>
  <c r="R86" i="57"/>
  <c r="Q86" i="57"/>
  <c r="P86" i="57"/>
  <c r="O86" i="57"/>
  <c r="N86" i="57"/>
  <c r="M86" i="57"/>
  <c r="L86" i="57"/>
  <c r="K86" i="57"/>
  <c r="J86" i="57"/>
  <c r="I86" i="57"/>
  <c r="H86" i="57"/>
  <c r="S71" i="57"/>
  <c r="R71" i="57"/>
  <c r="Q71" i="57"/>
  <c r="P71" i="57"/>
  <c r="O71" i="57"/>
  <c r="N71" i="57"/>
  <c r="M71" i="57"/>
  <c r="L71" i="57"/>
  <c r="K71" i="57"/>
  <c r="J71" i="57"/>
  <c r="I71" i="57"/>
  <c r="H71" i="57"/>
  <c r="P58" i="57"/>
  <c r="P135" i="57" s="1"/>
  <c r="I57" i="57"/>
  <c r="I73" i="57" s="1"/>
  <c r="I92" i="57" s="1"/>
  <c r="H57" i="57"/>
  <c r="H73" i="57" s="1"/>
  <c r="H92" i="57" s="1"/>
  <c r="S41" i="57"/>
  <c r="S158" i="57" s="1"/>
  <c r="R41" i="57"/>
  <c r="R158" i="57" s="1"/>
  <c r="Q41" i="57"/>
  <c r="Q158" i="57" s="1"/>
  <c r="P41" i="57"/>
  <c r="P158" i="57" s="1"/>
  <c r="O41" i="57"/>
  <c r="O158" i="57" s="1"/>
  <c r="N41" i="57"/>
  <c r="N158" i="57" s="1"/>
  <c r="M41" i="57"/>
  <c r="M158" i="57" s="1"/>
  <c r="L41" i="57"/>
  <c r="L158" i="57" s="1"/>
  <c r="K41" i="57"/>
  <c r="K158" i="57" s="1"/>
  <c r="J41" i="57"/>
  <c r="J158" i="57" s="1"/>
  <c r="I41" i="57"/>
  <c r="I158" i="57" s="1"/>
  <c r="H41" i="57"/>
  <c r="H158" i="57" s="1"/>
  <c r="S38" i="57"/>
  <c r="R38" i="57"/>
  <c r="Q38" i="57"/>
  <c r="P38" i="57"/>
  <c r="O38" i="57"/>
  <c r="N38" i="57"/>
  <c r="M38" i="57"/>
  <c r="M127" i="57" s="1"/>
  <c r="L38" i="57"/>
  <c r="K38" i="57"/>
  <c r="J38" i="57"/>
  <c r="I38" i="57"/>
  <c r="H38" i="57"/>
  <c r="S33" i="57"/>
  <c r="R33" i="57"/>
  <c r="Q33" i="57"/>
  <c r="P33" i="57"/>
  <c r="O33" i="57"/>
  <c r="N33" i="57"/>
  <c r="M33" i="57"/>
  <c r="L33" i="57"/>
  <c r="L46" i="57" s="1"/>
  <c r="K33" i="57"/>
  <c r="J33" i="57"/>
  <c r="I33" i="57"/>
  <c r="H33" i="57"/>
  <c r="I32" i="57"/>
  <c r="O29" i="57"/>
  <c r="K29" i="57"/>
  <c r="N27" i="57"/>
  <c r="M27" i="57"/>
  <c r="K27" i="57"/>
  <c r="J27" i="57"/>
  <c r="I27" i="57"/>
  <c r="I168" i="57" s="1"/>
  <c r="H27" i="57"/>
  <c r="M24" i="57"/>
  <c r="M167" i="57" s="1"/>
  <c r="L24" i="57"/>
  <c r="L167" i="57" s="1"/>
  <c r="O21" i="57"/>
  <c r="S20" i="57"/>
  <c r="S166" i="57" s="1"/>
  <c r="R20" i="57"/>
  <c r="R166" i="57" s="1"/>
  <c r="Q20" i="57"/>
  <c r="Q166" i="57" s="1"/>
  <c r="P20" i="57"/>
  <c r="P166" i="57" s="1"/>
  <c r="O20" i="57"/>
  <c r="O166" i="57" s="1"/>
  <c r="N20" i="57"/>
  <c r="N166" i="57" s="1"/>
  <c r="M20" i="57"/>
  <c r="M166" i="57" s="1"/>
  <c r="S19" i="57"/>
  <c r="R19" i="57"/>
  <c r="Q19" i="57"/>
  <c r="Q95" i="57" s="1"/>
  <c r="P19" i="57"/>
  <c r="P165" i="57" s="1"/>
  <c r="O19" i="57"/>
  <c r="N19" i="57"/>
  <c r="M19" i="57"/>
  <c r="M18" i="57" s="1"/>
  <c r="L19" i="57"/>
  <c r="L165" i="57" s="1"/>
  <c r="K19" i="57"/>
  <c r="J19" i="57"/>
  <c r="J18" i="57" s="1"/>
  <c r="I19" i="57"/>
  <c r="H19" i="57"/>
  <c r="H119" i="57" s="1"/>
  <c r="H120" i="57" s="1"/>
  <c r="I18" i="57"/>
  <c r="S10" i="57"/>
  <c r="R10" i="57"/>
  <c r="Q10" i="57"/>
  <c r="P10" i="57"/>
  <c r="O10" i="57"/>
  <c r="N10" i="57"/>
  <c r="N164" i="57" s="1"/>
  <c r="M10" i="57"/>
  <c r="L10" i="57"/>
  <c r="K10" i="57"/>
  <c r="J10" i="57"/>
  <c r="I10" i="57"/>
  <c r="H10" i="57"/>
  <c r="S7" i="57"/>
  <c r="R7" i="57"/>
  <c r="Q7" i="57"/>
  <c r="Q5" i="57" s="1"/>
  <c r="P7" i="57"/>
  <c r="P5" i="57" s="1"/>
  <c r="O7" i="57"/>
  <c r="S5" i="57"/>
  <c r="R5" i="57"/>
  <c r="O5" i="57"/>
  <c r="N5" i="57"/>
  <c r="N93" i="57" s="1"/>
  <c r="M5" i="57"/>
  <c r="M163" i="57" s="1"/>
  <c r="L5" i="57"/>
  <c r="L163" i="57" s="1"/>
  <c r="K5" i="57"/>
  <c r="K93" i="57" s="1"/>
  <c r="K94" i="57" s="1"/>
  <c r="J5" i="57"/>
  <c r="J4" i="57" s="1"/>
  <c r="I5" i="57"/>
  <c r="I93" i="57" s="1"/>
  <c r="H5" i="57"/>
  <c r="H163" i="57" s="1"/>
  <c r="S4" i="57"/>
  <c r="N4" i="57"/>
  <c r="L4" i="57"/>
  <c r="L130" i="57" s="1"/>
  <c r="H4" i="57"/>
  <c r="H162" i="57" s="1"/>
  <c r="S57" i="67" l="1"/>
  <c r="S73" i="67" s="1"/>
  <c r="S92" i="67" s="1"/>
  <c r="S105" i="67"/>
  <c r="R117" i="67"/>
  <c r="R109" i="67"/>
  <c r="Q129" i="67"/>
  <c r="Q133" i="67"/>
  <c r="Q140" i="67" s="1"/>
  <c r="Q145" i="67" s="1"/>
  <c r="Q153" i="67" s="1"/>
  <c r="R109" i="66"/>
  <c r="R115" i="66" s="1"/>
  <c r="R119" i="66" s="1"/>
  <c r="R127" i="66" s="1"/>
  <c r="R106" i="66"/>
  <c r="S57" i="66"/>
  <c r="S73" i="66" s="1"/>
  <c r="S87" i="66"/>
  <c r="S95" i="66" s="1"/>
  <c r="P117" i="65"/>
  <c r="P109" i="65"/>
  <c r="O133" i="65"/>
  <c r="O140" i="65" s="1"/>
  <c r="O145" i="65" s="1"/>
  <c r="O153" i="65" s="1"/>
  <c r="O129" i="65"/>
  <c r="Q57" i="65"/>
  <c r="Q73" i="65" s="1"/>
  <c r="Q92" i="65" s="1"/>
  <c r="Q105" i="65"/>
  <c r="R32" i="65"/>
  <c r="O109" i="64"/>
  <c r="O117" i="64"/>
  <c r="P105" i="64"/>
  <c r="P57" i="64"/>
  <c r="P73" i="64" s="1"/>
  <c r="P92" i="64" s="1"/>
  <c r="Q32" i="64"/>
  <c r="N133" i="64"/>
  <c r="N140" i="64" s="1"/>
  <c r="N145" i="64" s="1"/>
  <c r="N153" i="64" s="1"/>
  <c r="N129" i="64"/>
  <c r="O117" i="63"/>
  <c r="O109" i="63"/>
  <c r="N133" i="63"/>
  <c r="N140" i="63" s="1"/>
  <c r="N145" i="63" s="1"/>
  <c r="N153" i="63" s="1"/>
  <c r="N129" i="63"/>
  <c r="P57" i="63"/>
  <c r="P73" i="63" s="1"/>
  <c r="P92" i="63" s="1"/>
  <c r="P105" i="63"/>
  <c r="Q32" i="63"/>
  <c r="L135" i="62"/>
  <c r="L106" i="62"/>
  <c r="L111" i="62"/>
  <c r="I141" i="62"/>
  <c r="I113" i="62"/>
  <c r="I107" i="62"/>
  <c r="I18" i="62"/>
  <c r="I31" i="62" s="1"/>
  <c r="M137" i="62"/>
  <c r="M4" i="62"/>
  <c r="J93" i="62"/>
  <c r="J27" i="62"/>
  <c r="K29" i="62"/>
  <c r="L109" i="62"/>
  <c r="M117" i="61"/>
  <c r="M109" i="61"/>
  <c r="L133" i="61"/>
  <c r="L140" i="61" s="1"/>
  <c r="L145" i="61" s="1"/>
  <c r="L153" i="61" s="1"/>
  <c r="L129" i="61"/>
  <c r="N105" i="61"/>
  <c r="N57" i="61"/>
  <c r="N73" i="61" s="1"/>
  <c r="N92" i="61" s="1"/>
  <c r="O32" i="61"/>
  <c r="L102" i="61"/>
  <c r="L103" i="61" s="1"/>
  <c r="M102" i="61"/>
  <c r="M103" i="61" s="1"/>
  <c r="L106" i="60"/>
  <c r="L109" i="60"/>
  <c r="L115" i="60" s="1"/>
  <c r="L119" i="60" s="1"/>
  <c r="L127" i="60" s="1"/>
  <c r="M87" i="60"/>
  <c r="M95" i="60" s="1"/>
  <c r="M57" i="60"/>
  <c r="M73" i="60" s="1"/>
  <c r="N32" i="60"/>
  <c r="O51" i="59"/>
  <c r="O106" i="59"/>
  <c r="K51" i="59"/>
  <c r="K106" i="59"/>
  <c r="K107" i="59" s="1"/>
  <c r="O107" i="59"/>
  <c r="J51" i="59"/>
  <c r="J106" i="59"/>
  <c r="L100" i="59"/>
  <c r="L103" i="59" s="1"/>
  <c r="N32" i="59"/>
  <c r="M105" i="59"/>
  <c r="M57" i="59"/>
  <c r="M73" i="59" s="1"/>
  <c r="M92" i="59" s="1"/>
  <c r="M100" i="59"/>
  <c r="J100" i="59"/>
  <c r="J103" i="59" s="1"/>
  <c r="K133" i="59"/>
  <c r="K140" i="59" s="1"/>
  <c r="K145" i="59" s="1"/>
  <c r="K153" i="59" s="1"/>
  <c r="K129" i="59"/>
  <c r="R51" i="59"/>
  <c r="R106" i="59"/>
  <c r="R107" i="59" s="1"/>
  <c r="M107" i="59"/>
  <c r="N51" i="59"/>
  <c r="N106" i="59"/>
  <c r="N107" i="59" s="1"/>
  <c r="R100" i="59"/>
  <c r="K103" i="59"/>
  <c r="L106" i="59"/>
  <c r="L107" i="59" s="1"/>
  <c r="L51" i="59"/>
  <c r="O100" i="59"/>
  <c r="J107" i="59"/>
  <c r="S51" i="59"/>
  <c r="S106" i="59"/>
  <c r="S107" i="59" s="1"/>
  <c r="L117" i="59"/>
  <c r="L109" i="59"/>
  <c r="M103" i="59"/>
  <c r="M161" i="59"/>
  <c r="M52" i="59"/>
  <c r="S100" i="59"/>
  <c r="O151" i="58"/>
  <c r="O150" i="58"/>
  <c r="O149" i="58"/>
  <c r="O148" i="58"/>
  <c r="O147" i="58"/>
  <c r="O146" i="58"/>
  <c r="M122" i="58"/>
  <c r="M121" i="58"/>
  <c r="N124" i="58"/>
  <c r="N111" i="58"/>
  <c r="I124" i="58"/>
  <c r="I111" i="58"/>
  <c r="R106" i="58"/>
  <c r="R51" i="58"/>
  <c r="R122" i="58"/>
  <c r="R121" i="58"/>
  <c r="O106" i="58"/>
  <c r="O51" i="58"/>
  <c r="L100" i="58"/>
  <c r="S94" i="58"/>
  <c r="S97" i="58" s="1"/>
  <c r="S99" i="58"/>
  <c r="K151" i="58"/>
  <c r="K150" i="58"/>
  <c r="K149" i="58"/>
  <c r="K148" i="58"/>
  <c r="K147" i="58"/>
  <c r="K146" i="58"/>
  <c r="O96" i="58"/>
  <c r="R124" i="58"/>
  <c r="R111" i="58"/>
  <c r="R151" i="58"/>
  <c r="R150" i="58"/>
  <c r="R149" i="58"/>
  <c r="R148" i="58"/>
  <c r="R147" i="58"/>
  <c r="R146" i="58"/>
  <c r="Q151" i="58"/>
  <c r="Q150" i="58"/>
  <c r="Q149" i="58"/>
  <c r="Q148" i="58"/>
  <c r="Q147" i="58"/>
  <c r="Q146" i="58"/>
  <c r="N122" i="58"/>
  <c r="N121" i="58"/>
  <c r="R107" i="58"/>
  <c r="N97" i="58"/>
  <c r="P148" i="58"/>
  <c r="P149" i="58"/>
  <c r="P150" i="58"/>
  <c r="P146" i="58"/>
  <c r="P147" i="58"/>
  <c r="P151" i="58"/>
  <c r="L151" i="58"/>
  <c r="L147" i="58"/>
  <c r="L148" i="58"/>
  <c r="L149" i="58"/>
  <c r="L150" i="58"/>
  <c r="L146" i="58"/>
  <c r="K105" i="58"/>
  <c r="K57" i="58"/>
  <c r="K73" i="58" s="1"/>
  <c r="K92" i="58" s="1"/>
  <c r="L32" i="58"/>
  <c r="K160" i="58"/>
  <c r="K113" i="58"/>
  <c r="K114" i="58"/>
  <c r="K48" i="58"/>
  <c r="H122" i="58"/>
  <c r="H121" i="58"/>
  <c r="O121" i="58"/>
  <c r="O122" i="58"/>
  <c r="M124" i="58"/>
  <c r="M111" i="58"/>
  <c r="Q106" i="58"/>
  <c r="Q51" i="58"/>
  <c r="J106" i="58"/>
  <c r="J107" i="58" s="1"/>
  <c r="J51" i="58"/>
  <c r="O168" i="58"/>
  <c r="O138" i="58"/>
  <c r="O131" i="58"/>
  <c r="O101" i="58"/>
  <c r="O18" i="58"/>
  <c r="O31" i="58" s="1"/>
  <c r="Q122" i="58"/>
  <c r="Q121" i="58"/>
  <c r="I122" i="58"/>
  <c r="I121" i="58"/>
  <c r="Q124" i="58"/>
  <c r="Q111" i="58"/>
  <c r="L102" i="58"/>
  <c r="L103" i="58" s="1"/>
  <c r="R99" i="58"/>
  <c r="R100" i="58" s="1"/>
  <c r="R103" i="58" s="1"/>
  <c r="J99" i="58"/>
  <c r="J100" i="58" s="1"/>
  <c r="P160" i="58"/>
  <c r="P114" i="58"/>
  <c r="P113" i="58"/>
  <c r="P48" i="58"/>
  <c r="L160" i="58"/>
  <c r="L114" i="58"/>
  <c r="L113" i="58"/>
  <c r="L48" i="58"/>
  <c r="H114" i="58"/>
  <c r="H113" i="58"/>
  <c r="H48" i="58"/>
  <c r="H51" i="58" s="1"/>
  <c r="H160" i="58"/>
  <c r="H150" i="58"/>
  <c r="H146" i="58"/>
  <c r="H151" i="58"/>
  <c r="H147" i="58"/>
  <c r="H148" i="58"/>
  <c r="H149" i="58"/>
  <c r="I129" i="58"/>
  <c r="I133" i="58"/>
  <c r="I140" i="58" s="1"/>
  <c r="I145" i="58" s="1"/>
  <c r="I153" i="58" s="1"/>
  <c r="Q100" i="58"/>
  <c r="Q103" i="58" s="1"/>
  <c r="S122" i="58"/>
  <c r="S121" i="58"/>
  <c r="N151" i="58"/>
  <c r="N150" i="58"/>
  <c r="N149" i="58"/>
  <c r="N148" i="58"/>
  <c r="N147" i="58"/>
  <c r="N146" i="58"/>
  <c r="P122" i="58"/>
  <c r="P121" i="58"/>
  <c r="M151" i="58"/>
  <c r="M150" i="58"/>
  <c r="M149" i="58"/>
  <c r="M148" i="58"/>
  <c r="M147" i="58"/>
  <c r="M146" i="58"/>
  <c r="N106" i="58"/>
  <c r="N51" i="58"/>
  <c r="M161" i="58"/>
  <c r="M52" i="58"/>
  <c r="O94" i="58"/>
  <c r="O97" i="58" s="1"/>
  <c r="O107" i="58" s="1"/>
  <c r="O99" i="58"/>
  <c r="O100" i="58" s="1"/>
  <c r="O111" i="58"/>
  <c r="O124" i="58"/>
  <c r="L96" i="58"/>
  <c r="K94" i="58"/>
  <c r="K97" i="58" s="1"/>
  <c r="K99" i="58"/>
  <c r="K100" i="58" s="1"/>
  <c r="K103" i="58" s="1"/>
  <c r="S151" i="58"/>
  <c r="S150" i="58"/>
  <c r="S149" i="58"/>
  <c r="S148" i="58"/>
  <c r="S147" i="58"/>
  <c r="S146" i="58"/>
  <c r="J102" i="58"/>
  <c r="J103" i="58" s="1"/>
  <c r="S160" i="58"/>
  <c r="S48" i="58"/>
  <c r="S113" i="58"/>
  <c r="S114" i="58"/>
  <c r="J124" i="58"/>
  <c r="J111" i="58"/>
  <c r="J151" i="58"/>
  <c r="J150" i="58"/>
  <c r="J149" i="58"/>
  <c r="J148" i="58"/>
  <c r="J147" i="58"/>
  <c r="J146" i="58"/>
  <c r="J133" i="58"/>
  <c r="J140" i="58" s="1"/>
  <c r="J145" i="58" s="1"/>
  <c r="J153" i="58" s="1"/>
  <c r="J129" i="58"/>
  <c r="M102" i="58"/>
  <c r="I151" i="58"/>
  <c r="I150" i="58"/>
  <c r="I149" i="58"/>
  <c r="I148" i="58"/>
  <c r="I147" i="58"/>
  <c r="I146" i="58"/>
  <c r="L94" i="58"/>
  <c r="L97" i="58" s="1"/>
  <c r="Q96" i="58"/>
  <c r="Q97" i="58" s="1"/>
  <c r="J122" i="58"/>
  <c r="J121" i="58"/>
  <c r="M96" i="58"/>
  <c r="M97" i="58" s="1"/>
  <c r="M107" i="58" s="1"/>
  <c r="P124" i="58"/>
  <c r="P111" i="58"/>
  <c r="L124" i="58"/>
  <c r="L111" i="58"/>
  <c r="H124" i="58"/>
  <c r="H111" i="58"/>
  <c r="M100" i="58"/>
  <c r="P94" i="58"/>
  <c r="P97" i="58" s="1"/>
  <c r="I161" i="58"/>
  <c r="I52" i="58"/>
  <c r="J162" i="57"/>
  <c r="J130" i="57"/>
  <c r="J31" i="57"/>
  <c r="J136" i="57"/>
  <c r="J99" i="57"/>
  <c r="N94" i="57"/>
  <c r="L160" i="57"/>
  <c r="L114" i="57"/>
  <c r="L113" i="57"/>
  <c r="L48" i="57"/>
  <c r="S162" i="57"/>
  <c r="S130" i="57"/>
  <c r="S99" i="57"/>
  <c r="O163" i="57"/>
  <c r="O126" i="57"/>
  <c r="O125" i="57"/>
  <c r="N165" i="57"/>
  <c r="N119" i="57"/>
  <c r="N120" i="57" s="1"/>
  <c r="N95" i="57"/>
  <c r="H168" i="57"/>
  <c r="H138" i="57"/>
  <c r="H131" i="57"/>
  <c r="H18" i="57"/>
  <c r="H31" i="57" s="1"/>
  <c r="H101" i="57"/>
  <c r="H137" i="57"/>
  <c r="H136" i="57"/>
  <c r="H154" i="57"/>
  <c r="H142" i="57"/>
  <c r="H141" i="57"/>
  <c r="H112" i="57"/>
  <c r="H110" i="57"/>
  <c r="P137" i="57"/>
  <c r="P154" i="57"/>
  <c r="P142" i="57"/>
  <c r="P141" i="57"/>
  <c r="P112" i="57"/>
  <c r="P110" i="57"/>
  <c r="L159" i="57"/>
  <c r="L157" i="57"/>
  <c r="L143" i="57"/>
  <c r="L127" i="57"/>
  <c r="P46" i="57"/>
  <c r="I121" i="57"/>
  <c r="N162" i="57"/>
  <c r="N130" i="57"/>
  <c r="Q93" i="57"/>
  <c r="Q94" i="57" s="1"/>
  <c r="Q97" i="57" s="1"/>
  <c r="Q4" i="57"/>
  <c r="Q163" i="57"/>
  <c r="Q125" i="57"/>
  <c r="M134" i="57"/>
  <c r="M4" i="57"/>
  <c r="I154" i="57"/>
  <c r="I142" i="57"/>
  <c r="I136" i="57"/>
  <c r="I137" i="57"/>
  <c r="I112" i="57"/>
  <c r="I110" i="57"/>
  <c r="I141" i="57"/>
  <c r="Q154" i="57"/>
  <c r="Q142" i="57"/>
  <c r="Q136" i="57"/>
  <c r="Q112" i="57"/>
  <c r="Q110" i="57"/>
  <c r="Q137" i="57"/>
  <c r="I157" i="57"/>
  <c r="I127" i="57"/>
  <c r="Q159" i="57"/>
  <c r="Q143" i="57"/>
  <c r="Q127" i="57"/>
  <c r="I46" i="57"/>
  <c r="Q46" i="57"/>
  <c r="L122" i="57"/>
  <c r="L121" i="57"/>
  <c r="Q126" i="57"/>
  <c r="I159" i="57"/>
  <c r="O4" i="57"/>
  <c r="S163" i="57"/>
  <c r="S126" i="57"/>
  <c r="S125" i="57"/>
  <c r="J164" i="57"/>
  <c r="J134" i="57"/>
  <c r="R164" i="57"/>
  <c r="H121" i="57"/>
  <c r="H122" i="57"/>
  <c r="K115" i="57"/>
  <c r="L29" i="57"/>
  <c r="O96" i="57"/>
  <c r="N111" i="57"/>
  <c r="Q119" i="57"/>
  <c r="Q120" i="57" s="1"/>
  <c r="N134" i="57"/>
  <c r="M164" i="57"/>
  <c r="K163" i="57"/>
  <c r="K126" i="57"/>
  <c r="K125" i="57"/>
  <c r="P126" i="57"/>
  <c r="P125" i="57"/>
  <c r="P93" i="57"/>
  <c r="P94" i="57" s="1"/>
  <c r="P97" i="57" s="1"/>
  <c r="P4" i="57"/>
  <c r="P163" i="57"/>
  <c r="J165" i="57"/>
  <c r="J119" i="57"/>
  <c r="J120" i="57" s="1"/>
  <c r="J95" i="57"/>
  <c r="J96" i="57" s="1"/>
  <c r="J97" i="57" s="1"/>
  <c r="R165" i="57"/>
  <c r="R119" i="57"/>
  <c r="R120" i="57" s="1"/>
  <c r="R95" i="57"/>
  <c r="R96" i="57" s="1"/>
  <c r="L137" i="57"/>
  <c r="L136" i="57"/>
  <c r="L141" i="57"/>
  <c r="L154" i="57"/>
  <c r="L112" i="57"/>
  <c r="L110" i="57"/>
  <c r="L142" i="57"/>
  <c r="H159" i="57"/>
  <c r="H143" i="57"/>
  <c r="H157" i="57"/>
  <c r="H127" i="57"/>
  <c r="P157" i="57"/>
  <c r="P143" i="57"/>
  <c r="P159" i="57"/>
  <c r="P127" i="57"/>
  <c r="H46" i="57"/>
  <c r="K96" i="57"/>
  <c r="K97" i="57" s="1"/>
  <c r="R163" i="57"/>
  <c r="R126" i="57"/>
  <c r="R125" i="57"/>
  <c r="I164" i="57"/>
  <c r="I4" i="57"/>
  <c r="Q164" i="57"/>
  <c r="Q134" i="57"/>
  <c r="M141" i="57"/>
  <c r="M137" i="57"/>
  <c r="M112" i="57"/>
  <c r="M110" i="57"/>
  <c r="M142" i="57"/>
  <c r="M136" i="57"/>
  <c r="M159" i="57"/>
  <c r="M157" i="57"/>
  <c r="M143" i="57"/>
  <c r="K4" i="57"/>
  <c r="R4" i="57"/>
  <c r="R134" i="57" s="1"/>
  <c r="J163" i="57"/>
  <c r="J126" i="57"/>
  <c r="J125" i="57"/>
  <c r="N163" i="57"/>
  <c r="N126" i="57"/>
  <c r="N125" i="57"/>
  <c r="N18" i="57"/>
  <c r="N31" i="57" s="1"/>
  <c r="I165" i="57"/>
  <c r="I95" i="57"/>
  <c r="I96" i="57" s="1"/>
  <c r="M165" i="57"/>
  <c r="M119" i="57"/>
  <c r="M120" i="57" s="1"/>
  <c r="M95" i="57"/>
  <c r="M96" i="57" s="1"/>
  <c r="K168" i="57"/>
  <c r="K131" i="57"/>
  <c r="K18" i="57"/>
  <c r="J32" i="57"/>
  <c r="I105" i="57"/>
  <c r="M46" i="57"/>
  <c r="M88" i="57"/>
  <c r="K90" i="57"/>
  <c r="O93" i="57"/>
  <c r="O94" i="57" s="1"/>
  <c r="N99" i="57"/>
  <c r="H117" i="57"/>
  <c r="H109" i="57"/>
  <c r="R111" i="57"/>
  <c r="Q141" i="57"/>
  <c r="M154" i="57"/>
  <c r="K111" i="57"/>
  <c r="O111" i="57"/>
  <c r="S111" i="57"/>
  <c r="K164" i="57"/>
  <c r="O164" i="57"/>
  <c r="O134" i="57"/>
  <c r="S164" i="57"/>
  <c r="S134" i="57"/>
  <c r="K165" i="57"/>
  <c r="K119" i="57"/>
  <c r="K120" i="57" s="1"/>
  <c r="O165" i="57"/>
  <c r="O119" i="57"/>
  <c r="O120" i="57" s="1"/>
  <c r="S165" i="57"/>
  <c r="S119" i="57"/>
  <c r="S120" i="57" s="1"/>
  <c r="M138" i="57"/>
  <c r="J154" i="57"/>
  <c r="J142" i="57"/>
  <c r="J141" i="57"/>
  <c r="J137" i="57"/>
  <c r="N154" i="57"/>
  <c r="N142" i="57"/>
  <c r="N141" i="57"/>
  <c r="N136" i="57"/>
  <c r="R154" i="57"/>
  <c r="R142" i="57"/>
  <c r="R141" i="57"/>
  <c r="R137" i="57"/>
  <c r="J159" i="57"/>
  <c r="J157" i="57"/>
  <c r="J143" i="57"/>
  <c r="J127" i="57"/>
  <c r="N159" i="57"/>
  <c r="N157" i="57"/>
  <c r="N143" i="57"/>
  <c r="N127" i="57"/>
  <c r="R159" i="57"/>
  <c r="R157" i="57"/>
  <c r="R143" i="57"/>
  <c r="R127" i="57"/>
  <c r="J46" i="57"/>
  <c r="N46" i="57"/>
  <c r="R46" i="57"/>
  <c r="H93" i="57"/>
  <c r="I94" i="57" s="1"/>
  <c r="I97" i="57" s="1"/>
  <c r="L93" i="57"/>
  <c r="L94" i="57" s="1"/>
  <c r="L97" i="57" s="1"/>
  <c r="I125" i="57"/>
  <c r="M126" i="57"/>
  <c r="M131" i="57"/>
  <c r="H134" i="57"/>
  <c r="H164" i="57"/>
  <c r="L134" i="57"/>
  <c r="P164" i="57"/>
  <c r="J168" i="57"/>
  <c r="J138" i="57"/>
  <c r="J131" i="57"/>
  <c r="N168" i="57"/>
  <c r="N138" i="57"/>
  <c r="N131" i="57"/>
  <c r="K154" i="57"/>
  <c r="K142" i="57"/>
  <c r="K141" i="57"/>
  <c r="K137" i="57"/>
  <c r="O154" i="57"/>
  <c r="O142" i="57"/>
  <c r="O141" i="57"/>
  <c r="O137" i="57"/>
  <c r="O136" i="57"/>
  <c r="S154" i="57"/>
  <c r="S142" i="57"/>
  <c r="S141" i="57"/>
  <c r="S137" i="57"/>
  <c r="S136" i="57"/>
  <c r="K159" i="57"/>
  <c r="K157" i="57"/>
  <c r="K143" i="57"/>
  <c r="K127" i="57"/>
  <c r="O159" i="57"/>
  <c r="O157" i="57"/>
  <c r="O143" i="57"/>
  <c r="O127" i="57"/>
  <c r="S159" i="57"/>
  <c r="S157" i="57"/>
  <c r="S143" i="57"/>
  <c r="S127" i="57"/>
  <c r="K46" i="57"/>
  <c r="O46" i="57"/>
  <c r="S46" i="57"/>
  <c r="L88" i="57"/>
  <c r="M93" i="57"/>
  <c r="M94" i="57" s="1"/>
  <c r="L99" i="57"/>
  <c r="I101" i="57"/>
  <c r="I102" i="57" s="1"/>
  <c r="M101" i="57"/>
  <c r="P119" i="57"/>
  <c r="P120" i="57" s="1"/>
  <c r="L125" i="57"/>
  <c r="H126" i="57"/>
  <c r="L164" i="57"/>
  <c r="M168" i="57"/>
  <c r="S167" i="56"/>
  <c r="R167" i="56"/>
  <c r="Q167" i="56"/>
  <c r="P167" i="56"/>
  <c r="O167" i="56"/>
  <c r="N167" i="56"/>
  <c r="M167" i="56"/>
  <c r="H167" i="56"/>
  <c r="S166" i="56"/>
  <c r="R166" i="56"/>
  <c r="Q166" i="56"/>
  <c r="P166" i="56"/>
  <c r="O166" i="56"/>
  <c r="N166" i="56"/>
  <c r="M166" i="56"/>
  <c r="L166" i="56"/>
  <c r="K166" i="56"/>
  <c r="J166" i="56"/>
  <c r="I166" i="56"/>
  <c r="H166" i="56"/>
  <c r="S156" i="56"/>
  <c r="R156" i="56"/>
  <c r="Q156" i="56"/>
  <c r="P156" i="56"/>
  <c r="O156" i="56"/>
  <c r="N156" i="56"/>
  <c r="M156" i="56"/>
  <c r="L156" i="56"/>
  <c r="K156" i="56"/>
  <c r="J156" i="56"/>
  <c r="I156" i="56"/>
  <c r="H156" i="56"/>
  <c r="S155" i="56"/>
  <c r="R155" i="56"/>
  <c r="Q155" i="56"/>
  <c r="P155" i="56"/>
  <c r="O155" i="56"/>
  <c r="N155" i="56"/>
  <c r="M155" i="56"/>
  <c r="L155" i="56"/>
  <c r="K155" i="56"/>
  <c r="J155" i="56"/>
  <c r="I155" i="56"/>
  <c r="H155" i="56"/>
  <c r="E138" i="56"/>
  <c r="S135" i="56"/>
  <c r="R135" i="56"/>
  <c r="Q135" i="56"/>
  <c r="P135" i="56"/>
  <c r="O135" i="56"/>
  <c r="N135" i="56"/>
  <c r="M135" i="56"/>
  <c r="L135" i="56"/>
  <c r="K135" i="56"/>
  <c r="J135" i="56"/>
  <c r="I135" i="56"/>
  <c r="H135" i="56"/>
  <c r="N127" i="56"/>
  <c r="J126" i="56"/>
  <c r="S123" i="56"/>
  <c r="R123" i="56"/>
  <c r="Q123" i="56"/>
  <c r="P123" i="56"/>
  <c r="O123" i="56"/>
  <c r="N123" i="56"/>
  <c r="M123" i="56"/>
  <c r="L123" i="56"/>
  <c r="K123" i="56"/>
  <c r="J123" i="56"/>
  <c r="I123" i="56"/>
  <c r="H123" i="56"/>
  <c r="R119" i="56"/>
  <c r="R120" i="56" s="1"/>
  <c r="S118" i="56"/>
  <c r="R118" i="56"/>
  <c r="Q118" i="56"/>
  <c r="P118" i="56"/>
  <c r="O118" i="56"/>
  <c r="N118" i="56"/>
  <c r="M118" i="56"/>
  <c r="L118" i="56"/>
  <c r="K118" i="56"/>
  <c r="J118" i="56"/>
  <c r="I118" i="56"/>
  <c r="H118" i="56"/>
  <c r="H115" i="56"/>
  <c r="R112" i="56"/>
  <c r="J110" i="56"/>
  <c r="J111" i="56" s="1"/>
  <c r="H105" i="56"/>
  <c r="S95" i="56"/>
  <c r="O95" i="56"/>
  <c r="K95" i="56"/>
  <c r="R93" i="56"/>
  <c r="N93" i="56"/>
  <c r="J93" i="56"/>
  <c r="S89" i="56"/>
  <c r="R89" i="56"/>
  <c r="Q89" i="56"/>
  <c r="P89" i="56"/>
  <c r="O89" i="56"/>
  <c r="N89" i="56"/>
  <c r="M89" i="56"/>
  <c r="L89" i="56"/>
  <c r="K89" i="56"/>
  <c r="J89" i="56"/>
  <c r="I89" i="56"/>
  <c r="S88" i="56"/>
  <c r="R88" i="56"/>
  <c r="Q88" i="56"/>
  <c r="P88" i="56"/>
  <c r="O88" i="56"/>
  <c r="N88" i="56"/>
  <c r="M88" i="56"/>
  <c r="I88" i="56"/>
  <c r="S87" i="56"/>
  <c r="R87" i="56"/>
  <c r="Q87" i="56"/>
  <c r="P87" i="56"/>
  <c r="O87" i="56"/>
  <c r="N87" i="56"/>
  <c r="M87" i="56"/>
  <c r="L87" i="56"/>
  <c r="K87" i="56"/>
  <c r="J87" i="56"/>
  <c r="I87" i="56"/>
  <c r="S86" i="56"/>
  <c r="R86" i="56"/>
  <c r="Q86" i="56"/>
  <c r="P86" i="56"/>
  <c r="O86" i="56"/>
  <c r="N86" i="56"/>
  <c r="M86" i="56"/>
  <c r="L86" i="56"/>
  <c r="K86" i="56"/>
  <c r="J86" i="56"/>
  <c r="I86" i="56"/>
  <c r="H86" i="56"/>
  <c r="S71" i="56"/>
  <c r="R71" i="56"/>
  <c r="Q71" i="56"/>
  <c r="P71" i="56"/>
  <c r="O71" i="56"/>
  <c r="N71" i="56"/>
  <c r="M71" i="56"/>
  <c r="L71" i="56"/>
  <c r="K71" i="56"/>
  <c r="J71" i="56"/>
  <c r="I71" i="56"/>
  <c r="H71" i="56"/>
  <c r="H57" i="56"/>
  <c r="H73" i="56" s="1"/>
  <c r="H92" i="56" s="1"/>
  <c r="S41" i="56"/>
  <c r="S158" i="56" s="1"/>
  <c r="R41" i="56"/>
  <c r="R158" i="56" s="1"/>
  <c r="Q41" i="56"/>
  <c r="Q158" i="56" s="1"/>
  <c r="P41" i="56"/>
  <c r="P158" i="56" s="1"/>
  <c r="O41" i="56"/>
  <c r="O158" i="56" s="1"/>
  <c r="N41" i="56"/>
  <c r="N158" i="56" s="1"/>
  <c r="M41" i="56"/>
  <c r="M158" i="56" s="1"/>
  <c r="L41" i="56"/>
  <c r="L158" i="56" s="1"/>
  <c r="K41" i="56"/>
  <c r="K158" i="56" s="1"/>
  <c r="J41" i="56"/>
  <c r="J158" i="56" s="1"/>
  <c r="I41" i="56"/>
  <c r="I158" i="56" s="1"/>
  <c r="H41" i="56"/>
  <c r="H158" i="56" s="1"/>
  <c r="S38" i="56"/>
  <c r="R38" i="56"/>
  <c r="R127" i="56" s="1"/>
  <c r="Q38" i="56"/>
  <c r="P38" i="56"/>
  <c r="O38" i="56"/>
  <c r="N38" i="56"/>
  <c r="M38" i="56"/>
  <c r="L38" i="56"/>
  <c r="K38" i="56"/>
  <c r="J38" i="56"/>
  <c r="I38" i="56"/>
  <c r="H38" i="56"/>
  <c r="S33" i="56"/>
  <c r="R33" i="56"/>
  <c r="R110" i="56" s="1"/>
  <c r="Q33" i="56"/>
  <c r="P33" i="56"/>
  <c r="O33" i="56"/>
  <c r="N33" i="56"/>
  <c r="N110" i="56" s="1"/>
  <c r="M33" i="56"/>
  <c r="M137" i="56" s="1"/>
  <c r="L33" i="56"/>
  <c r="K33" i="56"/>
  <c r="J33" i="56"/>
  <c r="J112" i="56" s="1"/>
  <c r="I33" i="56"/>
  <c r="H33" i="56"/>
  <c r="K32" i="56"/>
  <c r="K105" i="56" s="1"/>
  <c r="J32" i="56"/>
  <c r="J57" i="56" s="1"/>
  <c r="J73" i="56" s="1"/>
  <c r="J92" i="56" s="1"/>
  <c r="I32" i="56"/>
  <c r="I57" i="56" s="1"/>
  <c r="I73" i="56" s="1"/>
  <c r="I92" i="56" s="1"/>
  <c r="J29" i="56"/>
  <c r="J90" i="56" s="1"/>
  <c r="I29" i="56"/>
  <c r="I115" i="56" s="1"/>
  <c r="I27" i="56"/>
  <c r="H27" i="56"/>
  <c r="H101" i="56" s="1"/>
  <c r="L24" i="56"/>
  <c r="L167" i="56" s="1"/>
  <c r="K24" i="56"/>
  <c r="K167" i="56" s="1"/>
  <c r="J24" i="56"/>
  <c r="J167" i="56" s="1"/>
  <c r="I24" i="56"/>
  <c r="I167" i="56" s="1"/>
  <c r="H24" i="56"/>
  <c r="N21" i="56"/>
  <c r="M21" i="56"/>
  <c r="L21" i="56"/>
  <c r="K21" i="56"/>
  <c r="J21" i="56"/>
  <c r="I21" i="56"/>
  <c r="H21" i="56"/>
  <c r="S19" i="56"/>
  <c r="R19" i="56"/>
  <c r="R165" i="56" s="1"/>
  <c r="Q19" i="56"/>
  <c r="P19" i="56"/>
  <c r="P95" i="56" s="1"/>
  <c r="P96" i="56" s="1"/>
  <c r="O19" i="56"/>
  <c r="N19" i="56"/>
  <c r="N165" i="56" s="1"/>
  <c r="M19" i="56"/>
  <c r="L19" i="56"/>
  <c r="L95" i="56" s="1"/>
  <c r="L96" i="56" s="1"/>
  <c r="K19" i="56"/>
  <c r="I19" i="56"/>
  <c r="I95" i="56" s="1"/>
  <c r="H19" i="56"/>
  <c r="H95" i="56" s="1"/>
  <c r="I18" i="56"/>
  <c r="H18" i="56"/>
  <c r="S10" i="56"/>
  <c r="R10" i="56"/>
  <c r="Q10" i="56"/>
  <c r="P10" i="56"/>
  <c r="O10" i="56"/>
  <c r="N10" i="56"/>
  <c r="M10" i="56"/>
  <c r="L10" i="56"/>
  <c r="K10" i="56"/>
  <c r="J10" i="56"/>
  <c r="I10" i="56"/>
  <c r="H10" i="56"/>
  <c r="S5" i="56"/>
  <c r="S93" i="56" s="1"/>
  <c r="S94" i="56" s="1"/>
  <c r="R5" i="56"/>
  <c r="R163" i="56" s="1"/>
  <c r="Q5" i="56"/>
  <c r="P5" i="56"/>
  <c r="P93" i="56" s="1"/>
  <c r="P94" i="56" s="1"/>
  <c r="O5" i="56"/>
  <c r="O93" i="56" s="1"/>
  <c r="O94" i="56" s="1"/>
  <c r="N5" i="56"/>
  <c r="N163" i="56" s="1"/>
  <c r="M5" i="56"/>
  <c r="L5" i="56"/>
  <c r="L163" i="56" s="1"/>
  <c r="K5" i="56"/>
  <c r="K93" i="56" s="1"/>
  <c r="K94" i="56" s="1"/>
  <c r="J5" i="56"/>
  <c r="J163" i="56" s="1"/>
  <c r="I5" i="56"/>
  <c r="H5" i="56"/>
  <c r="H93" i="56" s="1"/>
  <c r="S4" i="56"/>
  <c r="R4" i="56"/>
  <c r="R162" i="56" s="1"/>
  <c r="Q4" i="56"/>
  <c r="P4" i="56"/>
  <c r="O4" i="56"/>
  <c r="N4" i="56"/>
  <c r="N162" i="56" s="1"/>
  <c r="M4" i="56"/>
  <c r="L4" i="56"/>
  <c r="K4" i="56"/>
  <c r="J4" i="56"/>
  <c r="J162" i="56" s="1"/>
  <c r="I4" i="56"/>
  <c r="H4" i="56"/>
  <c r="H130" i="56" s="1"/>
  <c r="R129" i="67" l="1"/>
  <c r="R133" i="67"/>
  <c r="R140" i="67" s="1"/>
  <c r="R145" i="67" s="1"/>
  <c r="R153" i="67" s="1"/>
  <c r="S117" i="67"/>
  <c r="S109" i="67"/>
  <c r="S109" i="66"/>
  <c r="S115" i="66" s="1"/>
  <c r="S119" i="66" s="1"/>
  <c r="S127" i="66" s="1"/>
  <c r="S106" i="66"/>
  <c r="R57" i="65"/>
  <c r="R73" i="65" s="1"/>
  <c r="R92" i="65" s="1"/>
  <c r="R105" i="65"/>
  <c r="S32" i="65"/>
  <c r="Q117" i="65"/>
  <c r="Q109" i="65"/>
  <c r="P133" i="65"/>
  <c r="P140" i="65" s="1"/>
  <c r="P145" i="65" s="1"/>
  <c r="P153" i="65" s="1"/>
  <c r="P129" i="65"/>
  <c r="P117" i="64"/>
  <c r="P109" i="64"/>
  <c r="O133" i="64"/>
  <c r="O140" i="64" s="1"/>
  <c r="O145" i="64" s="1"/>
  <c r="O153" i="64" s="1"/>
  <c r="O129" i="64"/>
  <c r="Q57" i="64"/>
  <c r="Q73" i="64" s="1"/>
  <c r="Q92" i="64" s="1"/>
  <c r="R32" i="64"/>
  <c r="Q105" i="64"/>
  <c r="P117" i="63"/>
  <c r="P109" i="63"/>
  <c r="Q57" i="63"/>
  <c r="Q73" i="63" s="1"/>
  <c r="Q92" i="63" s="1"/>
  <c r="Q105" i="63"/>
  <c r="R32" i="63"/>
  <c r="O133" i="63"/>
  <c r="O140" i="63" s="1"/>
  <c r="O145" i="63" s="1"/>
  <c r="O153" i="63" s="1"/>
  <c r="O129" i="63"/>
  <c r="M135" i="62"/>
  <c r="M106" i="62"/>
  <c r="M111" i="62"/>
  <c r="K93" i="62"/>
  <c r="K27" i="62"/>
  <c r="L29" i="62"/>
  <c r="M109" i="62"/>
  <c r="J113" i="62"/>
  <c r="J107" i="62"/>
  <c r="J141" i="62"/>
  <c r="J18" i="62"/>
  <c r="J31" i="62" s="1"/>
  <c r="O105" i="61"/>
  <c r="P32" i="61"/>
  <c r="O57" i="61"/>
  <c r="O73" i="61" s="1"/>
  <c r="O92" i="61" s="1"/>
  <c r="N109" i="61"/>
  <c r="N117" i="61"/>
  <c r="M129" i="61"/>
  <c r="M133" i="61"/>
  <c r="M140" i="61" s="1"/>
  <c r="M145" i="61" s="1"/>
  <c r="M153" i="61" s="1"/>
  <c r="M109" i="60"/>
  <c r="M115" i="60" s="1"/>
  <c r="M119" i="60" s="1"/>
  <c r="M127" i="60" s="1"/>
  <c r="M106" i="60"/>
  <c r="N87" i="60"/>
  <c r="N95" i="60" s="1"/>
  <c r="N57" i="60"/>
  <c r="N73" i="60" s="1"/>
  <c r="O32" i="60"/>
  <c r="L161" i="59"/>
  <c r="L52" i="59"/>
  <c r="O161" i="59"/>
  <c r="O30" i="59"/>
  <c r="R161" i="59"/>
  <c r="R30" i="59"/>
  <c r="R52" i="59" s="1"/>
  <c r="N57" i="59"/>
  <c r="N73" i="59" s="1"/>
  <c r="N92" i="59" s="1"/>
  <c r="O32" i="59"/>
  <c r="N105" i="59"/>
  <c r="S161" i="59"/>
  <c r="S30" i="59"/>
  <c r="S52" i="59" s="1"/>
  <c r="N161" i="59"/>
  <c r="N52" i="59"/>
  <c r="L133" i="59"/>
  <c r="L140" i="59" s="1"/>
  <c r="L145" i="59" s="1"/>
  <c r="L153" i="59" s="1"/>
  <c r="L129" i="59"/>
  <c r="M117" i="59"/>
  <c r="M109" i="59"/>
  <c r="J161" i="59"/>
  <c r="J52" i="59"/>
  <c r="J151" i="59"/>
  <c r="J149" i="59"/>
  <c r="J150" i="59"/>
  <c r="K161" i="59"/>
  <c r="K52" i="59"/>
  <c r="S106" i="58"/>
  <c r="S107" i="58" s="1"/>
  <c r="S51" i="58"/>
  <c r="L106" i="58"/>
  <c r="L107" i="58" s="1"/>
  <c r="L51" i="58"/>
  <c r="P106" i="58"/>
  <c r="P51" i="58"/>
  <c r="O102" i="58"/>
  <c r="O103" i="58" s="1"/>
  <c r="P102" i="58"/>
  <c r="J161" i="58"/>
  <c r="J52" i="58"/>
  <c r="K109" i="58"/>
  <c r="K117" i="58"/>
  <c r="S100" i="58"/>
  <c r="S103" i="58" s="1"/>
  <c r="O161" i="58"/>
  <c r="O52" i="58"/>
  <c r="R161" i="58"/>
  <c r="R52" i="58"/>
  <c r="N161" i="58"/>
  <c r="N52" i="58"/>
  <c r="H161" i="58"/>
  <c r="H52" i="58"/>
  <c r="N107" i="58"/>
  <c r="P107" i="58"/>
  <c r="Q107" i="58"/>
  <c r="M103" i="58"/>
  <c r="P100" i="58"/>
  <c r="Q161" i="58"/>
  <c r="Q52" i="58"/>
  <c r="K106" i="58"/>
  <c r="K107" i="58" s="1"/>
  <c r="K51" i="58"/>
  <c r="L105" i="58"/>
  <c r="L57" i="58"/>
  <c r="L73" i="58" s="1"/>
  <c r="L92" i="58" s="1"/>
  <c r="M32" i="58"/>
  <c r="H129" i="57"/>
  <c r="H133" i="57"/>
  <c r="H140" i="57" s="1"/>
  <c r="H145" i="57" s="1"/>
  <c r="H153" i="57" s="1"/>
  <c r="P162" i="57"/>
  <c r="P99" i="57"/>
  <c r="P130" i="57"/>
  <c r="R94" i="57"/>
  <c r="R97" i="57" s="1"/>
  <c r="P151" i="57"/>
  <c r="P149" i="57"/>
  <c r="P147" i="57"/>
  <c r="P150" i="57"/>
  <c r="P146" i="57"/>
  <c r="P148" i="57"/>
  <c r="S160" i="57"/>
  <c r="S114" i="57"/>
  <c r="S48" i="57"/>
  <c r="S113" i="57"/>
  <c r="R160" i="57"/>
  <c r="R48" i="57"/>
  <c r="R114" i="57"/>
  <c r="R113" i="57"/>
  <c r="N151" i="57"/>
  <c r="N150" i="57"/>
  <c r="N149" i="57"/>
  <c r="N148" i="57"/>
  <c r="N147" i="57"/>
  <c r="N146" i="57"/>
  <c r="S122" i="57"/>
  <c r="S121" i="57"/>
  <c r="Q147" i="57"/>
  <c r="Q148" i="57"/>
  <c r="Q146" i="57"/>
  <c r="M114" i="57"/>
  <c r="M113" i="57"/>
  <c r="M48" i="57"/>
  <c r="M160" i="57"/>
  <c r="K162" i="57"/>
  <c r="K130" i="57"/>
  <c r="K99" i="57"/>
  <c r="K100" i="57" s="1"/>
  <c r="K103" i="57" s="1"/>
  <c r="K31" i="57"/>
  <c r="J122" i="57"/>
  <c r="J121" i="57"/>
  <c r="I111" i="57"/>
  <c r="I124" i="57"/>
  <c r="P160" i="57"/>
  <c r="P114" i="57"/>
  <c r="P113" i="57"/>
  <c r="P48" i="57"/>
  <c r="H124" i="57"/>
  <c r="H111" i="57"/>
  <c r="N96" i="57"/>
  <c r="P121" i="57"/>
  <c r="P122" i="57"/>
  <c r="H99" i="57"/>
  <c r="O160" i="57"/>
  <c r="O48" i="57"/>
  <c r="O113" i="57"/>
  <c r="O114" i="57"/>
  <c r="S148" i="57"/>
  <c r="S147" i="57"/>
  <c r="S146" i="57"/>
  <c r="K136" i="57"/>
  <c r="N160" i="57"/>
  <c r="N48" i="57"/>
  <c r="N113" i="57"/>
  <c r="N114" i="57"/>
  <c r="O97" i="57"/>
  <c r="I109" i="57"/>
  <c r="I117" i="57"/>
  <c r="K138" i="57"/>
  <c r="M150" i="57"/>
  <c r="M148" i="57"/>
  <c r="M146" i="57"/>
  <c r="M151" i="57"/>
  <c r="M147" i="57"/>
  <c r="M149" i="57"/>
  <c r="I162" i="57"/>
  <c r="I130" i="57"/>
  <c r="I31" i="57"/>
  <c r="I99" i="57"/>
  <c r="I100" i="57" s="1"/>
  <c r="I103" i="57" s="1"/>
  <c r="I138" i="57"/>
  <c r="L150" i="57"/>
  <c r="L148" i="57"/>
  <c r="L146" i="57"/>
  <c r="L149" i="57"/>
  <c r="L151" i="57"/>
  <c r="L147" i="57"/>
  <c r="R122" i="57"/>
  <c r="R121" i="57"/>
  <c r="M90" i="57"/>
  <c r="L115" i="57"/>
  <c r="L27" i="57"/>
  <c r="L90" i="57"/>
  <c r="L91" i="57" s="1"/>
  <c r="O162" i="57"/>
  <c r="O130" i="57"/>
  <c r="O99" i="57"/>
  <c r="O100" i="57" s="1"/>
  <c r="J102" i="57"/>
  <c r="P124" i="57"/>
  <c r="P111" i="57"/>
  <c r="N122" i="57"/>
  <c r="N121" i="57"/>
  <c r="K151" i="57"/>
  <c r="K150" i="57"/>
  <c r="K149" i="57"/>
  <c r="K148" i="57"/>
  <c r="K147" i="57"/>
  <c r="K146" i="57"/>
  <c r="R162" i="57"/>
  <c r="R130" i="57"/>
  <c r="R99" i="57"/>
  <c r="R100" i="57" s="1"/>
  <c r="I160" i="57"/>
  <c r="I114" i="57"/>
  <c r="I113" i="57"/>
  <c r="I48" i="57"/>
  <c r="I151" i="57"/>
  <c r="I149" i="57"/>
  <c r="I147" i="57"/>
  <c r="I150" i="57"/>
  <c r="I146" i="57"/>
  <c r="I148" i="57"/>
  <c r="N97" i="57"/>
  <c r="L100" i="57"/>
  <c r="R148" i="57"/>
  <c r="R147" i="57"/>
  <c r="R146" i="57"/>
  <c r="J151" i="57"/>
  <c r="J150" i="57"/>
  <c r="J149" i="57"/>
  <c r="J148" i="57"/>
  <c r="J147" i="57"/>
  <c r="J146" i="57"/>
  <c r="K122" i="57"/>
  <c r="K121" i="57"/>
  <c r="N100" i="57"/>
  <c r="M121" i="57"/>
  <c r="M122" i="57"/>
  <c r="H160" i="57"/>
  <c r="H114" i="57"/>
  <c r="H113" i="57"/>
  <c r="H48" i="57"/>
  <c r="H51" i="57" s="1"/>
  <c r="Q122" i="57"/>
  <c r="Q121" i="57"/>
  <c r="I122" i="57"/>
  <c r="M97" i="57"/>
  <c r="K160" i="57"/>
  <c r="K48" i="57"/>
  <c r="K114" i="57"/>
  <c r="K113" i="57"/>
  <c r="O151" i="57"/>
  <c r="O150" i="57"/>
  <c r="O149" i="57"/>
  <c r="O148" i="57"/>
  <c r="O147" i="57"/>
  <c r="O146" i="57"/>
  <c r="P134" i="57"/>
  <c r="R136" i="57"/>
  <c r="J160" i="57"/>
  <c r="J48" i="57"/>
  <c r="J113" i="57"/>
  <c r="J114" i="57"/>
  <c r="O122" i="57"/>
  <c r="O121" i="57"/>
  <c r="K134" i="57"/>
  <c r="K32" i="57"/>
  <c r="J105" i="57"/>
  <c r="J57" i="57"/>
  <c r="J73" i="57" s="1"/>
  <c r="J92" i="57" s="1"/>
  <c r="M111" i="57"/>
  <c r="M124" i="57"/>
  <c r="I134" i="57"/>
  <c r="L124" i="57"/>
  <c r="L111" i="57"/>
  <c r="N102" i="57"/>
  <c r="N103" i="57" s="1"/>
  <c r="Q160" i="57"/>
  <c r="Q114" i="57"/>
  <c r="Q113" i="57"/>
  <c r="Q48" i="57"/>
  <c r="Q111" i="57"/>
  <c r="Q124" i="57"/>
  <c r="M162" i="57"/>
  <c r="M31" i="57"/>
  <c r="M130" i="57"/>
  <c r="M99" i="57"/>
  <c r="M100" i="57" s="1"/>
  <c r="Q162" i="57"/>
  <c r="Q130" i="57"/>
  <c r="Q99" i="57"/>
  <c r="S96" i="57"/>
  <c r="S97" i="57" s="1"/>
  <c r="P136" i="57"/>
  <c r="H151" i="57"/>
  <c r="H149" i="57"/>
  <c r="H147" i="57"/>
  <c r="H148" i="57"/>
  <c r="H150" i="57"/>
  <c r="H146" i="57"/>
  <c r="L106" i="57"/>
  <c r="L107" i="57" s="1"/>
  <c r="L51" i="57"/>
  <c r="R121" i="56"/>
  <c r="R122" i="56"/>
  <c r="N124" i="56"/>
  <c r="N111" i="56"/>
  <c r="R124" i="56"/>
  <c r="R111" i="56"/>
  <c r="R94" i="56"/>
  <c r="I96" i="56"/>
  <c r="K117" i="56"/>
  <c r="K109" i="56"/>
  <c r="P97" i="56"/>
  <c r="M162" i="56"/>
  <c r="M130" i="56"/>
  <c r="M163" i="56"/>
  <c r="M126" i="56"/>
  <c r="M125" i="56"/>
  <c r="M164" i="56"/>
  <c r="M134" i="56"/>
  <c r="M165" i="56"/>
  <c r="M119" i="56"/>
  <c r="M120" i="56" s="1"/>
  <c r="I168" i="56"/>
  <c r="I138" i="56"/>
  <c r="I131" i="56"/>
  <c r="K154" i="56"/>
  <c r="K142" i="56"/>
  <c r="K141" i="56"/>
  <c r="K137" i="56"/>
  <c r="K136" i="56"/>
  <c r="K112" i="56"/>
  <c r="K110" i="56"/>
  <c r="S154" i="56"/>
  <c r="S142" i="56"/>
  <c r="S141" i="56"/>
  <c r="S137" i="56"/>
  <c r="S136" i="56"/>
  <c r="S112" i="56"/>
  <c r="S110" i="56"/>
  <c r="S159" i="56"/>
  <c r="S157" i="56"/>
  <c r="S143" i="56"/>
  <c r="S127" i="56"/>
  <c r="S46" i="56"/>
  <c r="K57" i="56"/>
  <c r="K73" i="56" s="1"/>
  <c r="K92" i="56" s="1"/>
  <c r="J164" i="56"/>
  <c r="J134" i="56"/>
  <c r="N164" i="56"/>
  <c r="N134" i="56"/>
  <c r="R164" i="56"/>
  <c r="R134" i="56"/>
  <c r="J19" i="56"/>
  <c r="J27" i="56"/>
  <c r="K29" i="56"/>
  <c r="L32" i="56"/>
  <c r="H137" i="56"/>
  <c r="H136" i="56"/>
  <c r="H154" i="56"/>
  <c r="H112" i="56"/>
  <c r="H110" i="56"/>
  <c r="H141" i="56"/>
  <c r="L137" i="56"/>
  <c r="L136" i="56"/>
  <c r="L154" i="56"/>
  <c r="L141" i="56"/>
  <c r="L112" i="56"/>
  <c r="L110" i="56"/>
  <c r="L142" i="56"/>
  <c r="P137" i="56"/>
  <c r="P136" i="56"/>
  <c r="P141" i="56"/>
  <c r="P142" i="56"/>
  <c r="P112" i="56"/>
  <c r="P110" i="56"/>
  <c r="H159" i="56"/>
  <c r="H143" i="56"/>
  <c r="H127" i="56"/>
  <c r="H157" i="56"/>
  <c r="L157" i="56"/>
  <c r="L127" i="56"/>
  <c r="P157" i="56"/>
  <c r="P127" i="56"/>
  <c r="P159" i="56"/>
  <c r="P143" i="56"/>
  <c r="H46" i="56"/>
  <c r="L46" i="56"/>
  <c r="P46" i="56"/>
  <c r="J88" i="56"/>
  <c r="J99" i="56"/>
  <c r="N99" i="56"/>
  <c r="R99" i="56"/>
  <c r="I105" i="56"/>
  <c r="J125" i="56"/>
  <c r="N126" i="56"/>
  <c r="J130" i="56"/>
  <c r="H142" i="56"/>
  <c r="P154" i="56"/>
  <c r="H162" i="56"/>
  <c r="I162" i="56"/>
  <c r="I130" i="56"/>
  <c r="I163" i="56"/>
  <c r="I126" i="56"/>
  <c r="I125" i="56"/>
  <c r="Q163" i="56"/>
  <c r="Q126" i="56"/>
  <c r="Q125" i="56"/>
  <c r="Q164" i="56"/>
  <c r="Q134" i="56"/>
  <c r="Q165" i="56"/>
  <c r="Q119" i="56"/>
  <c r="Q120" i="56" s="1"/>
  <c r="O154" i="56"/>
  <c r="O142" i="56"/>
  <c r="O141" i="56"/>
  <c r="O137" i="56"/>
  <c r="O136" i="56"/>
  <c r="O112" i="56"/>
  <c r="O110" i="56"/>
  <c r="O159" i="56"/>
  <c r="O157" i="56"/>
  <c r="O143" i="56"/>
  <c r="O127" i="56"/>
  <c r="O46" i="56"/>
  <c r="H117" i="56"/>
  <c r="H109" i="56"/>
  <c r="J115" i="56"/>
  <c r="I136" i="56"/>
  <c r="K162" i="56"/>
  <c r="K130" i="56"/>
  <c r="O162" i="56"/>
  <c r="O130" i="56"/>
  <c r="S162" i="56"/>
  <c r="S130" i="56"/>
  <c r="K163" i="56"/>
  <c r="K126" i="56"/>
  <c r="K125" i="56"/>
  <c r="O163" i="56"/>
  <c r="O126" i="56"/>
  <c r="O125" i="56"/>
  <c r="S163" i="56"/>
  <c r="S126" i="56"/>
  <c r="S125" i="56"/>
  <c r="K164" i="56"/>
  <c r="K134" i="56"/>
  <c r="O164" i="56"/>
  <c r="O134" i="56"/>
  <c r="S164" i="56"/>
  <c r="S134" i="56"/>
  <c r="K165" i="56"/>
  <c r="K119" i="56"/>
  <c r="K120" i="56" s="1"/>
  <c r="O165" i="56"/>
  <c r="O119" i="56"/>
  <c r="O120" i="56" s="1"/>
  <c r="S165" i="56"/>
  <c r="S119" i="56"/>
  <c r="S120" i="56" s="1"/>
  <c r="H31" i="56"/>
  <c r="I154" i="56"/>
  <c r="I142" i="56"/>
  <c r="I141" i="56"/>
  <c r="I137" i="56"/>
  <c r="I112" i="56"/>
  <c r="I110" i="56"/>
  <c r="M154" i="56"/>
  <c r="M142" i="56"/>
  <c r="M141" i="56"/>
  <c r="M112" i="56"/>
  <c r="M110" i="56"/>
  <c r="M136" i="56"/>
  <c r="Q154" i="56"/>
  <c r="Q142" i="56"/>
  <c r="Q141" i="56"/>
  <c r="Q112" i="56"/>
  <c r="Q110" i="56"/>
  <c r="Q136" i="56"/>
  <c r="Q137" i="56"/>
  <c r="I159" i="56"/>
  <c r="I157" i="56"/>
  <c r="I143" i="56"/>
  <c r="I127" i="56"/>
  <c r="M159" i="56"/>
  <c r="M157" i="56"/>
  <c r="M143" i="56"/>
  <c r="M127" i="56"/>
  <c r="Q159" i="56"/>
  <c r="Q157" i="56"/>
  <c r="Q143" i="56"/>
  <c r="Q127" i="56"/>
  <c r="I46" i="56"/>
  <c r="M46" i="56"/>
  <c r="Q46" i="56"/>
  <c r="K88" i="56"/>
  <c r="I90" i="56"/>
  <c r="L93" i="56"/>
  <c r="L94" i="56" s="1"/>
  <c r="L97" i="56" s="1"/>
  <c r="M95" i="56"/>
  <c r="M96" i="56" s="1"/>
  <c r="Q95" i="56"/>
  <c r="Q96" i="56" s="1"/>
  <c r="K99" i="56"/>
  <c r="K100" i="56" s="1"/>
  <c r="O99" i="56"/>
  <c r="O100" i="56" s="1"/>
  <c r="S99" i="56"/>
  <c r="S100" i="56" s="1"/>
  <c r="J105" i="56"/>
  <c r="J124" i="56"/>
  <c r="N125" i="56"/>
  <c r="R126" i="56"/>
  <c r="N130" i="56"/>
  <c r="L143" i="56"/>
  <c r="Q162" i="56"/>
  <c r="Q130" i="56"/>
  <c r="I164" i="56"/>
  <c r="I134" i="56"/>
  <c r="I165" i="56"/>
  <c r="I119" i="56"/>
  <c r="I120" i="56" s="1"/>
  <c r="K159" i="56"/>
  <c r="K157" i="56"/>
  <c r="K143" i="56"/>
  <c r="K127" i="56"/>
  <c r="K46" i="56"/>
  <c r="L130" i="56"/>
  <c r="L162" i="56"/>
  <c r="P162" i="56"/>
  <c r="P130" i="56"/>
  <c r="H163" i="56"/>
  <c r="H126" i="56"/>
  <c r="H125" i="56"/>
  <c r="L126" i="56"/>
  <c r="L125" i="56"/>
  <c r="P126" i="56"/>
  <c r="P125" i="56"/>
  <c r="P163" i="56"/>
  <c r="H134" i="56"/>
  <c r="H164" i="56"/>
  <c r="L134" i="56"/>
  <c r="L164" i="56"/>
  <c r="P134" i="56"/>
  <c r="H119" i="56"/>
  <c r="H120" i="56" s="1"/>
  <c r="H165" i="56"/>
  <c r="L165" i="56"/>
  <c r="L119" i="56"/>
  <c r="L120" i="56" s="1"/>
  <c r="P165" i="56"/>
  <c r="P119" i="56"/>
  <c r="P120" i="56" s="1"/>
  <c r="H138" i="56"/>
  <c r="H131" i="56"/>
  <c r="H168" i="56"/>
  <c r="I31" i="56"/>
  <c r="J154" i="56"/>
  <c r="J142" i="56"/>
  <c r="J141" i="56"/>
  <c r="J137" i="56"/>
  <c r="J136" i="56"/>
  <c r="N154" i="56"/>
  <c r="N142" i="56"/>
  <c r="N141" i="56"/>
  <c r="N137" i="56"/>
  <c r="N136" i="56"/>
  <c r="R154" i="56"/>
  <c r="R142" i="56"/>
  <c r="R141" i="56"/>
  <c r="R137" i="56"/>
  <c r="R136" i="56"/>
  <c r="J159" i="56"/>
  <c r="J157" i="56"/>
  <c r="J143" i="56"/>
  <c r="N159" i="56"/>
  <c r="N157" i="56"/>
  <c r="N143" i="56"/>
  <c r="R159" i="56"/>
  <c r="R157" i="56"/>
  <c r="R143" i="56"/>
  <c r="J46" i="56"/>
  <c r="N46" i="56"/>
  <c r="R46" i="56"/>
  <c r="L88" i="56"/>
  <c r="I93" i="56"/>
  <c r="I94" i="56" s="1"/>
  <c r="I97" i="56" s="1"/>
  <c r="M93" i="56"/>
  <c r="N94" i="56" s="1"/>
  <c r="N97" i="56" s="1"/>
  <c r="Q93" i="56"/>
  <c r="Q94" i="56" s="1"/>
  <c r="Q97" i="56" s="1"/>
  <c r="N95" i="56"/>
  <c r="N96" i="56" s="1"/>
  <c r="R95" i="56"/>
  <c r="R96" i="56" s="1"/>
  <c r="H99" i="56"/>
  <c r="P99" i="56"/>
  <c r="P100" i="56" s="1"/>
  <c r="I101" i="56"/>
  <c r="I102" i="56" s="1"/>
  <c r="N112" i="56"/>
  <c r="N119" i="56"/>
  <c r="N120" i="56" s="1"/>
  <c r="R125" i="56"/>
  <c r="J127" i="56"/>
  <c r="R130" i="56"/>
  <c r="L159" i="56"/>
  <c r="P164" i="56"/>
  <c r="S167" i="55"/>
  <c r="R167" i="55"/>
  <c r="Q167" i="55"/>
  <c r="P167" i="55"/>
  <c r="O167" i="55"/>
  <c r="N167" i="55"/>
  <c r="M167" i="55"/>
  <c r="L167" i="55"/>
  <c r="K167" i="55"/>
  <c r="J167" i="55"/>
  <c r="I167" i="55"/>
  <c r="H167" i="55"/>
  <c r="S166" i="55"/>
  <c r="R166" i="55"/>
  <c r="Q166" i="55"/>
  <c r="P166" i="55"/>
  <c r="O166" i="55"/>
  <c r="N166" i="55"/>
  <c r="M166" i="55"/>
  <c r="L166" i="55"/>
  <c r="K166" i="55"/>
  <c r="J166" i="55"/>
  <c r="I166" i="55"/>
  <c r="H166" i="55"/>
  <c r="S156" i="55"/>
  <c r="R156" i="55"/>
  <c r="Q156" i="55"/>
  <c r="P156" i="55"/>
  <c r="O156" i="55"/>
  <c r="N156" i="55"/>
  <c r="M156" i="55"/>
  <c r="L156" i="55"/>
  <c r="K156" i="55"/>
  <c r="J156" i="55"/>
  <c r="I156" i="55"/>
  <c r="H156" i="55"/>
  <c r="S155" i="55"/>
  <c r="R155" i="55"/>
  <c r="Q155" i="55"/>
  <c r="P155" i="55"/>
  <c r="O155" i="55"/>
  <c r="N155" i="55"/>
  <c r="M155" i="55"/>
  <c r="L155" i="55"/>
  <c r="K155" i="55"/>
  <c r="J155" i="55"/>
  <c r="I155" i="55"/>
  <c r="H155" i="55"/>
  <c r="L154" i="55"/>
  <c r="P141" i="55"/>
  <c r="E138" i="55"/>
  <c r="S135" i="55"/>
  <c r="R135" i="55"/>
  <c r="Q135" i="55"/>
  <c r="P135" i="55"/>
  <c r="O135" i="55"/>
  <c r="N135" i="55"/>
  <c r="M135" i="55"/>
  <c r="I135" i="55"/>
  <c r="H135" i="55"/>
  <c r="N131" i="55"/>
  <c r="R127" i="55"/>
  <c r="J125" i="55"/>
  <c r="S123" i="55"/>
  <c r="R123" i="55"/>
  <c r="Q123" i="55"/>
  <c r="P123" i="55"/>
  <c r="O123" i="55"/>
  <c r="N123" i="55"/>
  <c r="M123" i="55"/>
  <c r="L123" i="55"/>
  <c r="K123" i="55"/>
  <c r="J123" i="55"/>
  <c r="I123" i="55"/>
  <c r="H123" i="55"/>
  <c r="S118" i="55"/>
  <c r="R118" i="55"/>
  <c r="Q118" i="55"/>
  <c r="P118" i="55"/>
  <c r="O118" i="55"/>
  <c r="N118" i="55"/>
  <c r="M118" i="55"/>
  <c r="L118" i="55"/>
  <c r="K118" i="55"/>
  <c r="J118" i="55"/>
  <c r="I118" i="55"/>
  <c r="H118" i="55"/>
  <c r="S115" i="55"/>
  <c r="R115" i="55"/>
  <c r="Q115" i="55"/>
  <c r="P115" i="55"/>
  <c r="O115" i="55"/>
  <c r="N115" i="55"/>
  <c r="M115" i="55"/>
  <c r="L115" i="55"/>
  <c r="K115" i="55"/>
  <c r="J115" i="55"/>
  <c r="H115" i="55"/>
  <c r="N112" i="55"/>
  <c r="N110" i="55"/>
  <c r="H105" i="55"/>
  <c r="H117" i="55" s="1"/>
  <c r="P101" i="55"/>
  <c r="L101" i="55"/>
  <c r="H101" i="55"/>
  <c r="M95" i="55"/>
  <c r="H92" i="55"/>
  <c r="S90" i="55"/>
  <c r="R90" i="55"/>
  <c r="Q90" i="55"/>
  <c r="P90" i="55"/>
  <c r="O90" i="55"/>
  <c r="N90" i="55"/>
  <c r="M90" i="55"/>
  <c r="L90" i="55"/>
  <c r="K90" i="55"/>
  <c r="I90" i="55"/>
  <c r="S89" i="55"/>
  <c r="R89" i="55"/>
  <c r="Q89" i="55"/>
  <c r="P89" i="55"/>
  <c r="O89" i="55"/>
  <c r="N89" i="55"/>
  <c r="M89" i="55"/>
  <c r="L89" i="55"/>
  <c r="K89" i="55"/>
  <c r="J89" i="55"/>
  <c r="I89" i="55"/>
  <c r="S88" i="55"/>
  <c r="R88" i="55"/>
  <c r="Q88" i="55"/>
  <c r="P88" i="55"/>
  <c r="O88" i="55"/>
  <c r="N88" i="55"/>
  <c r="M88" i="55"/>
  <c r="L88" i="55"/>
  <c r="K88" i="55"/>
  <c r="J88" i="55"/>
  <c r="I88" i="55"/>
  <c r="S87" i="55"/>
  <c r="R87" i="55"/>
  <c r="Q87" i="55"/>
  <c r="P87" i="55"/>
  <c r="O87" i="55"/>
  <c r="N87" i="55"/>
  <c r="I87" i="55"/>
  <c r="S86" i="55"/>
  <c r="R86" i="55"/>
  <c r="Q86" i="55"/>
  <c r="P86" i="55"/>
  <c r="O86" i="55"/>
  <c r="N86" i="55"/>
  <c r="M86" i="55"/>
  <c r="L86" i="55"/>
  <c r="K86" i="55"/>
  <c r="J86" i="55"/>
  <c r="I86" i="55"/>
  <c r="H86" i="55"/>
  <c r="S71" i="55"/>
  <c r="R71" i="55"/>
  <c r="Q71" i="55"/>
  <c r="P71" i="55"/>
  <c r="O71" i="55"/>
  <c r="N71" i="55"/>
  <c r="M71" i="55"/>
  <c r="L71" i="55"/>
  <c r="K71" i="55"/>
  <c r="J71" i="55"/>
  <c r="I71" i="55"/>
  <c r="H71" i="55"/>
  <c r="H57" i="55"/>
  <c r="H73" i="55" s="1"/>
  <c r="S41" i="55"/>
  <c r="S158" i="55" s="1"/>
  <c r="R41" i="55"/>
  <c r="R158" i="55" s="1"/>
  <c r="Q41" i="55"/>
  <c r="Q158" i="55" s="1"/>
  <c r="P41" i="55"/>
  <c r="P158" i="55" s="1"/>
  <c r="O41" i="55"/>
  <c r="O158" i="55" s="1"/>
  <c r="N41" i="55"/>
  <c r="N158" i="55" s="1"/>
  <c r="M41" i="55"/>
  <c r="M158" i="55" s="1"/>
  <c r="L41" i="55"/>
  <c r="L158" i="55" s="1"/>
  <c r="K41" i="55"/>
  <c r="K158" i="55" s="1"/>
  <c r="J41" i="55"/>
  <c r="J158" i="55" s="1"/>
  <c r="I41" i="55"/>
  <c r="I158" i="55" s="1"/>
  <c r="H41" i="55"/>
  <c r="H158" i="55" s="1"/>
  <c r="S38" i="55"/>
  <c r="R38" i="55"/>
  <c r="Q38" i="55"/>
  <c r="P38" i="55"/>
  <c r="P157" i="55" s="1"/>
  <c r="O38" i="55"/>
  <c r="N38" i="55"/>
  <c r="M38" i="55"/>
  <c r="L38" i="55"/>
  <c r="K38" i="55"/>
  <c r="J38" i="55"/>
  <c r="I38" i="55"/>
  <c r="H38" i="55"/>
  <c r="H159" i="55" s="1"/>
  <c r="S33" i="55"/>
  <c r="R33" i="55"/>
  <c r="Q33" i="55"/>
  <c r="Q46" i="55" s="1"/>
  <c r="P33" i="55"/>
  <c r="P112" i="55" s="1"/>
  <c r="O33" i="55"/>
  <c r="N33" i="55"/>
  <c r="M33" i="55"/>
  <c r="M46" i="55" s="1"/>
  <c r="L33" i="55"/>
  <c r="K33" i="55"/>
  <c r="J33" i="55"/>
  <c r="I33" i="55"/>
  <c r="H33" i="55"/>
  <c r="H112" i="55" s="1"/>
  <c r="I32" i="55"/>
  <c r="I57" i="55" s="1"/>
  <c r="I73" i="55" s="1"/>
  <c r="I92" i="55" s="1"/>
  <c r="I29" i="55"/>
  <c r="I115" i="55" s="1"/>
  <c r="S27" i="55"/>
  <c r="R27" i="55"/>
  <c r="Q27" i="55"/>
  <c r="P27" i="55"/>
  <c r="O27" i="55"/>
  <c r="N27" i="55"/>
  <c r="M27" i="55"/>
  <c r="L27" i="55"/>
  <c r="K27" i="55"/>
  <c r="J27" i="55"/>
  <c r="I27" i="55"/>
  <c r="H27" i="55"/>
  <c r="H138" i="55" s="1"/>
  <c r="S19" i="55"/>
  <c r="R19" i="55"/>
  <c r="R165" i="55" s="1"/>
  <c r="Q19" i="55"/>
  <c r="P19" i="55"/>
  <c r="P119" i="55" s="1"/>
  <c r="P120" i="55" s="1"/>
  <c r="O19" i="55"/>
  <c r="N19" i="55"/>
  <c r="N165" i="55" s="1"/>
  <c r="M19" i="55"/>
  <c r="L19" i="55"/>
  <c r="K19" i="55"/>
  <c r="J19" i="55"/>
  <c r="J165" i="55" s="1"/>
  <c r="I19" i="55"/>
  <c r="H19" i="55"/>
  <c r="S18" i="55"/>
  <c r="R18" i="55"/>
  <c r="Q18" i="55"/>
  <c r="P18" i="55"/>
  <c r="O18" i="55"/>
  <c r="N18" i="55"/>
  <c r="M18" i="55"/>
  <c r="L18" i="55"/>
  <c r="K18" i="55"/>
  <c r="J18" i="55"/>
  <c r="I18" i="55"/>
  <c r="H18" i="55"/>
  <c r="L15" i="55"/>
  <c r="L10" i="55" s="1"/>
  <c r="K15" i="55"/>
  <c r="J15" i="55"/>
  <c r="J135" i="55" s="1"/>
  <c r="S10" i="55"/>
  <c r="R10" i="55"/>
  <c r="Q10" i="55"/>
  <c r="P10" i="55"/>
  <c r="O10" i="55"/>
  <c r="N10" i="55"/>
  <c r="M10" i="55"/>
  <c r="K10" i="55"/>
  <c r="J10" i="55"/>
  <c r="I10" i="55"/>
  <c r="H10" i="55"/>
  <c r="S5" i="55"/>
  <c r="R5" i="55"/>
  <c r="Q5" i="55"/>
  <c r="P5" i="55"/>
  <c r="O5" i="55"/>
  <c r="N5" i="55"/>
  <c r="N126" i="55" s="1"/>
  <c r="M5" i="55"/>
  <c r="L5" i="55"/>
  <c r="K5" i="55"/>
  <c r="J5" i="55"/>
  <c r="I5" i="55"/>
  <c r="H5" i="55"/>
  <c r="S4" i="55"/>
  <c r="R4" i="55"/>
  <c r="Q4" i="55"/>
  <c r="P4" i="55"/>
  <c r="O4" i="55"/>
  <c r="N4" i="55"/>
  <c r="M4" i="55"/>
  <c r="K4" i="55"/>
  <c r="J4" i="55"/>
  <c r="I4" i="55"/>
  <c r="H4" i="55"/>
  <c r="S133" i="67" l="1"/>
  <c r="S140" i="67" s="1"/>
  <c r="S145" i="67" s="1"/>
  <c r="S153" i="67" s="1"/>
  <c r="S129" i="67"/>
  <c r="Q133" i="65"/>
  <c r="Q140" i="65" s="1"/>
  <c r="Q145" i="65" s="1"/>
  <c r="Q153" i="65" s="1"/>
  <c r="Q129" i="65"/>
  <c r="S57" i="65"/>
  <c r="S73" i="65" s="1"/>
  <c r="S92" i="65" s="1"/>
  <c r="S105" i="65"/>
  <c r="R117" i="65"/>
  <c r="R109" i="65"/>
  <c r="S32" i="64"/>
  <c r="R105" i="64"/>
  <c r="R57" i="64"/>
  <c r="R73" i="64" s="1"/>
  <c r="R92" i="64" s="1"/>
  <c r="Q117" i="64"/>
  <c r="Q109" i="64"/>
  <c r="P133" i="64"/>
  <c r="P140" i="64" s="1"/>
  <c r="P145" i="64" s="1"/>
  <c r="P153" i="64" s="1"/>
  <c r="P129" i="64"/>
  <c r="Q117" i="63"/>
  <c r="Q109" i="63"/>
  <c r="R105" i="63"/>
  <c r="R57" i="63"/>
  <c r="R73" i="63" s="1"/>
  <c r="R92" i="63" s="1"/>
  <c r="S32" i="63"/>
  <c r="P133" i="63"/>
  <c r="P140" i="63" s="1"/>
  <c r="P145" i="63" s="1"/>
  <c r="P153" i="63" s="1"/>
  <c r="P129" i="63"/>
  <c r="L93" i="62"/>
  <c r="L27" i="62"/>
  <c r="M29" i="62"/>
  <c r="K113" i="62"/>
  <c r="K107" i="62"/>
  <c r="K141" i="62"/>
  <c r="K18" i="62"/>
  <c r="K31" i="62" s="1"/>
  <c r="Q32" i="61"/>
  <c r="P57" i="61"/>
  <c r="P73" i="61" s="1"/>
  <c r="P92" i="61" s="1"/>
  <c r="P105" i="61"/>
  <c r="N133" i="61"/>
  <c r="N140" i="61" s="1"/>
  <c r="N145" i="61" s="1"/>
  <c r="N153" i="61" s="1"/>
  <c r="N129" i="61"/>
  <c r="O117" i="61"/>
  <c r="O109" i="61"/>
  <c r="N109" i="60"/>
  <c r="N115" i="60" s="1"/>
  <c r="N119" i="60" s="1"/>
  <c r="N127" i="60" s="1"/>
  <c r="N106" i="60"/>
  <c r="P32" i="60"/>
  <c r="O87" i="60"/>
  <c r="O95" i="60" s="1"/>
  <c r="O57" i="60"/>
  <c r="O73" i="60" s="1"/>
  <c r="O52" i="59"/>
  <c r="P29" i="59"/>
  <c r="O115" i="59"/>
  <c r="O27" i="59"/>
  <c r="M129" i="59"/>
  <c r="M133" i="59"/>
  <c r="M140" i="59" s="1"/>
  <c r="M145" i="59" s="1"/>
  <c r="M153" i="59" s="1"/>
  <c r="O57" i="59"/>
  <c r="O73" i="59" s="1"/>
  <c r="O92" i="59" s="1"/>
  <c r="O105" i="59"/>
  <c r="P32" i="59"/>
  <c r="N117" i="59"/>
  <c r="N109" i="59"/>
  <c r="M105" i="58"/>
  <c r="N32" i="58"/>
  <c r="M57" i="58"/>
  <c r="M73" i="58" s="1"/>
  <c r="M92" i="58" s="1"/>
  <c r="P161" i="58"/>
  <c r="P52" i="58"/>
  <c r="S161" i="58"/>
  <c r="S52" i="58"/>
  <c r="L117" i="58"/>
  <c r="L109" i="58"/>
  <c r="K161" i="58"/>
  <c r="K52" i="58"/>
  <c r="K133" i="58"/>
  <c r="K140" i="58" s="1"/>
  <c r="K145" i="58" s="1"/>
  <c r="K153" i="58" s="1"/>
  <c r="K129" i="58"/>
  <c r="P103" i="58"/>
  <c r="L52" i="58"/>
  <c r="L161" i="58"/>
  <c r="Q51" i="57"/>
  <c r="Q106" i="57"/>
  <c r="Q107" i="57" s="1"/>
  <c r="K105" i="57"/>
  <c r="K57" i="57"/>
  <c r="K73" i="57" s="1"/>
  <c r="K92" i="57" s="1"/>
  <c r="L32" i="57"/>
  <c r="I106" i="57"/>
  <c r="I107" i="57" s="1"/>
  <c r="I51" i="57"/>
  <c r="O51" i="57"/>
  <c r="O106" i="57"/>
  <c r="L138" i="57"/>
  <c r="L18" i="57"/>
  <c r="L31" i="57" s="1"/>
  <c r="L131" i="57"/>
  <c r="L168" i="57"/>
  <c r="L101" i="57"/>
  <c r="P106" i="57"/>
  <c r="P107" i="57" s="1"/>
  <c r="P51" i="57"/>
  <c r="R106" i="57"/>
  <c r="R107" i="57" s="1"/>
  <c r="R51" i="57"/>
  <c r="P100" i="57"/>
  <c r="Q100" i="57"/>
  <c r="J106" i="57"/>
  <c r="J107" i="57" s="1"/>
  <c r="J51" i="57"/>
  <c r="O107" i="57"/>
  <c r="M106" i="57"/>
  <c r="M107" i="57" s="1"/>
  <c r="M51" i="57"/>
  <c r="I133" i="57"/>
  <c r="I140" i="57" s="1"/>
  <c r="I145" i="57" s="1"/>
  <c r="I153" i="57" s="1"/>
  <c r="I129" i="57"/>
  <c r="S51" i="57"/>
  <c r="S106" i="57"/>
  <c r="S107" i="57" s="1"/>
  <c r="S100" i="57"/>
  <c r="N51" i="57"/>
  <c r="N106" i="57"/>
  <c r="N107" i="57" s="1"/>
  <c r="J100" i="57"/>
  <c r="L161" i="57"/>
  <c r="L52" i="57"/>
  <c r="J117" i="57"/>
  <c r="J109" i="57"/>
  <c r="K51" i="57"/>
  <c r="K106" i="57"/>
  <c r="K107" i="57" s="1"/>
  <c r="H161" i="57"/>
  <c r="H52" i="57"/>
  <c r="J103" i="57"/>
  <c r="Q124" i="56"/>
  <c r="Q111" i="56"/>
  <c r="I117" i="56"/>
  <c r="I109" i="56"/>
  <c r="N122" i="56"/>
  <c r="N121" i="56"/>
  <c r="L99" i="56"/>
  <c r="L100" i="56" s="1"/>
  <c r="R160" i="56"/>
  <c r="R113" i="56"/>
  <c r="R48" i="56"/>
  <c r="R114" i="56"/>
  <c r="J148" i="56"/>
  <c r="J147" i="56"/>
  <c r="J146" i="56"/>
  <c r="Q99" i="56"/>
  <c r="Q100" i="56" s="1"/>
  <c r="I160" i="56"/>
  <c r="I114" i="56"/>
  <c r="I113" i="56"/>
  <c r="I48" i="56"/>
  <c r="I99" i="56"/>
  <c r="I100" i="56" s="1"/>
  <c r="R100" i="56"/>
  <c r="P114" i="56"/>
  <c r="P113" i="56"/>
  <c r="P48" i="56"/>
  <c r="P160" i="56"/>
  <c r="P146" i="56"/>
  <c r="P147" i="56"/>
  <c r="P148" i="56"/>
  <c r="L124" i="56"/>
  <c r="L111" i="56"/>
  <c r="M32" i="56"/>
  <c r="L105" i="56"/>
  <c r="L57" i="56"/>
  <c r="L73" i="56" s="1"/>
  <c r="L92" i="56" s="1"/>
  <c r="S160" i="56"/>
  <c r="S114" i="56"/>
  <c r="S113" i="56"/>
  <c r="S48" i="56"/>
  <c r="K124" i="56"/>
  <c r="K111" i="56"/>
  <c r="K148" i="56"/>
  <c r="K147" i="56"/>
  <c r="K146" i="56"/>
  <c r="O96" i="56"/>
  <c r="O97" i="56" s="1"/>
  <c r="N151" i="56"/>
  <c r="N150" i="56"/>
  <c r="N149" i="56"/>
  <c r="N148" i="56"/>
  <c r="N147" i="56"/>
  <c r="N146" i="56"/>
  <c r="L122" i="56"/>
  <c r="L121" i="56"/>
  <c r="M160" i="56"/>
  <c r="M114" i="56"/>
  <c r="M113" i="56"/>
  <c r="M48" i="56"/>
  <c r="M148" i="56"/>
  <c r="M147" i="56"/>
  <c r="M146" i="56"/>
  <c r="O122" i="56"/>
  <c r="O121" i="56"/>
  <c r="H133" i="56"/>
  <c r="H140" i="56" s="1"/>
  <c r="H145" i="56" s="1"/>
  <c r="H153" i="56" s="1"/>
  <c r="H129" i="56"/>
  <c r="H124" i="56"/>
  <c r="H111" i="56"/>
  <c r="J165" i="56"/>
  <c r="J95" i="56"/>
  <c r="J119" i="56"/>
  <c r="J120" i="56" s="1"/>
  <c r="J18" i="56"/>
  <c r="J31" i="56" s="1"/>
  <c r="S96" i="56"/>
  <c r="S97" i="56" s="1"/>
  <c r="K133" i="56"/>
  <c r="K140" i="56" s="1"/>
  <c r="K145" i="56" s="1"/>
  <c r="K153" i="56" s="1"/>
  <c r="K129" i="56"/>
  <c r="R97" i="56"/>
  <c r="M94" i="56"/>
  <c r="M97" i="56" s="1"/>
  <c r="N160" i="56"/>
  <c r="N48" i="56"/>
  <c r="N113" i="56"/>
  <c r="N114" i="56"/>
  <c r="P122" i="56"/>
  <c r="P121" i="56"/>
  <c r="K160" i="56"/>
  <c r="K114" i="56"/>
  <c r="K113" i="56"/>
  <c r="K48" i="56"/>
  <c r="J117" i="56"/>
  <c r="J109" i="56"/>
  <c r="Q148" i="56"/>
  <c r="Q147" i="56"/>
  <c r="Q146" i="56"/>
  <c r="M124" i="56"/>
  <c r="M111" i="56"/>
  <c r="I151" i="56"/>
  <c r="I150" i="56"/>
  <c r="I149" i="56"/>
  <c r="I148" i="56"/>
  <c r="I147" i="56"/>
  <c r="I146" i="56"/>
  <c r="S122" i="56"/>
  <c r="S121" i="56"/>
  <c r="K122" i="56"/>
  <c r="K121" i="56"/>
  <c r="O160" i="56"/>
  <c r="O114" i="56"/>
  <c r="O113" i="56"/>
  <c r="O48" i="56"/>
  <c r="Q122" i="56"/>
  <c r="Q121" i="56"/>
  <c r="L160" i="56"/>
  <c r="L114" i="56"/>
  <c r="L113" i="56"/>
  <c r="L48" i="56"/>
  <c r="P124" i="56"/>
  <c r="P111" i="56"/>
  <c r="K115" i="56"/>
  <c r="L29" i="56"/>
  <c r="K27" i="56"/>
  <c r="K90" i="56"/>
  <c r="S124" i="56"/>
  <c r="S111" i="56"/>
  <c r="S148" i="56"/>
  <c r="S147" i="56"/>
  <c r="S146" i="56"/>
  <c r="J94" i="56"/>
  <c r="I103" i="56"/>
  <c r="J160" i="56"/>
  <c r="J48" i="56"/>
  <c r="J113" i="56"/>
  <c r="J114" i="56"/>
  <c r="R148" i="56"/>
  <c r="R147" i="56"/>
  <c r="R146" i="56"/>
  <c r="H122" i="56"/>
  <c r="H121" i="56"/>
  <c r="I122" i="56"/>
  <c r="I121" i="56"/>
  <c r="Q160" i="56"/>
  <c r="Q114" i="56"/>
  <c r="Q113" i="56"/>
  <c r="Q48" i="56"/>
  <c r="I124" i="56"/>
  <c r="I111" i="56"/>
  <c r="O124" i="56"/>
  <c r="O111" i="56"/>
  <c r="O148" i="56"/>
  <c r="O147" i="56"/>
  <c r="O146" i="56"/>
  <c r="J100" i="56"/>
  <c r="H160" i="56"/>
  <c r="H114" i="56"/>
  <c r="H113" i="56"/>
  <c r="H48" i="56"/>
  <c r="H51" i="56" s="1"/>
  <c r="H151" i="56" s="1"/>
  <c r="L146" i="56"/>
  <c r="L147" i="56"/>
  <c r="L148" i="56"/>
  <c r="H148" i="56"/>
  <c r="H146" i="56"/>
  <c r="H147" i="56"/>
  <c r="J168" i="56"/>
  <c r="J138" i="56"/>
  <c r="J131" i="56"/>
  <c r="J101" i="56"/>
  <c r="J102" i="56" s="1"/>
  <c r="J103" i="56" s="1"/>
  <c r="M99" i="56"/>
  <c r="M100" i="56" s="1"/>
  <c r="M122" i="56"/>
  <c r="M121" i="56"/>
  <c r="L164" i="55"/>
  <c r="L4" i="55"/>
  <c r="M160" i="55"/>
  <c r="M114" i="55"/>
  <c r="M113" i="55"/>
  <c r="M48" i="55"/>
  <c r="Q160" i="55"/>
  <c r="Q114" i="55"/>
  <c r="Q113" i="55"/>
  <c r="Q48" i="55"/>
  <c r="K162" i="55"/>
  <c r="K130" i="55"/>
  <c r="K31" i="55"/>
  <c r="K163" i="55"/>
  <c r="K126" i="55"/>
  <c r="K125" i="55"/>
  <c r="K93" i="55"/>
  <c r="K164" i="55"/>
  <c r="K134" i="55"/>
  <c r="I154" i="55"/>
  <c r="I142" i="55"/>
  <c r="I141" i="55"/>
  <c r="I112" i="55"/>
  <c r="I110" i="55"/>
  <c r="I136" i="55"/>
  <c r="I159" i="55"/>
  <c r="I157" i="55"/>
  <c r="I143" i="55"/>
  <c r="I127" i="55"/>
  <c r="P151" i="55"/>
  <c r="P147" i="55"/>
  <c r="P148" i="55"/>
  <c r="P149" i="55"/>
  <c r="P146" i="55"/>
  <c r="P150" i="55"/>
  <c r="H130" i="55"/>
  <c r="H162" i="55"/>
  <c r="P162" i="55"/>
  <c r="P130" i="55"/>
  <c r="H126" i="55"/>
  <c r="H125" i="55"/>
  <c r="H163" i="55"/>
  <c r="L126" i="55"/>
  <c r="L125" i="55"/>
  <c r="L163" i="55"/>
  <c r="P163" i="55"/>
  <c r="P126" i="55"/>
  <c r="P125" i="55"/>
  <c r="H134" i="55"/>
  <c r="H164" i="55"/>
  <c r="P134" i="55"/>
  <c r="P164" i="55"/>
  <c r="I165" i="55"/>
  <c r="I119" i="55"/>
  <c r="I120" i="55" s="1"/>
  <c r="M165" i="55"/>
  <c r="M119" i="55"/>
  <c r="M120" i="55" s="1"/>
  <c r="Q165" i="55"/>
  <c r="Q119" i="55"/>
  <c r="Q120" i="55" s="1"/>
  <c r="I168" i="55"/>
  <c r="I138" i="55"/>
  <c r="I131" i="55"/>
  <c r="I101" i="55"/>
  <c r="I102" i="55" s="1"/>
  <c r="M168" i="55"/>
  <c r="M138" i="55"/>
  <c r="M131" i="55"/>
  <c r="M101" i="55"/>
  <c r="M102" i="55" s="1"/>
  <c r="Q168" i="55"/>
  <c r="Q138" i="55"/>
  <c r="Q131" i="55"/>
  <c r="Q101" i="55"/>
  <c r="Q102" i="55" s="1"/>
  <c r="H31" i="55"/>
  <c r="H93" i="55"/>
  <c r="H99" i="55" s="1"/>
  <c r="Q95" i="55"/>
  <c r="S162" i="55"/>
  <c r="S130" i="55"/>
  <c r="S31" i="55"/>
  <c r="S163" i="55"/>
  <c r="S126" i="55"/>
  <c r="S125" i="55"/>
  <c r="S93" i="55"/>
  <c r="S94" i="55" s="1"/>
  <c r="S97" i="55" s="1"/>
  <c r="S164" i="55"/>
  <c r="S134" i="55"/>
  <c r="Q154" i="55"/>
  <c r="Q142" i="55"/>
  <c r="Q141" i="55"/>
  <c r="Q136" i="55"/>
  <c r="Q112" i="55"/>
  <c r="Q110" i="55"/>
  <c r="Q137" i="55"/>
  <c r="Q159" i="55"/>
  <c r="Q157" i="55"/>
  <c r="Q143" i="55"/>
  <c r="Q127" i="55"/>
  <c r="I162" i="55"/>
  <c r="I130" i="55"/>
  <c r="I31" i="55"/>
  <c r="Q162" i="55"/>
  <c r="Q130" i="55"/>
  <c r="Q31" i="55"/>
  <c r="M163" i="55"/>
  <c r="M126" i="55"/>
  <c r="M125" i="55"/>
  <c r="M93" i="55"/>
  <c r="I164" i="55"/>
  <c r="I134" i="55"/>
  <c r="Q164" i="55"/>
  <c r="Q134" i="55"/>
  <c r="K135" i="55"/>
  <c r="K87" i="55"/>
  <c r="L93" i="55"/>
  <c r="L94" i="55" s="1"/>
  <c r="I137" i="55"/>
  <c r="O162" i="55"/>
  <c r="O130" i="55"/>
  <c r="O31" i="55"/>
  <c r="O163" i="55"/>
  <c r="O126" i="55"/>
  <c r="O125" i="55"/>
  <c r="O93" i="55"/>
  <c r="O164" i="55"/>
  <c r="O134" i="55"/>
  <c r="I105" i="55"/>
  <c r="J32" i="55"/>
  <c r="M154" i="55"/>
  <c r="M142" i="55"/>
  <c r="M141" i="55"/>
  <c r="M112" i="55"/>
  <c r="M110" i="55"/>
  <c r="M136" i="55"/>
  <c r="M137" i="55"/>
  <c r="M159" i="55"/>
  <c r="M157" i="55"/>
  <c r="M143" i="55"/>
  <c r="M127" i="55"/>
  <c r="K99" i="55"/>
  <c r="M162" i="55"/>
  <c r="M130" i="55"/>
  <c r="M99" i="55"/>
  <c r="M31" i="55"/>
  <c r="I163" i="55"/>
  <c r="I126" i="55"/>
  <c r="I125" i="55"/>
  <c r="I93" i="55"/>
  <c r="I94" i="55" s="1"/>
  <c r="Q163" i="55"/>
  <c r="Q126" i="55"/>
  <c r="Q125" i="55"/>
  <c r="Q93" i="55"/>
  <c r="Q94" i="55" s="1"/>
  <c r="M164" i="55"/>
  <c r="M134" i="55"/>
  <c r="J162" i="55"/>
  <c r="J31" i="55"/>
  <c r="N162" i="55"/>
  <c r="N31" i="55"/>
  <c r="N130" i="55"/>
  <c r="R162" i="55"/>
  <c r="R130" i="55"/>
  <c r="R31" i="55"/>
  <c r="J163" i="55"/>
  <c r="J126" i="55"/>
  <c r="J93" i="55"/>
  <c r="J94" i="55" s="1"/>
  <c r="J97" i="55" s="1"/>
  <c r="N163" i="55"/>
  <c r="N93" i="55"/>
  <c r="N94" i="55" s="1"/>
  <c r="N125" i="55"/>
  <c r="R163" i="55"/>
  <c r="R125" i="55"/>
  <c r="R93" i="55"/>
  <c r="R99" i="55" s="1"/>
  <c r="R126" i="55"/>
  <c r="J164" i="55"/>
  <c r="J134" i="55"/>
  <c r="N164" i="55"/>
  <c r="N134" i="55"/>
  <c r="R164" i="55"/>
  <c r="R134" i="55"/>
  <c r="L135" i="55"/>
  <c r="M87" i="55"/>
  <c r="L87" i="55"/>
  <c r="L91" i="55" s="1"/>
  <c r="K165" i="55"/>
  <c r="K119" i="55"/>
  <c r="K120" i="55" s="1"/>
  <c r="K95" i="55"/>
  <c r="O165" i="55"/>
  <c r="O119" i="55"/>
  <c r="O120" i="55" s="1"/>
  <c r="O95" i="55"/>
  <c r="P31" i="55"/>
  <c r="I46" i="55"/>
  <c r="J87" i="55"/>
  <c r="P93" i="55"/>
  <c r="P94" i="55" s="1"/>
  <c r="I95" i="55"/>
  <c r="N124" i="55"/>
  <c r="N111" i="55"/>
  <c r="J130" i="55"/>
  <c r="J168" i="55"/>
  <c r="J138" i="55"/>
  <c r="N168" i="55"/>
  <c r="N138" i="55"/>
  <c r="R168" i="55"/>
  <c r="R138" i="55"/>
  <c r="J154" i="55"/>
  <c r="J142" i="55"/>
  <c r="J141" i="55"/>
  <c r="J137" i="55"/>
  <c r="J136" i="55"/>
  <c r="N154" i="55"/>
  <c r="N142" i="55"/>
  <c r="N141" i="55"/>
  <c r="N137" i="55"/>
  <c r="N136" i="55"/>
  <c r="R154" i="55"/>
  <c r="R142" i="55"/>
  <c r="R141" i="55"/>
  <c r="R137" i="55"/>
  <c r="R136" i="55"/>
  <c r="J159" i="55"/>
  <c r="J157" i="55"/>
  <c r="J143" i="55"/>
  <c r="N159" i="55"/>
  <c r="N157" i="55"/>
  <c r="N143" i="55"/>
  <c r="R159" i="55"/>
  <c r="R157" i="55"/>
  <c r="R143" i="55"/>
  <c r="J46" i="55"/>
  <c r="N46" i="55"/>
  <c r="R46" i="55"/>
  <c r="J90" i="55"/>
  <c r="J95" i="55"/>
  <c r="J96" i="55" s="1"/>
  <c r="N95" i="55"/>
  <c r="N96" i="55" s="1"/>
  <c r="R95" i="55"/>
  <c r="R96" i="55" s="1"/>
  <c r="R101" i="55"/>
  <c r="R102" i="55" s="1"/>
  <c r="H110" i="55"/>
  <c r="P110" i="55"/>
  <c r="J119" i="55"/>
  <c r="J120" i="55" s="1"/>
  <c r="R131" i="55"/>
  <c r="H143" i="55"/>
  <c r="S165" i="55"/>
  <c r="S119" i="55"/>
  <c r="S120" i="55" s="1"/>
  <c r="K168" i="55"/>
  <c r="K138" i="55"/>
  <c r="K131" i="55"/>
  <c r="O168" i="55"/>
  <c r="O138" i="55"/>
  <c r="O131" i="55"/>
  <c r="S168" i="55"/>
  <c r="S138" i="55"/>
  <c r="S131" i="55"/>
  <c r="K154" i="55"/>
  <c r="K142" i="55"/>
  <c r="K141" i="55"/>
  <c r="K137" i="55"/>
  <c r="K136" i="55"/>
  <c r="K112" i="55"/>
  <c r="K110" i="55"/>
  <c r="O154" i="55"/>
  <c r="O142" i="55"/>
  <c r="O141" i="55"/>
  <c r="O137" i="55"/>
  <c r="O136" i="55"/>
  <c r="O112" i="55"/>
  <c r="O110" i="55"/>
  <c r="S154" i="55"/>
  <c r="S142" i="55"/>
  <c r="S141" i="55"/>
  <c r="S137" i="55"/>
  <c r="S136" i="55"/>
  <c r="S112" i="55"/>
  <c r="S110" i="55"/>
  <c r="K159" i="55"/>
  <c r="K157" i="55"/>
  <c r="K143" i="55"/>
  <c r="K127" i="55"/>
  <c r="O159" i="55"/>
  <c r="O157" i="55"/>
  <c r="O143" i="55"/>
  <c r="O127" i="55"/>
  <c r="S159" i="55"/>
  <c r="S157" i="55"/>
  <c r="S143" i="55"/>
  <c r="S127" i="55"/>
  <c r="K46" i="55"/>
  <c r="O46" i="55"/>
  <c r="S46" i="55"/>
  <c r="S95" i="55"/>
  <c r="S96" i="55" s="1"/>
  <c r="J101" i="55"/>
  <c r="J102" i="55" s="1"/>
  <c r="N101" i="55"/>
  <c r="N102" i="55" s="1"/>
  <c r="S101" i="55"/>
  <c r="S102" i="55" s="1"/>
  <c r="H133" i="55"/>
  <c r="H140" i="55" s="1"/>
  <c r="H145" i="55" s="1"/>
  <c r="H153" i="55" s="1"/>
  <c r="H129" i="55"/>
  <c r="J110" i="55"/>
  <c r="R110" i="55"/>
  <c r="J112" i="55"/>
  <c r="R112" i="55"/>
  <c r="N119" i="55"/>
  <c r="N120" i="55" s="1"/>
  <c r="J127" i="55"/>
  <c r="H165" i="55"/>
  <c r="H119" i="55"/>
  <c r="H120" i="55" s="1"/>
  <c r="L165" i="55"/>
  <c r="L119" i="55"/>
  <c r="L120" i="55" s="1"/>
  <c r="P121" i="55"/>
  <c r="H131" i="55"/>
  <c r="H168" i="55"/>
  <c r="L168" i="55"/>
  <c r="L131" i="55"/>
  <c r="P168" i="55"/>
  <c r="P138" i="55"/>
  <c r="P131" i="55"/>
  <c r="H137" i="55"/>
  <c r="H136" i="55"/>
  <c r="H154" i="55"/>
  <c r="H141" i="55"/>
  <c r="H142" i="55"/>
  <c r="L137" i="55"/>
  <c r="L141" i="55"/>
  <c r="L142" i="55"/>
  <c r="P137" i="55"/>
  <c r="P136" i="55"/>
  <c r="P142" i="55"/>
  <c r="P154" i="55"/>
  <c r="H157" i="55"/>
  <c r="H127" i="55"/>
  <c r="L157" i="55"/>
  <c r="L127" i="55"/>
  <c r="L159" i="55"/>
  <c r="L143" i="55"/>
  <c r="P159" i="55"/>
  <c r="P143" i="55"/>
  <c r="P127" i="55"/>
  <c r="H46" i="55"/>
  <c r="L46" i="55"/>
  <c r="P46" i="55"/>
  <c r="H95" i="55"/>
  <c r="L95" i="55"/>
  <c r="L96" i="55" s="1"/>
  <c r="P95" i="55"/>
  <c r="P96" i="55" s="1"/>
  <c r="K101" i="55"/>
  <c r="O101" i="55"/>
  <c r="H109" i="55"/>
  <c r="L110" i="55"/>
  <c r="L112" i="55"/>
  <c r="R119" i="55"/>
  <c r="R120" i="55" s="1"/>
  <c r="N127" i="55"/>
  <c r="J131" i="55"/>
  <c r="P165" i="55"/>
  <c r="J50" i="54"/>
  <c r="J53" i="54"/>
  <c r="J32" i="54"/>
  <c r="K31" i="54"/>
  <c r="K35" i="54"/>
  <c r="K40" i="54"/>
  <c r="K43" i="54"/>
  <c r="K48" i="54"/>
  <c r="K50" i="54"/>
  <c r="K53" i="54"/>
  <c r="K32" i="54"/>
  <c r="L31" i="54"/>
  <c r="L35" i="54"/>
  <c r="L40" i="54"/>
  <c r="L43" i="54"/>
  <c r="L48" i="54"/>
  <c r="L50" i="54"/>
  <c r="L53" i="54"/>
  <c r="L32" i="54"/>
  <c r="M31" i="54"/>
  <c r="M35" i="54"/>
  <c r="M40" i="54"/>
  <c r="M43" i="54"/>
  <c r="M48" i="54"/>
  <c r="M50" i="54"/>
  <c r="M53" i="54"/>
  <c r="M32" i="54"/>
  <c r="M29" i="54"/>
  <c r="M144" i="54"/>
  <c r="L29" i="54"/>
  <c r="L144" i="54"/>
  <c r="K29" i="54"/>
  <c r="K144" i="54"/>
  <c r="J29" i="54"/>
  <c r="J144" i="54"/>
  <c r="I35" i="54"/>
  <c r="I40" i="54"/>
  <c r="I43" i="54"/>
  <c r="I48" i="54"/>
  <c r="I50" i="54"/>
  <c r="I53" i="54"/>
  <c r="I32" i="54"/>
  <c r="I29" i="54"/>
  <c r="I144" i="54"/>
  <c r="H35" i="54"/>
  <c r="H40" i="54"/>
  <c r="H43" i="54"/>
  <c r="H48" i="54"/>
  <c r="H50" i="54"/>
  <c r="H53" i="54"/>
  <c r="H32" i="54"/>
  <c r="H29" i="54"/>
  <c r="H144" i="54"/>
  <c r="M143" i="54"/>
  <c r="L143" i="54"/>
  <c r="K143" i="54"/>
  <c r="J143" i="54"/>
  <c r="I143" i="54"/>
  <c r="H143" i="54"/>
  <c r="M142" i="54"/>
  <c r="L142" i="54"/>
  <c r="K142" i="54"/>
  <c r="J142" i="54"/>
  <c r="I142" i="54"/>
  <c r="H142" i="54"/>
  <c r="M21" i="54"/>
  <c r="M141" i="54"/>
  <c r="L21" i="54"/>
  <c r="L141" i="54"/>
  <c r="K21" i="54"/>
  <c r="K141" i="54"/>
  <c r="J21" i="54"/>
  <c r="J141" i="54"/>
  <c r="I21" i="54"/>
  <c r="I141" i="54"/>
  <c r="H21" i="54"/>
  <c r="H141" i="54"/>
  <c r="M12" i="54"/>
  <c r="M140" i="54"/>
  <c r="L12" i="54"/>
  <c r="L140" i="54"/>
  <c r="K12" i="54"/>
  <c r="K140" i="54"/>
  <c r="J12" i="54"/>
  <c r="J140" i="54"/>
  <c r="I12" i="54"/>
  <c r="I140" i="54"/>
  <c r="H12" i="54"/>
  <c r="H140" i="54"/>
  <c r="M7" i="54"/>
  <c r="M139" i="54"/>
  <c r="L7" i="54"/>
  <c r="L139" i="54"/>
  <c r="K7" i="54"/>
  <c r="K139" i="54"/>
  <c r="J7" i="54"/>
  <c r="J139" i="54"/>
  <c r="I7" i="54"/>
  <c r="I139" i="54"/>
  <c r="H7" i="54"/>
  <c r="H139" i="54"/>
  <c r="M6" i="54"/>
  <c r="M138" i="54"/>
  <c r="L6" i="54"/>
  <c r="L138" i="54"/>
  <c r="K6" i="54"/>
  <c r="K138" i="54"/>
  <c r="J6" i="54"/>
  <c r="J138" i="54"/>
  <c r="I6" i="54"/>
  <c r="I138" i="54"/>
  <c r="H6" i="54"/>
  <c r="H138" i="54"/>
  <c r="M137" i="54"/>
  <c r="L137" i="54"/>
  <c r="K137" i="54"/>
  <c r="J137" i="54"/>
  <c r="I137" i="54"/>
  <c r="H137" i="54"/>
  <c r="M136" i="54"/>
  <c r="L136" i="54"/>
  <c r="K136" i="54"/>
  <c r="J136" i="54"/>
  <c r="I136" i="54"/>
  <c r="H136" i="54"/>
  <c r="M135" i="54"/>
  <c r="L135" i="54"/>
  <c r="K135" i="54"/>
  <c r="J40" i="54"/>
  <c r="J135" i="54"/>
  <c r="I135" i="54"/>
  <c r="H135" i="54"/>
  <c r="M134" i="54"/>
  <c r="L134" i="54"/>
  <c r="K134" i="54"/>
  <c r="J43" i="54"/>
  <c r="J134" i="54"/>
  <c r="I134" i="54"/>
  <c r="H134" i="54"/>
  <c r="M133" i="54"/>
  <c r="L133" i="54"/>
  <c r="K133" i="54"/>
  <c r="J133" i="54"/>
  <c r="I133" i="54"/>
  <c r="H133" i="54"/>
  <c r="M132" i="54"/>
  <c r="L132" i="54"/>
  <c r="K132" i="54"/>
  <c r="J132" i="54"/>
  <c r="I132" i="54"/>
  <c r="H132" i="54"/>
  <c r="M131" i="54"/>
  <c r="L131" i="54"/>
  <c r="K131" i="54"/>
  <c r="J131" i="54"/>
  <c r="I131" i="54"/>
  <c r="H131" i="54"/>
  <c r="M130" i="54"/>
  <c r="L130" i="54"/>
  <c r="K130" i="54"/>
  <c r="J35" i="54"/>
  <c r="J130" i="54"/>
  <c r="I130" i="54"/>
  <c r="H130" i="54"/>
  <c r="I34" i="54"/>
  <c r="J34" i="54"/>
  <c r="K34" i="54"/>
  <c r="L34" i="54"/>
  <c r="M34" i="54"/>
  <c r="M89" i="54"/>
  <c r="M97" i="54"/>
  <c r="M111" i="54"/>
  <c r="M117" i="54"/>
  <c r="M121" i="54"/>
  <c r="M129" i="54"/>
  <c r="L89" i="54"/>
  <c r="L97" i="54"/>
  <c r="L111" i="54"/>
  <c r="L117" i="54"/>
  <c r="L121" i="54"/>
  <c r="L129" i="54"/>
  <c r="K89" i="54"/>
  <c r="K97" i="54"/>
  <c r="K111" i="54"/>
  <c r="K117" i="54"/>
  <c r="K121" i="54"/>
  <c r="K129" i="54"/>
  <c r="J89" i="54"/>
  <c r="J97" i="54"/>
  <c r="J111" i="54"/>
  <c r="J117" i="54"/>
  <c r="J121" i="54"/>
  <c r="J129" i="54"/>
  <c r="I89" i="54"/>
  <c r="I97" i="54"/>
  <c r="I111" i="54"/>
  <c r="I117" i="54"/>
  <c r="I121" i="54"/>
  <c r="I129" i="54"/>
  <c r="H89" i="54"/>
  <c r="H97" i="54"/>
  <c r="H111" i="54"/>
  <c r="H117" i="54"/>
  <c r="H121" i="54"/>
  <c r="H129" i="54"/>
  <c r="M118" i="54"/>
  <c r="M127" i="54"/>
  <c r="L118" i="54"/>
  <c r="L127" i="54"/>
  <c r="K118" i="54"/>
  <c r="K127" i="54"/>
  <c r="J118" i="54"/>
  <c r="J127" i="54"/>
  <c r="I118" i="54"/>
  <c r="I127" i="54"/>
  <c r="H118" i="54"/>
  <c r="H127" i="54"/>
  <c r="M126" i="54"/>
  <c r="L126" i="54"/>
  <c r="K126" i="54"/>
  <c r="J126" i="54"/>
  <c r="I126" i="54"/>
  <c r="H126" i="54"/>
  <c r="M125" i="54"/>
  <c r="L125" i="54"/>
  <c r="K125" i="54"/>
  <c r="J125" i="54"/>
  <c r="I125" i="54"/>
  <c r="H125" i="54"/>
  <c r="M124" i="54"/>
  <c r="L124" i="54"/>
  <c r="K124" i="54"/>
  <c r="J124" i="54"/>
  <c r="I124" i="54"/>
  <c r="H124" i="54"/>
  <c r="M123" i="54"/>
  <c r="L123" i="54"/>
  <c r="K123" i="54"/>
  <c r="J123" i="54"/>
  <c r="I123" i="54"/>
  <c r="H123" i="54"/>
  <c r="M122" i="54"/>
  <c r="L122" i="54"/>
  <c r="K122" i="54"/>
  <c r="J122" i="54"/>
  <c r="I122" i="54"/>
  <c r="H122" i="54"/>
  <c r="M120" i="54"/>
  <c r="L120" i="54"/>
  <c r="K120" i="54"/>
  <c r="J120" i="54"/>
  <c r="I120" i="54"/>
  <c r="H120" i="54"/>
  <c r="M119" i="54"/>
  <c r="L119" i="54"/>
  <c r="K119" i="54"/>
  <c r="J119" i="54"/>
  <c r="I119" i="54"/>
  <c r="H119" i="54"/>
  <c r="M116" i="54"/>
  <c r="L116" i="54"/>
  <c r="K116" i="54"/>
  <c r="J116" i="54"/>
  <c r="I116" i="54"/>
  <c r="H116" i="54"/>
  <c r="E116" i="54"/>
  <c r="M115" i="54"/>
  <c r="L115" i="54"/>
  <c r="K115" i="54"/>
  <c r="J115" i="54"/>
  <c r="I115" i="54"/>
  <c r="H115" i="54"/>
  <c r="M114" i="54"/>
  <c r="L114" i="54"/>
  <c r="K114" i="54"/>
  <c r="J114" i="54"/>
  <c r="I114" i="54"/>
  <c r="H114" i="54"/>
  <c r="M113" i="54"/>
  <c r="L113" i="54"/>
  <c r="K113" i="54"/>
  <c r="J113" i="54"/>
  <c r="I113" i="54"/>
  <c r="H113" i="54"/>
  <c r="M112" i="54"/>
  <c r="L112" i="54"/>
  <c r="K112" i="54"/>
  <c r="J112" i="54"/>
  <c r="I112" i="54"/>
  <c r="H112" i="54"/>
  <c r="M110" i="54"/>
  <c r="L110" i="54"/>
  <c r="K110" i="54"/>
  <c r="J110" i="54"/>
  <c r="I110" i="54"/>
  <c r="H110" i="54"/>
  <c r="M109" i="54"/>
  <c r="L109" i="54"/>
  <c r="K109" i="54"/>
  <c r="J109" i="54"/>
  <c r="I109" i="54"/>
  <c r="H109" i="54"/>
  <c r="M108" i="54"/>
  <c r="L108" i="54"/>
  <c r="K108" i="54"/>
  <c r="J108" i="54"/>
  <c r="I108" i="54"/>
  <c r="H108" i="54"/>
  <c r="M107" i="54"/>
  <c r="L107" i="54"/>
  <c r="K107" i="54"/>
  <c r="J107" i="54"/>
  <c r="I107" i="54"/>
  <c r="H107" i="54"/>
  <c r="M106" i="54"/>
  <c r="L106" i="54"/>
  <c r="K106" i="54"/>
  <c r="J106" i="54"/>
  <c r="I106" i="54"/>
  <c r="H106" i="54"/>
  <c r="M105" i="54"/>
  <c r="L105" i="54"/>
  <c r="K105" i="54"/>
  <c r="J105" i="54"/>
  <c r="I105" i="54"/>
  <c r="H105" i="54"/>
  <c r="M91" i="54"/>
  <c r="M103" i="54"/>
  <c r="M104" i="54"/>
  <c r="L91" i="54"/>
  <c r="L103" i="54"/>
  <c r="L104" i="54"/>
  <c r="K91" i="54"/>
  <c r="K103" i="54"/>
  <c r="K104" i="54"/>
  <c r="J91" i="54"/>
  <c r="J103" i="54"/>
  <c r="J104" i="54"/>
  <c r="I91" i="54"/>
  <c r="I103" i="54"/>
  <c r="I104" i="54"/>
  <c r="H91" i="54"/>
  <c r="H103" i="54"/>
  <c r="H104" i="54"/>
  <c r="M99" i="54"/>
  <c r="M98" i="54"/>
  <c r="M100" i="54"/>
  <c r="M102" i="54"/>
  <c r="L99" i="54"/>
  <c r="L98" i="54"/>
  <c r="L100" i="54"/>
  <c r="L102" i="54"/>
  <c r="K99" i="54"/>
  <c r="K98" i="54"/>
  <c r="K100" i="54"/>
  <c r="K102" i="54"/>
  <c r="J99" i="54"/>
  <c r="J98" i="54"/>
  <c r="J100" i="54"/>
  <c r="J102" i="54"/>
  <c r="I99" i="54"/>
  <c r="I98" i="54"/>
  <c r="I100" i="54"/>
  <c r="I102" i="54"/>
  <c r="H99" i="54"/>
  <c r="H98" i="54"/>
  <c r="H100" i="54"/>
  <c r="H102" i="54"/>
  <c r="M101" i="54"/>
  <c r="L101" i="54"/>
  <c r="K101" i="54"/>
  <c r="J101" i="54"/>
  <c r="I101" i="54"/>
  <c r="H101" i="54"/>
  <c r="M96" i="54"/>
  <c r="L96" i="54"/>
  <c r="K96" i="54"/>
  <c r="J96" i="54"/>
  <c r="I96" i="54"/>
  <c r="H96" i="54"/>
  <c r="M95" i="54"/>
  <c r="L95" i="54"/>
  <c r="K95" i="54"/>
  <c r="J95" i="54"/>
  <c r="I95" i="54"/>
  <c r="H95" i="54"/>
  <c r="M94" i="54"/>
  <c r="L94" i="54"/>
  <c r="K94" i="54"/>
  <c r="J94" i="54"/>
  <c r="I94" i="54"/>
  <c r="H94" i="54"/>
  <c r="M93" i="54"/>
  <c r="L93" i="54"/>
  <c r="K93" i="54"/>
  <c r="J93" i="54"/>
  <c r="I93" i="54"/>
  <c r="H93" i="54"/>
  <c r="M92" i="54"/>
  <c r="L92" i="54"/>
  <c r="K92" i="54"/>
  <c r="J92" i="54"/>
  <c r="I92" i="54"/>
  <c r="H92" i="54"/>
  <c r="M73" i="54"/>
  <c r="M90" i="54"/>
  <c r="L73" i="54"/>
  <c r="L90" i="54"/>
  <c r="K73" i="54"/>
  <c r="K90" i="54"/>
  <c r="J73" i="54"/>
  <c r="J90" i="54"/>
  <c r="I73" i="54"/>
  <c r="I90" i="54"/>
  <c r="H73" i="54"/>
  <c r="H90" i="54"/>
  <c r="M87" i="54"/>
  <c r="L87" i="54"/>
  <c r="K87" i="54"/>
  <c r="J87" i="54"/>
  <c r="I87" i="54"/>
  <c r="H87" i="54"/>
  <c r="M59" i="54"/>
  <c r="M75" i="54"/>
  <c r="L59" i="54"/>
  <c r="L75" i="54"/>
  <c r="K59" i="54"/>
  <c r="K75" i="54"/>
  <c r="J59" i="54"/>
  <c r="J75" i="54"/>
  <c r="I59" i="54"/>
  <c r="I75" i="54"/>
  <c r="H59" i="54"/>
  <c r="H75" i="54"/>
  <c r="M54" i="54"/>
  <c r="L54" i="54"/>
  <c r="K54" i="54"/>
  <c r="J54" i="54"/>
  <c r="I54" i="54"/>
  <c r="H54" i="54"/>
  <c r="M20" i="54"/>
  <c r="M33" i="54"/>
  <c r="L20" i="54"/>
  <c r="L33" i="54"/>
  <c r="K20" i="54"/>
  <c r="K33" i="54"/>
  <c r="J20" i="54"/>
  <c r="J33" i="54"/>
  <c r="I20" i="54"/>
  <c r="I33" i="54"/>
  <c r="H20" i="54"/>
  <c r="H33" i="54"/>
  <c r="S27" i="53"/>
  <c r="S168" i="53"/>
  <c r="R27" i="53"/>
  <c r="R168" i="53"/>
  <c r="Q27" i="53"/>
  <c r="Q168" i="53"/>
  <c r="P27" i="53"/>
  <c r="P168" i="53"/>
  <c r="O27" i="53"/>
  <c r="O168" i="53"/>
  <c r="N27" i="53"/>
  <c r="N168" i="53"/>
  <c r="M27" i="53"/>
  <c r="M168" i="53"/>
  <c r="L27" i="53"/>
  <c r="L168" i="53"/>
  <c r="K27" i="53"/>
  <c r="K168" i="53"/>
  <c r="J27" i="53"/>
  <c r="J168" i="53"/>
  <c r="I27" i="53"/>
  <c r="I168" i="53"/>
  <c r="H27" i="53"/>
  <c r="H168" i="53"/>
  <c r="S167" i="53"/>
  <c r="R167" i="53"/>
  <c r="Q167" i="53"/>
  <c r="P167" i="53"/>
  <c r="O167" i="53"/>
  <c r="N167" i="53"/>
  <c r="M167" i="53"/>
  <c r="L167" i="53"/>
  <c r="K167" i="53"/>
  <c r="J167" i="53"/>
  <c r="I167" i="53"/>
  <c r="H167" i="53"/>
  <c r="S166" i="53"/>
  <c r="R166" i="53"/>
  <c r="Q166" i="53"/>
  <c r="P166" i="53"/>
  <c r="O166" i="53"/>
  <c r="N166" i="53"/>
  <c r="M166" i="53"/>
  <c r="L166" i="53"/>
  <c r="K166" i="53"/>
  <c r="J166" i="53"/>
  <c r="I166" i="53"/>
  <c r="H166" i="53"/>
  <c r="S19" i="53"/>
  <c r="S165" i="53"/>
  <c r="R19" i="53"/>
  <c r="R165" i="53"/>
  <c r="Q19" i="53"/>
  <c r="Q165" i="53"/>
  <c r="P19" i="53"/>
  <c r="P165" i="53"/>
  <c r="O19" i="53"/>
  <c r="O165" i="53"/>
  <c r="N19" i="53"/>
  <c r="N165" i="53"/>
  <c r="M19" i="53"/>
  <c r="M165" i="53"/>
  <c r="L19" i="53"/>
  <c r="L165" i="53"/>
  <c r="K19" i="53"/>
  <c r="K165" i="53"/>
  <c r="J19" i="53"/>
  <c r="J165" i="53"/>
  <c r="I19" i="53"/>
  <c r="I165" i="53"/>
  <c r="H19" i="53"/>
  <c r="H165" i="53"/>
  <c r="S10" i="53"/>
  <c r="S164" i="53"/>
  <c r="R10" i="53"/>
  <c r="R164" i="53"/>
  <c r="Q10" i="53"/>
  <c r="Q164" i="53"/>
  <c r="P10" i="53"/>
  <c r="P164" i="53"/>
  <c r="O10" i="53"/>
  <c r="O164" i="53"/>
  <c r="N10" i="53"/>
  <c r="N164" i="53"/>
  <c r="M10" i="53"/>
  <c r="M164" i="53"/>
  <c r="L10" i="53"/>
  <c r="L164" i="53"/>
  <c r="K10" i="53"/>
  <c r="K164" i="53"/>
  <c r="J10" i="53"/>
  <c r="J164" i="53"/>
  <c r="I10" i="53"/>
  <c r="I164" i="53"/>
  <c r="H10" i="53"/>
  <c r="H164" i="53"/>
  <c r="S5" i="53"/>
  <c r="S163" i="53"/>
  <c r="R5" i="53"/>
  <c r="R163" i="53"/>
  <c r="Q5" i="53"/>
  <c r="Q163" i="53"/>
  <c r="P5" i="53"/>
  <c r="P163" i="53"/>
  <c r="O5" i="53"/>
  <c r="O163" i="53"/>
  <c r="N5" i="53"/>
  <c r="N163" i="53"/>
  <c r="M5" i="53"/>
  <c r="M163" i="53"/>
  <c r="L5" i="53"/>
  <c r="L163" i="53"/>
  <c r="K5" i="53"/>
  <c r="K163" i="53"/>
  <c r="J5" i="53"/>
  <c r="J163" i="53"/>
  <c r="I5" i="53"/>
  <c r="I163" i="53"/>
  <c r="H5" i="53"/>
  <c r="H163" i="53"/>
  <c r="S4" i="53"/>
  <c r="S162" i="53"/>
  <c r="R4" i="53"/>
  <c r="R162" i="53"/>
  <c r="Q4" i="53"/>
  <c r="Q162" i="53"/>
  <c r="P4" i="53"/>
  <c r="P162" i="53"/>
  <c r="O4" i="53"/>
  <c r="O162" i="53"/>
  <c r="N4" i="53"/>
  <c r="N162" i="53"/>
  <c r="M4" i="53"/>
  <c r="M162" i="53"/>
  <c r="L4" i="53"/>
  <c r="L162" i="53"/>
  <c r="K4" i="53"/>
  <c r="K162" i="53"/>
  <c r="J4" i="53"/>
  <c r="J162" i="53"/>
  <c r="I4" i="53"/>
  <c r="I162" i="53"/>
  <c r="H4" i="53"/>
  <c r="H162" i="53"/>
  <c r="S33" i="53"/>
  <c r="S38" i="53"/>
  <c r="S41" i="53"/>
  <c r="S46" i="53"/>
  <c r="S48" i="53"/>
  <c r="S51" i="53"/>
  <c r="S161" i="53"/>
  <c r="R33" i="53"/>
  <c r="R38" i="53"/>
  <c r="R41" i="53"/>
  <c r="R46" i="53"/>
  <c r="R48" i="53"/>
  <c r="R51" i="53"/>
  <c r="R161" i="53"/>
  <c r="Q33" i="53"/>
  <c r="Q38" i="53"/>
  <c r="Q41" i="53"/>
  <c r="Q46" i="53"/>
  <c r="Q48" i="53"/>
  <c r="Q51" i="53"/>
  <c r="Q161" i="53"/>
  <c r="P33" i="53"/>
  <c r="P38" i="53"/>
  <c r="P41" i="53"/>
  <c r="P46" i="53"/>
  <c r="P48" i="53"/>
  <c r="P51" i="53"/>
  <c r="P161" i="53"/>
  <c r="O33" i="53"/>
  <c r="O38" i="53"/>
  <c r="O41" i="53"/>
  <c r="O46" i="53"/>
  <c r="O48" i="53"/>
  <c r="O51" i="53"/>
  <c r="O161" i="53"/>
  <c r="N33" i="53"/>
  <c r="N38" i="53"/>
  <c r="N41" i="53"/>
  <c r="N46" i="53"/>
  <c r="N48" i="53"/>
  <c r="N51" i="53"/>
  <c r="N161" i="53"/>
  <c r="M33" i="53"/>
  <c r="M38" i="53"/>
  <c r="M41" i="53"/>
  <c r="M46" i="53"/>
  <c r="M48" i="53"/>
  <c r="M51" i="53"/>
  <c r="M161" i="53"/>
  <c r="L33" i="53"/>
  <c r="L38" i="53"/>
  <c r="L41" i="53"/>
  <c r="L46" i="53"/>
  <c r="L48" i="53"/>
  <c r="L51" i="53"/>
  <c r="L161" i="53"/>
  <c r="K33" i="53"/>
  <c r="K38" i="53"/>
  <c r="K41" i="53"/>
  <c r="K46" i="53"/>
  <c r="K48" i="53"/>
  <c r="K51" i="53"/>
  <c r="K161" i="53"/>
  <c r="J33" i="53"/>
  <c r="J38" i="53"/>
  <c r="J41" i="53"/>
  <c r="J46" i="53"/>
  <c r="J48" i="53"/>
  <c r="J51" i="53"/>
  <c r="J161" i="53"/>
  <c r="I33" i="53"/>
  <c r="I38" i="53"/>
  <c r="I41" i="53"/>
  <c r="I46" i="53"/>
  <c r="I48" i="53"/>
  <c r="I51" i="53"/>
  <c r="I161" i="53"/>
  <c r="H33" i="53"/>
  <c r="H38" i="53"/>
  <c r="H41" i="53"/>
  <c r="H46" i="53"/>
  <c r="H48" i="53"/>
  <c r="H51" i="53"/>
  <c r="H161" i="53"/>
  <c r="S160" i="53"/>
  <c r="R160" i="53"/>
  <c r="Q160" i="53"/>
  <c r="P160" i="53"/>
  <c r="O160" i="53"/>
  <c r="N160" i="53"/>
  <c r="M160" i="53"/>
  <c r="L160" i="53"/>
  <c r="K160" i="53"/>
  <c r="J160" i="53"/>
  <c r="I160" i="53"/>
  <c r="H160" i="53"/>
  <c r="S159" i="53"/>
  <c r="R159" i="53"/>
  <c r="Q159" i="53"/>
  <c r="P159" i="53"/>
  <c r="O159" i="53"/>
  <c r="N159" i="53"/>
  <c r="M159" i="53"/>
  <c r="L159" i="53"/>
  <c r="K159" i="53"/>
  <c r="J159" i="53"/>
  <c r="I159" i="53"/>
  <c r="H159" i="53"/>
  <c r="S158" i="53"/>
  <c r="R158" i="53"/>
  <c r="Q158" i="53"/>
  <c r="P158" i="53"/>
  <c r="O158" i="53"/>
  <c r="N158" i="53"/>
  <c r="M158" i="53"/>
  <c r="L158" i="53"/>
  <c r="K158" i="53"/>
  <c r="J158" i="53"/>
  <c r="I158" i="53"/>
  <c r="H158" i="53"/>
  <c r="S157" i="53"/>
  <c r="R157" i="53"/>
  <c r="Q157" i="53"/>
  <c r="P157" i="53"/>
  <c r="O157" i="53"/>
  <c r="N157" i="53"/>
  <c r="M157" i="53"/>
  <c r="L157" i="53"/>
  <c r="K157" i="53"/>
  <c r="J157" i="53"/>
  <c r="I157" i="53"/>
  <c r="H157" i="53"/>
  <c r="S156" i="53"/>
  <c r="R156" i="53"/>
  <c r="Q156" i="53"/>
  <c r="P156" i="53"/>
  <c r="O156" i="53"/>
  <c r="N156" i="53"/>
  <c r="M156" i="53"/>
  <c r="L156" i="53"/>
  <c r="K156" i="53"/>
  <c r="J156" i="53"/>
  <c r="I156" i="53"/>
  <c r="H156" i="53"/>
  <c r="S155" i="53"/>
  <c r="R155" i="53"/>
  <c r="Q155" i="53"/>
  <c r="P155" i="53"/>
  <c r="O155" i="53"/>
  <c r="N155" i="53"/>
  <c r="M155" i="53"/>
  <c r="L155" i="53"/>
  <c r="K155" i="53"/>
  <c r="J155" i="53"/>
  <c r="I155" i="53"/>
  <c r="H155" i="53"/>
  <c r="S154" i="53"/>
  <c r="R154" i="53"/>
  <c r="Q154" i="53"/>
  <c r="P154" i="53"/>
  <c r="O154" i="53"/>
  <c r="N154" i="53"/>
  <c r="M154" i="53"/>
  <c r="L154" i="53"/>
  <c r="K154" i="53"/>
  <c r="J154" i="53"/>
  <c r="I154" i="53"/>
  <c r="H154" i="53"/>
  <c r="I32" i="53"/>
  <c r="J32" i="53"/>
  <c r="K32" i="53"/>
  <c r="L32" i="53"/>
  <c r="M32" i="53"/>
  <c r="N32" i="53"/>
  <c r="O32" i="53"/>
  <c r="P32" i="53"/>
  <c r="Q32" i="53"/>
  <c r="R32" i="53"/>
  <c r="S32" i="53"/>
  <c r="S105" i="53"/>
  <c r="S117" i="53"/>
  <c r="S133" i="53"/>
  <c r="S140" i="53"/>
  <c r="S145" i="53"/>
  <c r="S153" i="53"/>
  <c r="R105" i="53"/>
  <c r="R117" i="53"/>
  <c r="R133" i="53"/>
  <c r="R140" i="53"/>
  <c r="R145" i="53"/>
  <c r="R153" i="53"/>
  <c r="Q105" i="53"/>
  <c r="Q117" i="53"/>
  <c r="Q133" i="53"/>
  <c r="Q140" i="53"/>
  <c r="Q145" i="53"/>
  <c r="Q153" i="53"/>
  <c r="P105" i="53"/>
  <c r="P117" i="53"/>
  <c r="P133" i="53"/>
  <c r="P140" i="53"/>
  <c r="P145" i="53"/>
  <c r="P153" i="53"/>
  <c r="O105" i="53"/>
  <c r="O117" i="53"/>
  <c r="O133" i="53"/>
  <c r="O140" i="53"/>
  <c r="O145" i="53"/>
  <c r="O153" i="53"/>
  <c r="N105" i="53"/>
  <c r="N117" i="53"/>
  <c r="N133" i="53"/>
  <c r="N140" i="53"/>
  <c r="N145" i="53"/>
  <c r="N153" i="53"/>
  <c r="M105" i="53"/>
  <c r="M117" i="53"/>
  <c r="M133" i="53"/>
  <c r="M140" i="53"/>
  <c r="M145" i="53"/>
  <c r="M153" i="53"/>
  <c r="L105" i="53"/>
  <c r="L117" i="53"/>
  <c r="L133" i="53"/>
  <c r="L140" i="53"/>
  <c r="L145" i="53"/>
  <c r="L153" i="53"/>
  <c r="K105" i="53"/>
  <c r="K117" i="53"/>
  <c r="K133" i="53"/>
  <c r="K140" i="53"/>
  <c r="K145" i="53"/>
  <c r="K153" i="53"/>
  <c r="J105" i="53"/>
  <c r="J117" i="53"/>
  <c r="J133" i="53"/>
  <c r="J140" i="53"/>
  <c r="J145" i="53"/>
  <c r="J153" i="53"/>
  <c r="I105" i="53"/>
  <c r="I117" i="53"/>
  <c r="I133" i="53"/>
  <c r="I140" i="53"/>
  <c r="I145" i="53"/>
  <c r="I153" i="53"/>
  <c r="H105" i="53"/>
  <c r="H117" i="53"/>
  <c r="H133" i="53"/>
  <c r="H140" i="53"/>
  <c r="H145" i="53"/>
  <c r="H153" i="53"/>
  <c r="S141" i="53"/>
  <c r="S151" i="53"/>
  <c r="R141" i="53"/>
  <c r="R151" i="53"/>
  <c r="Q141" i="53"/>
  <c r="Q151" i="53"/>
  <c r="P141" i="53"/>
  <c r="P151" i="53"/>
  <c r="O141" i="53"/>
  <c r="O151" i="53"/>
  <c r="N141" i="53"/>
  <c r="N151" i="53"/>
  <c r="M141" i="53"/>
  <c r="M151" i="53"/>
  <c r="L141" i="53"/>
  <c r="L151" i="53"/>
  <c r="K141" i="53"/>
  <c r="K151" i="53"/>
  <c r="J141" i="53"/>
  <c r="J151" i="53"/>
  <c r="I141" i="53"/>
  <c r="I151" i="53"/>
  <c r="H141" i="53"/>
  <c r="H151" i="53"/>
  <c r="S150" i="53"/>
  <c r="R150" i="53"/>
  <c r="Q150" i="53"/>
  <c r="P150" i="53"/>
  <c r="O150" i="53"/>
  <c r="N150" i="53"/>
  <c r="M150" i="53"/>
  <c r="L150" i="53"/>
  <c r="K150" i="53"/>
  <c r="J150" i="53"/>
  <c r="I150" i="53"/>
  <c r="H150" i="53"/>
  <c r="S149" i="53"/>
  <c r="R149" i="53"/>
  <c r="Q149" i="53"/>
  <c r="P149" i="53"/>
  <c r="O149" i="53"/>
  <c r="N149" i="53"/>
  <c r="M149" i="53"/>
  <c r="L149" i="53"/>
  <c r="K149" i="53"/>
  <c r="J149" i="53"/>
  <c r="I149" i="53"/>
  <c r="H149" i="53"/>
  <c r="S148" i="53"/>
  <c r="R148" i="53"/>
  <c r="Q148" i="53"/>
  <c r="P148" i="53"/>
  <c r="O148" i="53"/>
  <c r="N148" i="53"/>
  <c r="M148" i="53"/>
  <c r="L148" i="53"/>
  <c r="K148" i="53"/>
  <c r="J148" i="53"/>
  <c r="I148" i="53"/>
  <c r="H148" i="53"/>
  <c r="S147" i="53"/>
  <c r="R147" i="53"/>
  <c r="Q147" i="53"/>
  <c r="P147" i="53"/>
  <c r="O147" i="53"/>
  <c r="N147" i="53"/>
  <c r="M147" i="53"/>
  <c r="L147" i="53"/>
  <c r="K147" i="53"/>
  <c r="J147" i="53"/>
  <c r="I147" i="53"/>
  <c r="H147" i="53"/>
  <c r="S146" i="53"/>
  <c r="R146" i="53"/>
  <c r="Q146" i="53"/>
  <c r="P146" i="53"/>
  <c r="O146" i="53"/>
  <c r="N146" i="53"/>
  <c r="M146" i="53"/>
  <c r="L146" i="53"/>
  <c r="K146" i="53"/>
  <c r="J146" i="53"/>
  <c r="I146" i="53"/>
  <c r="H146" i="53"/>
  <c r="S143" i="53"/>
  <c r="R143" i="53"/>
  <c r="Q143" i="53"/>
  <c r="P143" i="53"/>
  <c r="O143" i="53"/>
  <c r="N143" i="53"/>
  <c r="M143" i="53"/>
  <c r="L143" i="53"/>
  <c r="K143" i="53"/>
  <c r="J143" i="53"/>
  <c r="I143" i="53"/>
  <c r="H143" i="53"/>
  <c r="S142" i="53"/>
  <c r="R142" i="53"/>
  <c r="Q142" i="53"/>
  <c r="P142" i="53"/>
  <c r="O142" i="53"/>
  <c r="N142" i="53"/>
  <c r="M142" i="53"/>
  <c r="L142" i="53"/>
  <c r="K142" i="53"/>
  <c r="J142" i="53"/>
  <c r="I142" i="53"/>
  <c r="H142" i="53"/>
  <c r="S138" i="53"/>
  <c r="R138" i="53"/>
  <c r="Q138" i="53"/>
  <c r="P138" i="53"/>
  <c r="O138" i="53"/>
  <c r="N138" i="53"/>
  <c r="M138" i="53"/>
  <c r="L138" i="53"/>
  <c r="K138" i="53"/>
  <c r="J138" i="53"/>
  <c r="I138" i="53"/>
  <c r="H138" i="53"/>
  <c r="E138" i="53"/>
  <c r="S137" i="53"/>
  <c r="R137" i="53"/>
  <c r="Q137" i="53"/>
  <c r="P137" i="53"/>
  <c r="O137" i="53"/>
  <c r="N137" i="53"/>
  <c r="M137" i="53"/>
  <c r="L137" i="53"/>
  <c r="K137" i="53"/>
  <c r="J137" i="53"/>
  <c r="I137" i="53"/>
  <c r="H137" i="53"/>
  <c r="S136" i="53"/>
  <c r="R136" i="53"/>
  <c r="Q136" i="53"/>
  <c r="P136" i="53"/>
  <c r="O136" i="53"/>
  <c r="N136" i="53"/>
  <c r="M136" i="53"/>
  <c r="L136" i="53"/>
  <c r="K136" i="53"/>
  <c r="J136" i="53"/>
  <c r="I136" i="53"/>
  <c r="H136" i="53"/>
  <c r="S135" i="53"/>
  <c r="R135" i="53"/>
  <c r="Q135" i="53"/>
  <c r="P135" i="53"/>
  <c r="O135" i="53"/>
  <c r="N135" i="53"/>
  <c r="M135" i="53"/>
  <c r="L135" i="53"/>
  <c r="K135" i="53"/>
  <c r="J135" i="53"/>
  <c r="I135" i="53"/>
  <c r="H135" i="53"/>
  <c r="S134" i="53"/>
  <c r="R134" i="53"/>
  <c r="Q134" i="53"/>
  <c r="P134" i="53"/>
  <c r="O134" i="53"/>
  <c r="N134" i="53"/>
  <c r="M134" i="53"/>
  <c r="L134" i="53"/>
  <c r="K134" i="53"/>
  <c r="J134" i="53"/>
  <c r="I134" i="53"/>
  <c r="H134" i="53"/>
  <c r="S131" i="53"/>
  <c r="R131" i="53"/>
  <c r="Q131" i="53"/>
  <c r="P131" i="53"/>
  <c r="O131" i="53"/>
  <c r="N131" i="53"/>
  <c r="M131" i="53"/>
  <c r="L131" i="53"/>
  <c r="K131" i="53"/>
  <c r="J131" i="53"/>
  <c r="I131" i="53"/>
  <c r="H131" i="53"/>
  <c r="S130" i="53"/>
  <c r="R130" i="53"/>
  <c r="Q130" i="53"/>
  <c r="P130" i="53"/>
  <c r="O130" i="53"/>
  <c r="N130" i="53"/>
  <c r="M130" i="53"/>
  <c r="L130" i="53"/>
  <c r="K130" i="53"/>
  <c r="J130" i="53"/>
  <c r="I130" i="53"/>
  <c r="H130" i="53"/>
  <c r="S129" i="53"/>
  <c r="R129" i="53"/>
  <c r="Q129" i="53"/>
  <c r="P129" i="53"/>
  <c r="O129" i="53"/>
  <c r="N129" i="53"/>
  <c r="M129" i="53"/>
  <c r="L129" i="53"/>
  <c r="K129" i="53"/>
  <c r="J129" i="53"/>
  <c r="I129" i="53"/>
  <c r="H129" i="53"/>
  <c r="S127" i="53"/>
  <c r="R127" i="53"/>
  <c r="Q127" i="53"/>
  <c r="P127" i="53"/>
  <c r="O127" i="53"/>
  <c r="N127" i="53"/>
  <c r="M127" i="53"/>
  <c r="L127" i="53"/>
  <c r="K127" i="53"/>
  <c r="J127" i="53"/>
  <c r="I127" i="53"/>
  <c r="H127" i="53"/>
  <c r="S126" i="53"/>
  <c r="R126" i="53"/>
  <c r="Q126" i="53"/>
  <c r="P126" i="53"/>
  <c r="O126" i="53"/>
  <c r="N126" i="53"/>
  <c r="M126" i="53"/>
  <c r="L126" i="53"/>
  <c r="K126" i="53"/>
  <c r="J126" i="53"/>
  <c r="I126" i="53"/>
  <c r="H126" i="53"/>
  <c r="S125" i="53"/>
  <c r="R125" i="53"/>
  <c r="Q125" i="53"/>
  <c r="P125" i="53"/>
  <c r="O125" i="53"/>
  <c r="N125" i="53"/>
  <c r="M125" i="53"/>
  <c r="L125" i="53"/>
  <c r="K125" i="53"/>
  <c r="J125" i="53"/>
  <c r="I125" i="53"/>
  <c r="H125" i="53"/>
  <c r="S110" i="53"/>
  <c r="S123" i="53"/>
  <c r="S124" i="53"/>
  <c r="R110" i="53"/>
  <c r="R123" i="53"/>
  <c r="R124" i="53"/>
  <c r="Q110" i="53"/>
  <c r="Q123" i="53"/>
  <c r="Q124" i="53"/>
  <c r="P110" i="53"/>
  <c r="P123" i="53"/>
  <c r="P124" i="53"/>
  <c r="O110" i="53"/>
  <c r="O123" i="53"/>
  <c r="O124" i="53"/>
  <c r="N110" i="53"/>
  <c r="N123" i="53"/>
  <c r="N124" i="53"/>
  <c r="M110" i="53"/>
  <c r="M123" i="53"/>
  <c r="M124" i="53"/>
  <c r="L110" i="53"/>
  <c r="L123" i="53"/>
  <c r="L124" i="53"/>
  <c r="K110" i="53"/>
  <c r="K123" i="53"/>
  <c r="K124" i="53"/>
  <c r="J110" i="53"/>
  <c r="J123" i="53"/>
  <c r="J124" i="53"/>
  <c r="I110" i="53"/>
  <c r="I123" i="53"/>
  <c r="I124" i="53"/>
  <c r="H110" i="53"/>
  <c r="H123" i="53"/>
  <c r="H124" i="53"/>
  <c r="S119" i="53"/>
  <c r="S118" i="53"/>
  <c r="S120" i="53"/>
  <c r="S122" i="53"/>
  <c r="R119" i="53"/>
  <c r="R118" i="53"/>
  <c r="R120" i="53"/>
  <c r="R122" i="53"/>
  <c r="Q119" i="53"/>
  <c r="Q118" i="53"/>
  <c r="Q120" i="53"/>
  <c r="Q122" i="53"/>
  <c r="P119" i="53"/>
  <c r="P118" i="53"/>
  <c r="P120" i="53"/>
  <c r="P122" i="53"/>
  <c r="O119" i="53"/>
  <c r="O118" i="53"/>
  <c r="O120" i="53"/>
  <c r="O122" i="53"/>
  <c r="N119" i="53"/>
  <c r="N118" i="53"/>
  <c r="N120" i="53"/>
  <c r="N122" i="53"/>
  <c r="M119" i="53"/>
  <c r="M118" i="53"/>
  <c r="M120" i="53"/>
  <c r="M122" i="53"/>
  <c r="L119" i="53"/>
  <c r="L118" i="53"/>
  <c r="L120" i="53"/>
  <c r="L122" i="53"/>
  <c r="K119" i="53"/>
  <c r="K118" i="53"/>
  <c r="K120" i="53"/>
  <c r="K122" i="53"/>
  <c r="J119" i="53"/>
  <c r="J118" i="53"/>
  <c r="J120" i="53"/>
  <c r="J122" i="53"/>
  <c r="I119" i="53"/>
  <c r="I118" i="53"/>
  <c r="I120" i="53"/>
  <c r="I122" i="53"/>
  <c r="H119" i="53"/>
  <c r="H118" i="53"/>
  <c r="H120" i="53"/>
  <c r="H122" i="53"/>
  <c r="S121" i="53"/>
  <c r="R121" i="53"/>
  <c r="Q121" i="53"/>
  <c r="P121" i="53"/>
  <c r="O121" i="53"/>
  <c r="N121" i="53"/>
  <c r="M121" i="53"/>
  <c r="L121" i="53"/>
  <c r="K121" i="53"/>
  <c r="J121" i="53"/>
  <c r="I121" i="53"/>
  <c r="H121" i="53"/>
  <c r="S115" i="53"/>
  <c r="R115" i="53"/>
  <c r="Q115" i="53"/>
  <c r="P115" i="53"/>
  <c r="O115" i="53"/>
  <c r="N115" i="53"/>
  <c r="M115" i="53"/>
  <c r="L115" i="53"/>
  <c r="K115" i="53"/>
  <c r="J115" i="53"/>
  <c r="I115" i="53"/>
  <c r="H115" i="53"/>
  <c r="S114" i="53"/>
  <c r="R114" i="53"/>
  <c r="Q114" i="53"/>
  <c r="P114" i="53"/>
  <c r="O114" i="53"/>
  <c r="N114" i="53"/>
  <c r="M114" i="53"/>
  <c r="L114" i="53"/>
  <c r="K114" i="53"/>
  <c r="J114" i="53"/>
  <c r="I114" i="53"/>
  <c r="H114" i="53"/>
  <c r="S113" i="53"/>
  <c r="R113" i="53"/>
  <c r="Q113" i="53"/>
  <c r="P113" i="53"/>
  <c r="O113" i="53"/>
  <c r="N113" i="53"/>
  <c r="M113" i="53"/>
  <c r="L113" i="53"/>
  <c r="K113" i="53"/>
  <c r="J113" i="53"/>
  <c r="I113" i="53"/>
  <c r="H113" i="53"/>
  <c r="S112" i="53"/>
  <c r="R112" i="53"/>
  <c r="Q112" i="53"/>
  <c r="P112" i="53"/>
  <c r="O112" i="53"/>
  <c r="N112" i="53"/>
  <c r="M112" i="53"/>
  <c r="L112" i="53"/>
  <c r="K112" i="53"/>
  <c r="J112" i="53"/>
  <c r="I112" i="53"/>
  <c r="H112" i="53"/>
  <c r="S111" i="53"/>
  <c r="R111" i="53"/>
  <c r="Q111" i="53"/>
  <c r="P111" i="53"/>
  <c r="O111" i="53"/>
  <c r="N111" i="53"/>
  <c r="M111" i="53"/>
  <c r="L111" i="53"/>
  <c r="K111" i="53"/>
  <c r="J111" i="53"/>
  <c r="I111" i="53"/>
  <c r="H111" i="53"/>
  <c r="S109" i="53"/>
  <c r="R109" i="53"/>
  <c r="Q109" i="53"/>
  <c r="P109" i="53"/>
  <c r="O109" i="53"/>
  <c r="N109" i="53"/>
  <c r="M109" i="53"/>
  <c r="L109" i="53"/>
  <c r="K109" i="53"/>
  <c r="J109" i="53"/>
  <c r="I109" i="53"/>
  <c r="H109" i="53"/>
  <c r="S93" i="53"/>
  <c r="R93" i="53"/>
  <c r="S94" i="53"/>
  <c r="S95" i="53"/>
  <c r="R95" i="53"/>
  <c r="S96" i="53"/>
  <c r="S97" i="53"/>
  <c r="S106" i="53"/>
  <c r="S107" i="53"/>
  <c r="Q93" i="53"/>
  <c r="R94" i="53"/>
  <c r="Q95" i="53"/>
  <c r="R96" i="53"/>
  <c r="R97" i="53"/>
  <c r="R106" i="53"/>
  <c r="R107" i="53"/>
  <c r="P93" i="53"/>
  <c r="Q94" i="53"/>
  <c r="P95" i="53"/>
  <c r="Q96" i="53"/>
  <c r="Q97" i="53"/>
  <c r="Q106" i="53"/>
  <c r="Q107" i="53"/>
  <c r="O93" i="53"/>
  <c r="P94" i="53"/>
  <c r="O95" i="53"/>
  <c r="P96" i="53"/>
  <c r="P97" i="53"/>
  <c r="P106" i="53"/>
  <c r="P107" i="53"/>
  <c r="N93" i="53"/>
  <c r="O94" i="53"/>
  <c r="N95" i="53"/>
  <c r="O96" i="53"/>
  <c r="O97" i="53"/>
  <c r="O106" i="53"/>
  <c r="O107" i="53"/>
  <c r="M93" i="53"/>
  <c r="N94" i="53"/>
  <c r="M95" i="53"/>
  <c r="N96" i="53"/>
  <c r="N97" i="53"/>
  <c r="N106" i="53"/>
  <c r="N107" i="53"/>
  <c r="L93" i="53"/>
  <c r="M94" i="53"/>
  <c r="L95" i="53"/>
  <c r="M96" i="53"/>
  <c r="M97" i="53"/>
  <c r="M106" i="53"/>
  <c r="M107" i="53"/>
  <c r="K93" i="53"/>
  <c r="L94" i="53"/>
  <c r="K95" i="53"/>
  <c r="L96" i="53"/>
  <c r="L97" i="53"/>
  <c r="L106" i="53"/>
  <c r="L107" i="53"/>
  <c r="J93" i="53"/>
  <c r="K94" i="53"/>
  <c r="J95" i="53"/>
  <c r="K96" i="53"/>
  <c r="K97" i="53"/>
  <c r="K106" i="53"/>
  <c r="K107" i="53"/>
  <c r="I93" i="53"/>
  <c r="J94" i="53"/>
  <c r="I95" i="53"/>
  <c r="J96" i="53"/>
  <c r="J97" i="53"/>
  <c r="J106" i="53"/>
  <c r="J107" i="53"/>
  <c r="H93" i="53"/>
  <c r="I94" i="53"/>
  <c r="H95" i="53"/>
  <c r="I96" i="53"/>
  <c r="I97" i="53"/>
  <c r="I106" i="53"/>
  <c r="I107" i="53"/>
  <c r="S101" i="53"/>
  <c r="R101" i="53"/>
  <c r="S102" i="53"/>
  <c r="S99" i="53"/>
  <c r="R99" i="53"/>
  <c r="S100" i="53"/>
  <c r="S103" i="53"/>
  <c r="Q101" i="53"/>
  <c r="R102" i="53"/>
  <c r="Q99" i="53"/>
  <c r="R100" i="53"/>
  <c r="R103" i="53"/>
  <c r="P101" i="53"/>
  <c r="Q102" i="53"/>
  <c r="P99" i="53"/>
  <c r="Q100" i="53"/>
  <c r="Q103" i="53"/>
  <c r="O101" i="53"/>
  <c r="P102" i="53"/>
  <c r="O99" i="53"/>
  <c r="P100" i="53"/>
  <c r="P103" i="53"/>
  <c r="N101" i="53"/>
  <c r="O102" i="53"/>
  <c r="N99" i="53"/>
  <c r="O100" i="53"/>
  <c r="O103" i="53"/>
  <c r="M101" i="53"/>
  <c r="N102" i="53"/>
  <c r="M99" i="53"/>
  <c r="N100" i="53"/>
  <c r="N103" i="53"/>
  <c r="L101" i="53"/>
  <c r="M102" i="53"/>
  <c r="L99" i="53"/>
  <c r="M100" i="53"/>
  <c r="M103" i="53"/>
  <c r="K101" i="53"/>
  <c r="L102" i="53"/>
  <c r="K99" i="53"/>
  <c r="L100" i="53"/>
  <c r="L103" i="53"/>
  <c r="J101" i="53"/>
  <c r="K102" i="53"/>
  <c r="J99" i="53"/>
  <c r="K100" i="53"/>
  <c r="K103" i="53"/>
  <c r="I101" i="53"/>
  <c r="J102" i="53"/>
  <c r="I99" i="53"/>
  <c r="J100" i="53"/>
  <c r="J103" i="53"/>
  <c r="H101" i="53"/>
  <c r="I102" i="53"/>
  <c r="H99" i="53"/>
  <c r="I100" i="53"/>
  <c r="I103" i="53"/>
  <c r="S57" i="53"/>
  <c r="S73" i="53"/>
  <c r="S92" i="53"/>
  <c r="R57" i="53"/>
  <c r="R73" i="53"/>
  <c r="R92" i="53"/>
  <c r="Q57" i="53"/>
  <c r="Q73" i="53"/>
  <c r="Q92" i="53"/>
  <c r="P57" i="53"/>
  <c r="P73" i="53"/>
  <c r="P92" i="53"/>
  <c r="O57" i="53"/>
  <c r="O73" i="53"/>
  <c r="O92" i="53"/>
  <c r="N57" i="53"/>
  <c r="N73" i="53"/>
  <c r="N92" i="53"/>
  <c r="M57" i="53"/>
  <c r="M73" i="53"/>
  <c r="M92" i="53"/>
  <c r="L57" i="53"/>
  <c r="L73" i="53"/>
  <c r="L92" i="53"/>
  <c r="K57" i="53"/>
  <c r="K73" i="53"/>
  <c r="K92" i="53"/>
  <c r="J57" i="53"/>
  <c r="J73" i="53"/>
  <c r="J92" i="53"/>
  <c r="I57" i="53"/>
  <c r="I73" i="53"/>
  <c r="I92" i="53"/>
  <c r="H57" i="53"/>
  <c r="H73" i="53"/>
  <c r="H92" i="53"/>
  <c r="L90" i="53"/>
  <c r="L87" i="53"/>
  <c r="L91" i="53"/>
  <c r="S90" i="53"/>
  <c r="R90" i="53"/>
  <c r="Q90" i="53"/>
  <c r="P90" i="53"/>
  <c r="O90" i="53"/>
  <c r="N90" i="53"/>
  <c r="M90" i="53"/>
  <c r="K90" i="53"/>
  <c r="J90" i="53"/>
  <c r="I90" i="53"/>
  <c r="S89" i="53"/>
  <c r="R89" i="53"/>
  <c r="Q89" i="53"/>
  <c r="P89" i="53"/>
  <c r="O89" i="53"/>
  <c r="N89" i="53"/>
  <c r="M89" i="53"/>
  <c r="L89" i="53"/>
  <c r="K89" i="53"/>
  <c r="J89" i="53"/>
  <c r="I89" i="53"/>
  <c r="S88" i="53"/>
  <c r="R88" i="53"/>
  <c r="Q88" i="53"/>
  <c r="P88" i="53"/>
  <c r="O88" i="53"/>
  <c r="N88" i="53"/>
  <c r="M88" i="53"/>
  <c r="L88" i="53"/>
  <c r="K88" i="53"/>
  <c r="J88" i="53"/>
  <c r="I88" i="53"/>
  <c r="S87" i="53"/>
  <c r="R87" i="53"/>
  <c r="Q87" i="53"/>
  <c r="P87" i="53"/>
  <c r="O87" i="53"/>
  <c r="N87" i="53"/>
  <c r="M87" i="53"/>
  <c r="K87" i="53"/>
  <c r="J87" i="53"/>
  <c r="I87" i="53"/>
  <c r="S86" i="53"/>
  <c r="R86" i="53"/>
  <c r="Q86" i="53"/>
  <c r="P86" i="53"/>
  <c r="O86" i="53"/>
  <c r="N86" i="53"/>
  <c r="M86" i="53"/>
  <c r="L86" i="53"/>
  <c r="K86" i="53"/>
  <c r="J86" i="53"/>
  <c r="I86" i="53"/>
  <c r="H86" i="53"/>
  <c r="S71" i="53"/>
  <c r="R71" i="53"/>
  <c r="Q71" i="53"/>
  <c r="P71" i="53"/>
  <c r="O71" i="53"/>
  <c r="N71" i="53"/>
  <c r="M71" i="53"/>
  <c r="L71" i="53"/>
  <c r="K71" i="53"/>
  <c r="J71" i="53"/>
  <c r="I71" i="53"/>
  <c r="H71" i="53"/>
  <c r="S52" i="53"/>
  <c r="R52" i="53"/>
  <c r="Q52" i="53"/>
  <c r="P52" i="53"/>
  <c r="O52" i="53"/>
  <c r="N52" i="53"/>
  <c r="M52" i="53"/>
  <c r="L52" i="53"/>
  <c r="K52" i="53"/>
  <c r="J52" i="53"/>
  <c r="I52" i="53"/>
  <c r="H52" i="53"/>
  <c r="S18" i="53"/>
  <c r="S31" i="53"/>
  <c r="R18" i="53"/>
  <c r="R31" i="53"/>
  <c r="Q18" i="53"/>
  <c r="Q31" i="53"/>
  <c r="P18" i="53"/>
  <c r="P31" i="53"/>
  <c r="O18" i="53"/>
  <c r="O31" i="53"/>
  <c r="N18" i="53"/>
  <c r="N31" i="53"/>
  <c r="M18" i="53"/>
  <c r="M31" i="53"/>
  <c r="L18" i="53"/>
  <c r="L31" i="53"/>
  <c r="K18" i="53"/>
  <c r="K31" i="53"/>
  <c r="J18" i="53"/>
  <c r="J31" i="53"/>
  <c r="I18" i="53"/>
  <c r="I31" i="53"/>
  <c r="H18" i="53"/>
  <c r="H31" i="53"/>
  <c r="S27" i="52"/>
  <c r="S142" i="52"/>
  <c r="R27" i="52"/>
  <c r="R142" i="52"/>
  <c r="Q27" i="52"/>
  <c r="Q142" i="52"/>
  <c r="P27" i="52"/>
  <c r="P142" i="52"/>
  <c r="O27" i="52"/>
  <c r="O142" i="52"/>
  <c r="N27" i="52"/>
  <c r="N142" i="52"/>
  <c r="M27" i="52"/>
  <c r="M142" i="52"/>
  <c r="L27" i="52"/>
  <c r="L142" i="52"/>
  <c r="K27" i="52"/>
  <c r="K142" i="52"/>
  <c r="J27" i="52"/>
  <c r="J142" i="52"/>
  <c r="I27" i="52"/>
  <c r="I142" i="52"/>
  <c r="H27" i="52"/>
  <c r="H142" i="52"/>
  <c r="S141" i="52"/>
  <c r="R141" i="52"/>
  <c r="Q141" i="52"/>
  <c r="P141" i="52"/>
  <c r="O141" i="52"/>
  <c r="N141" i="52"/>
  <c r="M141" i="52"/>
  <c r="L141" i="52"/>
  <c r="K141" i="52"/>
  <c r="J141" i="52"/>
  <c r="I141" i="52"/>
  <c r="H141" i="52"/>
  <c r="S140" i="52"/>
  <c r="R140" i="52"/>
  <c r="Q140" i="52"/>
  <c r="P140" i="52"/>
  <c r="O140" i="52"/>
  <c r="N140" i="52"/>
  <c r="M140" i="52"/>
  <c r="L140" i="52"/>
  <c r="K140" i="52"/>
  <c r="J140" i="52"/>
  <c r="I140" i="52"/>
  <c r="H140" i="52"/>
  <c r="S21" i="52"/>
  <c r="S23" i="52"/>
  <c r="S19" i="52"/>
  <c r="S139" i="52"/>
  <c r="R21" i="52"/>
  <c r="R23" i="52"/>
  <c r="R19" i="52"/>
  <c r="R139" i="52"/>
  <c r="Q21" i="52"/>
  <c r="Q19" i="52"/>
  <c r="Q139" i="52"/>
  <c r="P21" i="52"/>
  <c r="P19" i="52"/>
  <c r="P139" i="52"/>
  <c r="O21" i="52"/>
  <c r="O19" i="52"/>
  <c r="O139" i="52"/>
  <c r="N19" i="52"/>
  <c r="N139" i="52"/>
  <c r="M19" i="52"/>
  <c r="M139" i="52"/>
  <c r="L19" i="52"/>
  <c r="L139" i="52"/>
  <c r="K19" i="52"/>
  <c r="K139" i="52"/>
  <c r="J19" i="52"/>
  <c r="J139" i="52"/>
  <c r="I19" i="52"/>
  <c r="I139" i="52"/>
  <c r="H19" i="52"/>
  <c r="H139" i="52"/>
  <c r="S10" i="52"/>
  <c r="S138" i="52"/>
  <c r="R10" i="52"/>
  <c r="R138" i="52"/>
  <c r="Q10" i="52"/>
  <c r="Q138" i="52"/>
  <c r="P10" i="52"/>
  <c r="P138" i="52"/>
  <c r="O10" i="52"/>
  <c r="O138" i="52"/>
  <c r="N10" i="52"/>
  <c r="N138" i="52"/>
  <c r="M10" i="52"/>
  <c r="M138" i="52"/>
  <c r="L10" i="52"/>
  <c r="L138" i="52"/>
  <c r="K10" i="52"/>
  <c r="K138" i="52"/>
  <c r="J10" i="52"/>
  <c r="J138" i="52"/>
  <c r="I10" i="52"/>
  <c r="I138" i="52"/>
  <c r="H10" i="52"/>
  <c r="H138" i="52"/>
  <c r="S7" i="52"/>
  <c r="S5" i="52"/>
  <c r="S137" i="52"/>
  <c r="R7" i="52"/>
  <c r="R5" i="52"/>
  <c r="R137" i="52"/>
  <c r="Q7" i="52"/>
  <c r="Q5" i="52"/>
  <c r="Q137" i="52"/>
  <c r="P7" i="52"/>
  <c r="P5" i="52"/>
  <c r="P137" i="52"/>
  <c r="O7" i="52"/>
  <c r="O5" i="52"/>
  <c r="O137" i="52"/>
  <c r="N5" i="52"/>
  <c r="N137" i="52"/>
  <c r="M5" i="52"/>
  <c r="M137" i="52"/>
  <c r="L5" i="52"/>
  <c r="L137" i="52"/>
  <c r="K5" i="52"/>
  <c r="K137" i="52"/>
  <c r="J5" i="52"/>
  <c r="J137" i="52"/>
  <c r="I5" i="52"/>
  <c r="I137" i="52"/>
  <c r="H5" i="52"/>
  <c r="H137" i="52"/>
  <c r="S4" i="52"/>
  <c r="S136" i="52"/>
  <c r="R4" i="52"/>
  <c r="R136" i="52"/>
  <c r="Q4" i="52"/>
  <c r="Q136" i="52"/>
  <c r="P4" i="52"/>
  <c r="P136" i="52"/>
  <c r="O4" i="52"/>
  <c r="O136" i="52"/>
  <c r="N4" i="52"/>
  <c r="N136" i="52"/>
  <c r="M4" i="52"/>
  <c r="M136" i="52"/>
  <c r="L4" i="52"/>
  <c r="L136" i="52"/>
  <c r="K4" i="52"/>
  <c r="K136" i="52"/>
  <c r="J4" i="52"/>
  <c r="J136" i="52"/>
  <c r="I4" i="52"/>
  <c r="I136" i="52"/>
  <c r="H4" i="52"/>
  <c r="H136" i="52"/>
  <c r="S33" i="52"/>
  <c r="S38" i="52"/>
  <c r="S41" i="52"/>
  <c r="S46" i="52"/>
  <c r="S48" i="52"/>
  <c r="S51" i="52"/>
  <c r="S135" i="52"/>
  <c r="R33" i="52"/>
  <c r="R38" i="52"/>
  <c r="R41" i="52"/>
  <c r="R46" i="52"/>
  <c r="R48" i="52"/>
  <c r="R51" i="52"/>
  <c r="R135" i="52"/>
  <c r="Q33" i="52"/>
  <c r="Q38" i="52"/>
  <c r="Q41" i="52"/>
  <c r="Q46" i="52"/>
  <c r="Q48" i="52"/>
  <c r="Q51" i="52"/>
  <c r="Q135" i="52"/>
  <c r="P33" i="52"/>
  <c r="P38" i="52"/>
  <c r="P41" i="52"/>
  <c r="P46" i="52"/>
  <c r="P48" i="52"/>
  <c r="P51" i="52"/>
  <c r="P135" i="52"/>
  <c r="O33" i="52"/>
  <c r="O38" i="52"/>
  <c r="O41" i="52"/>
  <c r="O46" i="52"/>
  <c r="O48" i="52"/>
  <c r="O51" i="52"/>
  <c r="O135" i="52"/>
  <c r="N37" i="52"/>
  <c r="N33" i="52"/>
  <c r="N38" i="52"/>
  <c r="N44" i="52"/>
  <c r="N41" i="52"/>
  <c r="N46" i="52"/>
  <c r="N47" i="52"/>
  <c r="N48" i="52"/>
  <c r="N51" i="52"/>
  <c r="N135" i="52"/>
  <c r="M33" i="52"/>
  <c r="M38" i="52"/>
  <c r="M42" i="52"/>
  <c r="M44" i="52"/>
  <c r="M41" i="52"/>
  <c r="M46" i="52"/>
  <c r="M47" i="52"/>
  <c r="M48" i="52"/>
  <c r="M51" i="52"/>
  <c r="M135" i="52"/>
  <c r="L33" i="52"/>
  <c r="L38" i="52"/>
  <c r="L41" i="52"/>
  <c r="L46" i="52"/>
  <c r="L48" i="52"/>
  <c r="L51" i="52"/>
  <c r="L135" i="52"/>
  <c r="K33" i="52"/>
  <c r="K38" i="52"/>
  <c r="K44" i="52"/>
  <c r="K41" i="52"/>
  <c r="K46" i="52"/>
  <c r="K48" i="52"/>
  <c r="K51" i="52"/>
  <c r="K135" i="52"/>
  <c r="J33" i="52"/>
  <c r="J38" i="52"/>
  <c r="J43" i="52"/>
  <c r="J44" i="52"/>
  <c r="J41" i="52"/>
  <c r="J46" i="52"/>
  <c r="J48" i="52"/>
  <c r="J51" i="52"/>
  <c r="J135" i="52"/>
  <c r="I33" i="52"/>
  <c r="I38" i="52"/>
  <c r="I44" i="52"/>
  <c r="I41" i="52"/>
  <c r="I46" i="52"/>
  <c r="I48" i="52"/>
  <c r="I51" i="52"/>
  <c r="I135" i="52"/>
  <c r="H33" i="52"/>
  <c r="H38" i="52"/>
  <c r="H44" i="52"/>
  <c r="H41" i="52"/>
  <c r="H46" i="52"/>
  <c r="H48" i="52"/>
  <c r="H51" i="52"/>
  <c r="H135" i="52"/>
  <c r="S134" i="52"/>
  <c r="R134" i="52"/>
  <c r="Q134" i="52"/>
  <c r="P134" i="52"/>
  <c r="O134" i="52"/>
  <c r="N134" i="52"/>
  <c r="M134" i="52"/>
  <c r="L134" i="52"/>
  <c r="K134" i="52"/>
  <c r="J134" i="52"/>
  <c r="I134" i="52"/>
  <c r="H134" i="52"/>
  <c r="S133" i="52"/>
  <c r="R133" i="52"/>
  <c r="Q133" i="52"/>
  <c r="P133" i="52"/>
  <c r="O133" i="52"/>
  <c r="N133" i="52"/>
  <c r="M133" i="52"/>
  <c r="L133" i="52"/>
  <c r="K133" i="52"/>
  <c r="J133" i="52"/>
  <c r="I133" i="52"/>
  <c r="H133" i="52"/>
  <c r="S132" i="52"/>
  <c r="R132" i="52"/>
  <c r="Q132" i="52"/>
  <c r="P132" i="52"/>
  <c r="O132" i="52"/>
  <c r="N132" i="52"/>
  <c r="M132" i="52"/>
  <c r="L132" i="52"/>
  <c r="K132" i="52"/>
  <c r="J132" i="52"/>
  <c r="I132" i="52"/>
  <c r="H132" i="52"/>
  <c r="S131" i="52"/>
  <c r="R131" i="52"/>
  <c r="Q131" i="52"/>
  <c r="P131" i="52"/>
  <c r="O131" i="52"/>
  <c r="N131" i="52"/>
  <c r="M131" i="52"/>
  <c r="L131" i="52"/>
  <c r="K131" i="52"/>
  <c r="J131" i="52"/>
  <c r="I131" i="52"/>
  <c r="H131" i="52"/>
  <c r="S130" i="52"/>
  <c r="R130" i="52"/>
  <c r="Q130" i="52"/>
  <c r="P130" i="52"/>
  <c r="O130" i="52"/>
  <c r="N130" i="52"/>
  <c r="M130" i="52"/>
  <c r="L130" i="52"/>
  <c r="K130" i="52"/>
  <c r="J130" i="52"/>
  <c r="I130" i="52"/>
  <c r="H130" i="52"/>
  <c r="S129" i="52"/>
  <c r="R129" i="52"/>
  <c r="Q129" i="52"/>
  <c r="P129" i="52"/>
  <c r="O129" i="52"/>
  <c r="N129" i="52"/>
  <c r="M129" i="52"/>
  <c r="L129" i="52"/>
  <c r="K129" i="52"/>
  <c r="J129" i="52"/>
  <c r="I129" i="52"/>
  <c r="H129" i="52"/>
  <c r="S128" i="52"/>
  <c r="R128" i="52"/>
  <c r="Q128" i="52"/>
  <c r="P128" i="52"/>
  <c r="O128" i="52"/>
  <c r="N128" i="52"/>
  <c r="M128" i="52"/>
  <c r="L128" i="52"/>
  <c r="K128" i="52"/>
  <c r="J128" i="52"/>
  <c r="I128" i="52"/>
  <c r="H128" i="52"/>
  <c r="I32" i="52"/>
  <c r="J32" i="52"/>
  <c r="K32" i="52"/>
  <c r="L32" i="52"/>
  <c r="M32" i="52"/>
  <c r="N32" i="52"/>
  <c r="O32" i="52"/>
  <c r="P32" i="52"/>
  <c r="Q32" i="52"/>
  <c r="R32" i="52"/>
  <c r="S32" i="52"/>
  <c r="S87" i="52"/>
  <c r="S95" i="52"/>
  <c r="S109" i="52"/>
  <c r="S115" i="52"/>
  <c r="S119" i="52"/>
  <c r="S127" i="52"/>
  <c r="R87" i="52"/>
  <c r="R95" i="52"/>
  <c r="R109" i="52"/>
  <c r="R115" i="52"/>
  <c r="R119" i="52"/>
  <c r="R127" i="52"/>
  <c r="Q87" i="52"/>
  <c r="Q95" i="52"/>
  <c r="Q109" i="52"/>
  <c r="Q115" i="52"/>
  <c r="Q119" i="52"/>
  <c r="Q127" i="52"/>
  <c r="P87" i="52"/>
  <c r="P95" i="52"/>
  <c r="P109" i="52"/>
  <c r="P115" i="52"/>
  <c r="P119" i="52"/>
  <c r="P127" i="52"/>
  <c r="O87" i="52"/>
  <c r="O95" i="52"/>
  <c r="O109" i="52"/>
  <c r="O115" i="52"/>
  <c r="O119" i="52"/>
  <c r="O127" i="52"/>
  <c r="N87" i="52"/>
  <c r="N95" i="52"/>
  <c r="N109" i="52"/>
  <c r="N115" i="52"/>
  <c r="N119" i="52"/>
  <c r="N127" i="52"/>
  <c r="M87" i="52"/>
  <c r="M95" i="52"/>
  <c r="M109" i="52"/>
  <c r="M115" i="52"/>
  <c r="M119" i="52"/>
  <c r="M127" i="52"/>
  <c r="L87" i="52"/>
  <c r="L95" i="52"/>
  <c r="L109" i="52"/>
  <c r="L115" i="52"/>
  <c r="L119" i="52"/>
  <c r="L127" i="52"/>
  <c r="K87" i="52"/>
  <c r="K95" i="52"/>
  <c r="K109" i="52"/>
  <c r="K115" i="52"/>
  <c r="K119" i="52"/>
  <c r="K127" i="52"/>
  <c r="J87" i="52"/>
  <c r="J95" i="52"/>
  <c r="J109" i="52"/>
  <c r="J115" i="52"/>
  <c r="J119" i="52"/>
  <c r="J127" i="52"/>
  <c r="I87" i="52"/>
  <c r="I95" i="52"/>
  <c r="I109" i="52"/>
  <c r="I115" i="52"/>
  <c r="I119" i="52"/>
  <c r="I127" i="52"/>
  <c r="H87" i="52"/>
  <c r="H95" i="52"/>
  <c r="H109" i="52"/>
  <c r="H115" i="52"/>
  <c r="H119" i="52"/>
  <c r="H127" i="52"/>
  <c r="S116" i="52"/>
  <c r="S125" i="52"/>
  <c r="R116" i="52"/>
  <c r="R125" i="52"/>
  <c r="Q116" i="52"/>
  <c r="Q125" i="52"/>
  <c r="P116" i="52"/>
  <c r="P125" i="52"/>
  <c r="O116" i="52"/>
  <c r="O125" i="52"/>
  <c r="N116" i="52"/>
  <c r="N125" i="52"/>
  <c r="M116" i="52"/>
  <c r="M125" i="52"/>
  <c r="L116" i="52"/>
  <c r="L125" i="52"/>
  <c r="K116" i="52"/>
  <c r="K125" i="52"/>
  <c r="J116" i="52"/>
  <c r="J125" i="52"/>
  <c r="I116" i="52"/>
  <c r="I125" i="52"/>
  <c r="H116" i="52"/>
  <c r="H125" i="52"/>
  <c r="S124" i="52"/>
  <c r="R124" i="52"/>
  <c r="Q124" i="52"/>
  <c r="P124" i="52"/>
  <c r="O124" i="52"/>
  <c r="N124" i="52"/>
  <c r="M124" i="52"/>
  <c r="L124" i="52"/>
  <c r="K124" i="52"/>
  <c r="J124" i="52"/>
  <c r="I124" i="52"/>
  <c r="H124" i="52"/>
  <c r="S123" i="52"/>
  <c r="R123" i="52"/>
  <c r="Q123" i="52"/>
  <c r="P123" i="52"/>
  <c r="O123" i="52"/>
  <c r="N123" i="52"/>
  <c r="M123" i="52"/>
  <c r="L123" i="52"/>
  <c r="K123" i="52"/>
  <c r="J123" i="52"/>
  <c r="I123" i="52"/>
  <c r="H123" i="52"/>
  <c r="S122" i="52"/>
  <c r="R122" i="52"/>
  <c r="Q122" i="52"/>
  <c r="P122" i="52"/>
  <c r="O122" i="52"/>
  <c r="N122" i="52"/>
  <c r="M122" i="52"/>
  <c r="L122" i="52"/>
  <c r="K122" i="52"/>
  <c r="J122" i="52"/>
  <c r="I122" i="52"/>
  <c r="H122" i="52"/>
  <c r="S121" i="52"/>
  <c r="R121" i="52"/>
  <c r="Q121" i="52"/>
  <c r="P121" i="52"/>
  <c r="O121" i="52"/>
  <c r="N121" i="52"/>
  <c r="M121" i="52"/>
  <c r="L121" i="52"/>
  <c r="K121" i="52"/>
  <c r="J121" i="52"/>
  <c r="I121" i="52"/>
  <c r="H121" i="52"/>
  <c r="S120" i="52"/>
  <c r="R120" i="52"/>
  <c r="Q120" i="52"/>
  <c r="P120" i="52"/>
  <c r="O120" i="52"/>
  <c r="N120" i="52"/>
  <c r="M120" i="52"/>
  <c r="L120" i="52"/>
  <c r="K120" i="52"/>
  <c r="J120" i="52"/>
  <c r="I120" i="52"/>
  <c r="H120" i="52"/>
  <c r="S118" i="52"/>
  <c r="R118" i="52"/>
  <c r="Q118" i="52"/>
  <c r="P118" i="52"/>
  <c r="O118" i="52"/>
  <c r="N118" i="52"/>
  <c r="M118" i="52"/>
  <c r="L118" i="52"/>
  <c r="K118" i="52"/>
  <c r="J118" i="52"/>
  <c r="I118" i="52"/>
  <c r="H118" i="52"/>
  <c r="S117" i="52"/>
  <c r="R117" i="52"/>
  <c r="Q117" i="52"/>
  <c r="P117" i="52"/>
  <c r="O117" i="52"/>
  <c r="N117" i="52"/>
  <c r="M117" i="52"/>
  <c r="L117" i="52"/>
  <c r="K117" i="52"/>
  <c r="J117" i="52"/>
  <c r="I117" i="52"/>
  <c r="H117" i="52"/>
  <c r="S114" i="52"/>
  <c r="R114" i="52"/>
  <c r="Q114" i="52"/>
  <c r="P114" i="52"/>
  <c r="O114" i="52"/>
  <c r="N114" i="52"/>
  <c r="M114" i="52"/>
  <c r="L114" i="52"/>
  <c r="K114" i="52"/>
  <c r="J114" i="52"/>
  <c r="I114" i="52"/>
  <c r="H114" i="52"/>
  <c r="E114" i="52"/>
  <c r="S113" i="52"/>
  <c r="R113" i="52"/>
  <c r="Q113" i="52"/>
  <c r="P113" i="52"/>
  <c r="O113" i="52"/>
  <c r="N113" i="52"/>
  <c r="M113" i="52"/>
  <c r="L113" i="52"/>
  <c r="K113" i="52"/>
  <c r="J113" i="52"/>
  <c r="I113" i="52"/>
  <c r="H113" i="52"/>
  <c r="S112" i="52"/>
  <c r="R112" i="52"/>
  <c r="Q112" i="52"/>
  <c r="P112" i="52"/>
  <c r="O112" i="52"/>
  <c r="N112" i="52"/>
  <c r="M112" i="52"/>
  <c r="L112" i="52"/>
  <c r="K112" i="52"/>
  <c r="J112" i="52"/>
  <c r="I112" i="52"/>
  <c r="H112" i="52"/>
  <c r="S111" i="52"/>
  <c r="R111" i="52"/>
  <c r="Q111" i="52"/>
  <c r="P111" i="52"/>
  <c r="O111" i="52"/>
  <c r="N111" i="52"/>
  <c r="M111" i="52"/>
  <c r="L111" i="52"/>
  <c r="K111" i="52"/>
  <c r="J111" i="52"/>
  <c r="I111" i="52"/>
  <c r="H111" i="52"/>
  <c r="S110" i="52"/>
  <c r="R110" i="52"/>
  <c r="Q110" i="52"/>
  <c r="P110" i="52"/>
  <c r="O110" i="52"/>
  <c r="N110" i="52"/>
  <c r="M110" i="52"/>
  <c r="L110" i="52"/>
  <c r="K110" i="52"/>
  <c r="J110" i="52"/>
  <c r="I110" i="52"/>
  <c r="H110" i="52"/>
  <c r="S108" i="52"/>
  <c r="R108" i="52"/>
  <c r="Q108" i="52"/>
  <c r="P108" i="52"/>
  <c r="O108" i="52"/>
  <c r="N108" i="52"/>
  <c r="M108" i="52"/>
  <c r="L108" i="52"/>
  <c r="K108" i="52"/>
  <c r="J108" i="52"/>
  <c r="I108" i="52"/>
  <c r="H108" i="52"/>
  <c r="S107" i="52"/>
  <c r="R107" i="52"/>
  <c r="Q107" i="52"/>
  <c r="P107" i="52"/>
  <c r="O107" i="52"/>
  <c r="N107" i="52"/>
  <c r="M107" i="52"/>
  <c r="L107" i="52"/>
  <c r="K107" i="52"/>
  <c r="J107" i="52"/>
  <c r="I107" i="52"/>
  <c r="H107" i="52"/>
  <c r="S106" i="52"/>
  <c r="R106" i="52"/>
  <c r="Q106" i="52"/>
  <c r="P106" i="52"/>
  <c r="O106" i="52"/>
  <c r="N106" i="52"/>
  <c r="M106" i="52"/>
  <c r="L106" i="52"/>
  <c r="K106" i="52"/>
  <c r="J106" i="52"/>
  <c r="I106" i="52"/>
  <c r="H106" i="52"/>
  <c r="S105" i="52"/>
  <c r="R105" i="52"/>
  <c r="Q105" i="52"/>
  <c r="P105" i="52"/>
  <c r="O105" i="52"/>
  <c r="N105" i="52"/>
  <c r="M105" i="52"/>
  <c r="L105" i="52"/>
  <c r="K105" i="52"/>
  <c r="J105" i="52"/>
  <c r="I105" i="52"/>
  <c r="H105" i="52"/>
  <c r="S104" i="52"/>
  <c r="R104" i="52"/>
  <c r="Q104" i="52"/>
  <c r="P104" i="52"/>
  <c r="O104" i="52"/>
  <c r="N104" i="52"/>
  <c r="M104" i="52"/>
  <c r="L104" i="52"/>
  <c r="K104" i="52"/>
  <c r="J104" i="52"/>
  <c r="I104" i="52"/>
  <c r="H104" i="52"/>
  <c r="S103" i="52"/>
  <c r="R103" i="52"/>
  <c r="Q103" i="52"/>
  <c r="P103" i="52"/>
  <c r="O103" i="52"/>
  <c r="N103" i="52"/>
  <c r="M103" i="52"/>
  <c r="L103" i="52"/>
  <c r="K103" i="52"/>
  <c r="J103" i="52"/>
  <c r="I103" i="52"/>
  <c r="H103" i="52"/>
  <c r="S89" i="52"/>
  <c r="S101" i="52"/>
  <c r="S102" i="52"/>
  <c r="R89" i="52"/>
  <c r="R101" i="52"/>
  <c r="R102" i="52"/>
  <c r="Q89" i="52"/>
  <c r="Q101" i="52"/>
  <c r="Q102" i="52"/>
  <c r="P89" i="52"/>
  <c r="P101" i="52"/>
  <c r="P102" i="52"/>
  <c r="O89" i="52"/>
  <c r="O101" i="52"/>
  <c r="O102" i="52"/>
  <c r="N89" i="52"/>
  <c r="N101" i="52"/>
  <c r="N102" i="52"/>
  <c r="M89" i="52"/>
  <c r="M101" i="52"/>
  <c r="M102" i="52"/>
  <c r="L89" i="52"/>
  <c r="L101" i="52"/>
  <c r="L102" i="52"/>
  <c r="K89" i="52"/>
  <c r="K101" i="52"/>
  <c r="K102" i="52"/>
  <c r="J89" i="52"/>
  <c r="J101" i="52"/>
  <c r="J102" i="52"/>
  <c r="I89" i="52"/>
  <c r="I101" i="52"/>
  <c r="I102" i="52"/>
  <c r="H89" i="52"/>
  <c r="H101" i="52"/>
  <c r="H102" i="52"/>
  <c r="S97" i="52"/>
  <c r="S96" i="52"/>
  <c r="S98" i="52"/>
  <c r="S100" i="52"/>
  <c r="R97" i="52"/>
  <c r="R96" i="52"/>
  <c r="R98" i="52"/>
  <c r="R100" i="52"/>
  <c r="Q97" i="52"/>
  <c r="Q96" i="52"/>
  <c r="Q98" i="52"/>
  <c r="Q100" i="52"/>
  <c r="P97" i="52"/>
  <c r="P96" i="52"/>
  <c r="P98" i="52"/>
  <c r="P100" i="52"/>
  <c r="O97" i="52"/>
  <c r="O96" i="52"/>
  <c r="O98" i="52"/>
  <c r="O100" i="52"/>
  <c r="N97" i="52"/>
  <c r="N96" i="52"/>
  <c r="N98" i="52"/>
  <c r="N100" i="52"/>
  <c r="M97" i="52"/>
  <c r="M96" i="52"/>
  <c r="M98" i="52"/>
  <c r="M100" i="52"/>
  <c r="L97" i="52"/>
  <c r="L96" i="52"/>
  <c r="L98" i="52"/>
  <c r="L100" i="52"/>
  <c r="K97" i="52"/>
  <c r="K96" i="52"/>
  <c r="K98" i="52"/>
  <c r="K100" i="52"/>
  <c r="J97" i="52"/>
  <c r="J96" i="52"/>
  <c r="J98" i="52"/>
  <c r="J100" i="52"/>
  <c r="I97" i="52"/>
  <c r="I96" i="52"/>
  <c r="I98" i="52"/>
  <c r="I100" i="52"/>
  <c r="H97" i="52"/>
  <c r="H96" i="52"/>
  <c r="H98" i="52"/>
  <c r="H100" i="52"/>
  <c r="S99" i="52"/>
  <c r="R99" i="52"/>
  <c r="Q99" i="52"/>
  <c r="P99" i="52"/>
  <c r="O99" i="52"/>
  <c r="N99" i="52"/>
  <c r="M99" i="52"/>
  <c r="L99" i="52"/>
  <c r="K99" i="52"/>
  <c r="J99" i="52"/>
  <c r="I99" i="52"/>
  <c r="H99" i="52"/>
  <c r="S94" i="52"/>
  <c r="R94" i="52"/>
  <c r="Q94" i="52"/>
  <c r="P94" i="52"/>
  <c r="O94" i="52"/>
  <c r="N94" i="52"/>
  <c r="M94" i="52"/>
  <c r="L94" i="52"/>
  <c r="K94" i="52"/>
  <c r="J94" i="52"/>
  <c r="I94" i="52"/>
  <c r="H94" i="52"/>
  <c r="S93" i="52"/>
  <c r="R93" i="52"/>
  <c r="Q93" i="52"/>
  <c r="P93" i="52"/>
  <c r="O93" i="52"/>
  <c r="N93" i="52"/>
  <c r="M93" i="52"/>
  <c r="L93" i="52"/>
  <c r="K93" i="52"/>
  <c r="J93" i="52"/>
  <c r="I93" i="52"/>
  <c r="H93" i="52"/>
  <c r="S92" i="52"/>
  <c r="R92" i="52"/>
  <c r="Q92" i="52"/>
  <c r="P92" i="52"/>
  <c r="O92" i="52"/>
  <c r="N92" i="52"/>
  <c r="M92" i="52"/>
  <c r="L92" i="52"/>
  <c r="K92" i="52"/>
  <c r="J92" i="52"/>
  <c r="I92" i="52"/>
  <c r="H92" i="52"/>
  <c r="S91" i="52"/>
  <c r="R91" i="52"/>
  <c r="Q91" i="52"/>
  <c r="P91" i="52"/>
  <c r="O91" i="52"/>
  <c r="N91" i="52"/>
  <c r="M91" i="52"/>
  <c r="L91" i="52"/>
  <c r="K91" i="52"/>
  <c r="J91" i="52"/>
  <c r="I91" i="52"/>
  <c r="H91" i="52"/>
  <c r="S90" i="52"/>
  <c r="R90" i="52"/>
  <c r="Q90" i="52"/>
  <c r="P90" i="52"/>
  <c r="O90" i="52"/>
  <c r="N90" i="52"/>
  <c r="M90" i="52"/>
  <c r="L90" i="52"/>
  <c r="K90" i="52"/>
  <c r="J90" i="52"/>
  <c r="I90" i="52"/>
  <c r="H90" i="52"/>
  <c r="S71" i="52"/>
  <c r="S88" i="52"/>
  <c r="R71" i="52"/>
  <c r="R88" i="52"/>
  <c r="Q71" i="52"/>
  <c r="Q88" i="52"/>
  <c r="P71" i="52"/>
  <c r="P88" i="52"/>
  <c r="O71" i="52"/>
  <c r="O88" i="52"/>
  <c r="N71" i="52"/>
  <c r="N88" i="52"/>
  <c r="M71" i="52"/>
  <c r="M88" i="52"/>
  <c r="L71" i="52"/>
  <c r="L88" i="52"/>
  <c r="K71" i="52"/>
  <c r="K88" i="52"/>
  <c r="J71" i="52"/>
  <c r="J88" i="52"/>
  <c r="I71" i="52"/>
  <c r="I88" i="52"/>
  <c r="H71" i="52"/>
  <c r="H88" i="52"/>
  <c r="S85" i="52"/>
  <c r="R85" i="52"/>
  <c r="Q85" i="52"/>
  <c r="P85" i="52"/>
  <c r="O85" i="52"/>
  <c r="N85" i="52"/>
  <c r="M85" i="52"/>
  <c r="L85" i="52"/>
  <c r="K85" i="52"/>
  <c r="J85" i="52"/>
  <c r="I85" i="52"/>
  <c r="H85" i="52"/>
  <c r="S57" i="52"/>
  <c r="S73" i="52"/>
  <c r="R57" i="52"/>
  <c r="R73" i="52"/>
  <c r="Q57" i="52"/>
  <c r="Q73" i="52"/>
  <c r="P57" i="52"/>
  <c r="P73" i="52"/>
  <c r="O57" i="52"/>
  <c r="O73" i="52"/>
  <c r="N57" i="52"/>
  <c r="N73" i="52"/>
  <c r="M57" i="52"/>
  <c r="M73" i="52"/>
  <c r="L57" i="52"/>
  <c r="L73" i="52"/>
  <c r="K57" i="52"/>
  <c r="K73" i="52"/>
  <c r="J57" i="52"/>
  <c r="J73" i="52"/>
  <c r="I57" i="52"/>
  <c r="I73" i="52"/>
  <c r="H57" i="52"/>
  <c r="H73" i="52"/>
  <c r="S52" i="52"/>
  <c r="R52" i="52"/>
  <c r="Q52" i="52"/>
  <c r="P52" i="52"/>
  <c r="O52" i="52"/>
  <c r="N52" i="52"/>
  <c r="M52" i="52"/>
  <c r="L52" i="52"/>
  <c r="K52" i="52"/>
  <c r="J52" i="52"/>
  <c r="I52" i="52"/>
  <c r="H52" i="52"/>
  <c r="S18" i="52"/>
  <c r="S31" i="52"/>
  <c r="R18" i="52"/>
  <c r="R31" i="52"/>
  <c r="Q18" i="52"/>
  <c r="Q31" i="52"/>
  <c r="P18" i="52"/>
  <c r="P31" i="52"/>
  <c r="O18" i="52"/>
  <c r="O31" i="52"/>
  <c r="N18" i="52"/>
  <c r="N31" i="52"/>
  <c r="M18" i="52"/>
  <c r="M31" i="52"/>
  <c r="L18" i="52"/>
  <c r="L31" i="52"/>
  <c r="K18" i="52"/>
  <c r="K31" i="52"/>
  <c r="J18" i="52"/>
  <c r="J31" i="52"/>
  <c r="I18" i="52"/>
  <c r="I31" i="52"/>
  <c r="H18" i="52"/>
  <c r="H31" i="52"/>
  <c r="S141" i="51"/>
  <c r="R141" i="51"/>
  <c r="Q141" i="51"/>
  <c r="P141" i="51"/>
  <c r="O141" i="51"/>
  <c r="N141" i="51"/>
  <c r="M141" i="51"/>
  <c r="L141" i="51"/>
  <c r="K141" i="51"/>
  <c r="J141" i="51"/>
  <c r="I141" i="51"/>
  <c r="H141" i="51"/>
  <c r="S140" i="51"/>
  <c r="R140" i="51"/>
  <c r="Q140" i="51"/>
  <c r="P140" i="51"/>
  <c r="O140" i="51"/>
  <c r="N140" i="51"/>
  <c r="M140" i="51"/>
  <c r="L140" i="51"/>
  <c r="K140" i="51"/>
  <c r="J140" i="51"/>
  <c r="I140" i="51"/>
  <c r="H140" i="51"/>
  <c r="H133" i="51"/>
  <c r="P131" i="51"/>
  <c r="S130" i="51"/>
  <c r="R130" i="51"/>
  <c r="Q130" i="51"/>
  <c r="P130" i="51"/>
  <c r="O130" i="51"/>
  <c r="N130" i="51"/>
  <c r="M130" i="51"/>
  <c r="L130" i="51"/>
  <c r="K130" i="51"/>
  <c r="J130" i="51"/>
  <c r="I130" i="51"/>
  <c r="H130" i="51"/>
  <c r="S129" i="51"/>
  <c r="R129" i="51"/>
  <c r="Q129" i="51"/>
  <c r="P129" i="51"/>
  <c r="O129" i="51"/>
  <c r="N129" i="51"/>
  <c r="M129" i="51"/>
  <c r="L129" i="51"/>
  <c r="K129" i="51"/>
  <c r="J129" i="51"/>
  <c r="I129" i="51"/>
  <c r="H129" i="51"/>
  <c r="L128" i="51"/>
  <c r="H118" i="51"/>
  <c r="P116" i="51"/>
  <c r="E114" i="51"/>
  <c r="S111" i="51"/>
  <c r="R111" i="51"/>
  <c r="Q111" i="51"/>
  <c r="P111" i="51"/>
  <c r="O111" i="51"/>
  <c r="N111" i="51"/>
  <c r="M111" i="51"/>
  <c r="L111" i="51"/>
  <c r="K111" i="51"/>
  <c r="J111" i="51"/>
  <c r="I111" i="51"/>
  <c r="H111" i="51"/>
  <c r="Q110" i="51"/>
  <c r="O108" i="51"/>
  <c r="S107" i="51"/>
  <c r="K107" i="51"/>
  <c r="S105" i="51"/>
  <c r="P105" i="51"/>
  <c r="K105" i="51"/>
  <c r="H105" i="51"/>
  <c r="O104" i="51"/>
  <c r="S103" i="51"/>
  <c r="K103" i="51"/>
  <c r="S101" i="51"/>
  <c r="R101" i="51"/>
  <c r="Q101" i="51"/>
  <c r="P101" i="51"/>
  <c r="O101" i="51"/>
  <c r="N101" i="51"/>
  <c r="M101" i="51"/>
  <c r="L101" i="51"/>
  <c r="K101" i="51"/>
  <c r="J101" i="51"/>
  <c r="I101" i="51"/>
  <c r="H101" i="51"/>
  <c r="O97" i="51"/>
  <c r="O98" i="51"/>
  <c r="S96" i="51"/>
  <c r="R96" i="51"/>
  <c r="Q96" i="51"/>
  <c r="P96" i="51"/>
  <c r="O96" i="51"/>
  <c r="N96" i="51"/>
  <c r="M96" i="51"/>
  <c r="L96" i="51"/>
  <c r="K96" i="51"/>
  <c r="J96" i="51"/>
  <c r="I96" i="51"/>
  <c r="H96" i="51"/>
  <c r="H95" i="51"/>
  <c r="H109" i="51"/>
  <c r="H115" i="51"/>
  <c r="H119" i="51"/>
  <c r="H127" i="51"/>
  <c r="S94" i="51"/>
  <c r="R94" i="51"/>
  <c r="Q94" i="51"/>
  <c r="P94" i="51"/>
  <c r="O94" i="51"/>
  <c r="N94" i="51"/>
  <c r="M94" i="51"/>
  <c r="L94" i="51"/>
  <c r="K94" i="51"/>
  <c r="J94" i="51"/>
  <c r="I94" i="51"/>
  <c r="H94" i="51"/>
  <c r="O91" i="51"/>
  <c r="H87" i="51"/>
  <c r="S85" i="51"/>
  <c r="R85" i="51"/>
  <c r="Q85" i="51"/>
  <c r="P85" i="51"/>
  <c r="O85" i="51"/>
  <c r="N85" i="51"/>
  <c r="M85" i="51"/>
  <c r="L85" i="51"/>
  <c r="K85" i="51"/>
  <c r="J85" i="51"/>
  <c r="I85" i="51"/>
  <c r="H85" i="51"/>
  <c r="S71" i="51"/>
  <c r="R71" i="51"/>
  <c r="Q71" i="51"/>
  <c r="P71" i="51"/>
  <c r="O71" i="51"/>
  <c r="N71" i="51"/>
  <c r="M71" i="51"/>
  <c r="L71" i="51"/>
  <c r="K71" i="51"/>
  <c r="J71" i="51"/>
  <c r="I71" i="51"/>
  <c r="H71" i="51"/>
  <c r="H57" i="51"/>
  <c r="H73" i="51"/>
  <c r="Q46" i="51"/>
  <c r="S41" i="51"/>
  <c r="S132" i="51"/>
  <c r="R41" i="51"/>
  <c r="R132" i="51"/>
  <c r="Q41" i="51"/>
  <c r="Q132" i="51"/>
  <c r="P41" i="51"/>
  <c r="P132" i="51"/>
  <c r="O41" i="51"/>
  <c r="O132" i="51"/>
  <c r="N41" i="51"/>
  <c r="N132" i="51"/>
  <c r="M41" i="51"/>
  <c r="M132" i="51"/>
  <c r="L41" i="51"/>
  <c r="L132" i="51"/>
  <c r="K41" i="51"/>
  <c r="K132" i="51"/>
  <c r="J41" i="51"/>
  <c r="J132" i="51"/>
  <c r="I41" i="51"/>
  <c r="I132" i="51"/>
  <c r="H41" i="51"/>
  <c r="H132" i="51"/>
  <c r="S38" i="51"/>
  <c r="R38" i="51"/>
  <c r="Q38" i="51"/>
  <c r="P38" i="51"/>
  <c r="P133" i="51"/>
  <c r="O38" i="51"/>
  <c r="N38" i="51"/>
  <c r="M38" i="51"/>
  <c r="L38" i="51"/>
  <c r="L105" i="51"/>
  <c r="K38" i="51"/>
  <c r="J38" i="51"/>
  <c r="I38" i="51"/>
  <c r="H38" i="51"/>
  <c r="H131" i="51"/>
  <c r="S33" i="51"/>
  <c r="R33" i="51"/>
  <c r="R46" i="51"/>
  <c r="Q33" i="51"/>
  <c r="P33" i="51"/>
  <c r="P91" i="51"/>
  <c r="O33" i="51"/>
  <c r="N33" i="51"/>
  <c r="N113" i="51"/>
  <c r="M33" i="51"/>
  <c r="L33" i="51"/>
  <c r="L117" i="51"/>
  <c r="K33" i="51"/>
  <c r="J33" i="51"/>
  <c r="I33" i="51"/>
  <c r="I46" i="51"/>
  <c r="H33" i="51"/>
  <c r="H116" i="51"/>
  <c r="I32" i="51"/>
  <c r="S27" i="51"/>
  <c r="R27" i="51"/>
  <c r="Q27" i="51"/>
  <c r="Q142" i="51"/>
  <c r="P27" i="51"/>
  <c r="O27" i="51"/>
  <c r="N27" i="51"/>
  <c r="M27" i="51"/>
  <c r="L27" i="51"/>
  <c r="K27" i="51"/>
  <c r="J27" i="51"/>
  <c r="I27" i="51"/>
  <c r="I114" i="51"/>
  <c r="H27" i="51"/>
  <c r="S19" i="51"/>
  <c r="S139" i="51"/>
  <c r="R19" i="51"/>
  <c r="Q19" i="51"/>
  <c r="Q97" i="51"/>
  <c r="Q98" i="51"/>
  <c r="P19" i="51"/>
  <c r="O19" i="51"/>
  <c r="O139" i="51"/>
  <c r="N19" i="51"/>
  <c r="M19" i="51"/>
  <c r="L19" i="51"/>
  <c r="K19" i="51"/>
  <c r="K139" i="51"/>
  <c r="J19" i="51"/>
  <c r="I19" i="51"/>
  <c r="I97" i="51"/>
  <c r="I98" i="51"/>
  <c r="H19" i="51"/>
  <c r="S18" i="51"/>
  <c r="R18" i="51"/>
  <c r="Q18" i="51"/>
  <c r="P18" i="51"/>
  <c r="O18" i="51"/>
  <c r="N18" i="51"/>
  <c r="M18" i="51"/>
  <c r="L18" i="51"/>
  <c r="K18" i="51"/>
  <c r="J18" i="51"/>
  <c r="I18" i="51"/>
  <c r="H18" i="51"/>
  <c r="S10" i="51"/>
  <c r="R10" i="51"/>
  <c r="Q10" i="51"/>
  <c r="Q138" i="51"/>
  <c r="P10" i="51"/>
  <c r="O10" i="51"/>
  <c r="N10" i="51"/>
  <c r="N138" i="51"/>
  <c r="M10" i="51"/>
  <c r="M138" i="51"/>
  <c r="L10" i="51"/>
  <c r="K10" i="51"/>
  <c r="J10" i="51"/>
  <c r="I10" i="51"/>
  <c r="I138" i="51"/>
  <c r="H10" i="51"/>
  <c r="S5" i="51"/>
  <c r="S137" i="51"/>
  <c r="R5" i="51"/>
  <c r="Q5" i="51"/>
  <c r="P5" i="51"/>
  <c r="O5" i="51"/>
  <c r="O137" i="51"/>
  <c r="N5" i="51"/>
  <c r="M5" i="51"/>
  <c r="L5" i="51"/>
  <c r="K5" i="51"/>
  <c r="K137" i="51"/>
  <c r="J5" i="51"/>
  <c r="I5" i="51"/>
  <c r="I137" i="51"/>
  <c r="H5" i="51"/>
  <c r="S4" i="51"/>
  <c r="S136" i="51"/>
  <c r="R4" i="51"/>
  <c r="Q4" i="51"/>
  <c r="P4" i="51"/>
  <c r="P31" i="51"/>
  <c r="O4" i="51"/>
  <c r="O136" i="51"/>
  <c r="N4" i="51"/>
  <c r="M4" i="51"/>
  <c r="M107" i="51"/>
  <c r="L4" i="51"/>
  <c r="K4" i="51"/>
  <c r="K136" i="51"/>
  <c r="J4" i="51"/>
  <c r="I4" i="51"/>
  <c r="H4" i="51"/>
  <c r="I134" i="51"/>
  <c r="I93" i="51"/>
  <c r="I92" i="51"/>
  <c r="I88" i="51"/>
  <c r="I48" i="51"/>
  <c r="I51" i="51"/>
  <c r="H136" i="51"/>
  <c r="H107" i="51"/>
  <c r="L136" i="51"/>
  <c r="L107" i="51"/>
  <c r="H104" i="51"/>
  <c r="H137" i="51"/>
  <c r="H103" i="51"/>
  <c r="P103" i="51"/>
  <c r="P137" i="51"/>
  <c r="P104" i="51"/>
  <c r="L110" i="51"/>
  <c r="L138" i="51"/>
  <c r="H139" i="51"/>
  <c r="H97" i="51"/>
  <c r="H98" i="51"/>
  <c r="H142" i="51"/>
  <c r="H108" i="51"/>
  <c r="H114" i="51"/>
  <c r="P108" i="51"/>
  <c r="P142" i="51"/>
  <c r="P114" i="51"/>
  <c r="R134" i="51"/>
  <c r="R93" i="51"/>
  <c r="R92" i="51"/>
  <c r="R48" i="51"/>
  <c r="R51" i="51"/>
  <c r="R88" i="51"/>
  <c r="L31" i="51"/>
  <c r="H125" i="51"/>
  <c r="H123" i="51"/>
  <c r="H121" i="51"/>
  <c r="H122" i="51"/>
  <c r="H124" i="51"/>
  <c r="H120" i="51"/>
  <c r="O99" i="51"/>
  <c r="P136" i="51"/>
  <c r="P107" i="51"/>
  <c r="L137" i="51"/>
  <c r="L104" i="51"/>
  <c r="L103" i="51"/>
  <c r="H110" i="51"/>
  <c r="H138" i="51"/>
  <c r="P110" i="51"/>
  <c r="P138" i="51"/>
  <c r="L139" i="51"/>
  <c r="L97" i="51"/>
  <c r="L98" i="51"/>
  <c r="P97" i="51"/>
  <c r="P98" i="51"/>
  <c r="P139" i="51"/>
  <c r="L114" i="51"/>
  <c r="L142" i="51"/>
  <c r="L108" i="51"/>
  <c r="H31" i="51"/>
  <c r="Q134" i="51"/>
  <c r="Q93" i="51"/>
  <c r="Q92" i="51"/>
  <c r="Q88" i="51"/>
  <c r="Q48" i="51"/>
  <c r="Q51" i="51"/>
  <c r="J32" i="51"/>
  <c r="I57" i="51"/>
  <c r="I73" i="51"/>
  <c r="I87" i="51"/>
  <c r="I95" i="51"/>
  <c r="I128" i="51"/>
  <c r="I117" i="51"/>
  <c r="I112" i="51"/>
  <c r="I116" i="51"/>
  <c r="I91" i="51"/>
  <c r="I113" i="51"/>
  <c r="I89" i="51"/>
  <c r="M116" i="51"/>
  <c r="M113" i="51"/>
  <c r="M117" i="51"/>
  <c r="M112" i="51"/>
  <c r="M128" i="51"/>
  <c r="M91" i="51"/>
  <c r="M89" i="51"/>
  <c r="Q128" i="51"/>
  <c r="Q117" i="51"/>
  <c r="Q112" i="51"/>
  <c r="Q91" i="51"/>
  <c r="Q89" i="51"/>
  <c r="Q113" i="51"/>
  <c r="Q116" i="51"/>
  <c r="I105" i="51"/>
  <c r="I131" i="51"/>
  <c r="I133" i="51"/>
  <c r="I118" i="51"/>
  <c r="M133" i="51"/>
  <c r="M131" i="51"/>
  <c r="M118" i="51"/>
  <c r="M105" i="51"/>
  <c r="Q105" i="51"/>
  <c r="Q133" i="51"/>
  <c r="Q118" i="51"/>
  <c r="Q131" i="51"/>
  <c r="M46" i="51"/>
  <c r="P125" i="51"/>
  <c r="P123" i="51"/>
  <c r="P121" i="51"/>
  <c r="P120" i="51"/>
  <c r="P124" i="51"/>
  <c r="I136" i="51"/>
  <c r="I107" i="51"/>
  <c r="Q136" i="51"/>
  <c r="Q107" i="51"/>
  <c r="M137" i="51"/>
  <c r="M104" i="51"/>
  <c r="M103" i="51"/>
  <c r="M139" i="51"/>
  <c r="M97" i="51"/>
  <c r="M98" i="51"/>
  <c r="M114" i="51"/>
  <c r="M108" i="51"/>
  <c r="M31" i="51"/>
  <c r="J128" i="51"/>
  <c r="J117" i="51"/>
  <c r="J116" i="51"/>
  <c r="J113" i="51"/>
  <c r="R133" i="51"/>
  <c r="R131" i="51"/>
  <c r="R118" i="51"/>
  <c r="R105" i="51"/>
  <c r="N89" i="51"/>
  <c r="J112" i="51"/>
  <c r="Q139" i="51"/>
  <c r="J136" i="51"/>
  <c r="J107" i="51"/>
  <c r="N136" i="51"/>
  <c r="N107" i="51"/>
  <c r="R136" i="51"/>
  <c r="R107" i="51"/>
  <c r="J137" i="51"/>
  <c r="J104" i="51"/>
  <c r="J103" i="51"/>
  <c r="N137" i="51"/>
  <c r="N104" i="51"/>
  <c r="N103" i="51"/>
  <c r="R137" i="51"/>
  <c r="R104" i="51"/>
  <c r="R103" i="51"/>
  <c r="J138" i="51"/>
  <c r="J110" i="51"/>
  <c r="R138" i="51"/>
  <c r="R110" i="51"/>
  <c r="J139" i="51"/>
  <c r="J97" i="51"/>
  <c r="J98" i="51"/>
  <c r="N139" i="51"/>
  <c r="N97" i="51"/>
  <c r="N98" i="51"/>
  <c r="R139" i="51"/>
  <c r="R97" i="51"/>
  <c r="R98" i="51"/>
  <c r="J142" i="51"/>
  <c r="J114" i="51"/>
  <c r="J108" i="51"/>
  <c r="N142" i="51"/>
  <c r="N114" i="51"/>
  <c r="N108" i="51"/>
  <c r="R142" i="51"/>
  <c r="R114" i="51"/>
  <c r="R108" i="51"/>
  <c r="J31" i="51"/>
  <c r="N31" i="51"/>
  <c r="R31" i="51"/>
  <c r="K128" i="51"/>
  <c r="K117" i="51"/>
  <c r="K116" i="51"/>
  <c r="K113" i="51"/>
  <c r="K112" i="51"/>
  <c r="O128" i="51"/>
  <c r="O117" i="51"/>
  <c r="O116" i="51"/>
  <c r="O113" i="51"/>
  <c r="O112" i="51"/>
  <c r="S128" i="51"/>
  <c r="S117" i="51"/>
  <c r="S116" i="51"/>
  <c r="S113" i="51"/>
  <c r="S112" i="51"/>
  <c r="K133" i="51"/>
  <c r="K131" i="51"/>
  <c r="K118" i="51"/>
  <c r="O133" i="51"/>
  <c r="O131" i="51"/>
  <c r="O118" i="51"/>
  <c r="S133" i="51"/>
  <c r="S131" i="51"/>
  <c r="S118" i="51"/>
  <c r="K46" i="51"/>
  <c r="O46" i="51"/>
  <c r="S46" i="51"/>
  <c r="K89" i="51"/>
  <c r="O89" i="51"/>
  <c r="S89" i="51"/>
  <c r="K91" i="51"/>
  <c r="H106" i="51"/>
  <c r="Q108" i="51"/>
  <c r="I110" i="51"/>
  <c r="P118" i="51"/>
  <c r="P122" i="51"/>
  <c r="I104" i="51"/>
  <c r="I103" i="51"/>
  <c r="Q104" i="51"/>
  <c r="Q103" i="51"/>
  <c r="M110" i="51"/>
  <c r="I99" i="51"/>
  <c r="Q100" i="51"/>
  <c r="Q99" i="51"/>
  <c r="I142" i="51"/>
  <c r="I108" i="51"/>
  <c r="I31" i="51"/>
  <c r="Q31" i="51"/>
  <c r="N128" i="51"/>
  <c r="N117" i="51"/>
  <c r="N116" i="51"/>
  <c r="N91" i="51"/>
  <c r="N112" i="51"/>
  <c r="R128" i="51"/>
  <c r="R117" i="51"/>
  <c r="R116" i="51"/>
  <c r="R91" i="51"/>
  <c r="R113" i="51"/>
  <c r="J133" i="51"/>
  <c r="J131" i="51"/>
  <c r="J118" i="51"/>
  <c r="J105" i="51"/>
  <c r="N133" i="51"/>
  <c r="N131" i="51"/>
  <c r="N118" i="51"/>
  <c r="N105" i="51"/>
  <c r="J46" i="51"/>
  <c r="N46" i="51"/>
  <c r="J89" i="51"/>
  <c r="R89" i="51"/>
  <c r="J91" i="51"/>
  <c r="K138" i="51"/>
  <c r="K110" i="51"/>
  <c r="O138" i="51"/>
  <c r="O110" i="51"/>
  <c r="S138" i="51"/>
  <c r="S110" i="51"/>
  <c r="K142" i="51"/>
  <c r="K114" i="51"/>
  <c r="O142" i="51"/>
  <c r="O114" i="51"/>
  <c r="S142" i="51"/>
  <c r="S114" i="51"/>
  <c r="S108" i="51"/>
  <c r="K31" i="51"/>
  <c r="O31" i="51"/>
  <c r="S31" i="51"/>
  <c r="H113" i="51"/>
  <c r="H112" i="51"/>
  <c r="H128" i="51"/>
  <c r="H117" i="51"/>
  <c r="L113" i="51"/>
  <c r="L112" i="51"/>
  <c r="L116" i="51"/>
  <c r="P113" i="51"/>
  <c r="P112" i="51"/>
  <c r="P128" i="51"/>
  <c r="P117" i="51"/>
  <c r="L133" i="51"/>
  <c r="L131" i="51"/>
  <c r="L118" i="51"/>
  <c r="H46" i="51"/>
  <c r="L46" i="51"/>
  <c r="P46" i="51"/>
  <c r="H89" i="51"/>
  <c r="L89" i="51"/>
  <c r="P89" i="51"/>
  <c r="H91" i="51"/>
  <c r="L91" i="51"/>
  <c r="S91" i="51"/>
  <c r="K97" i="51"/>
  <c r="K98" i="51"/>
  <c r="S97" i="51"/>
  <c r="S98" i="51"/>
  <c r="O103" i="51"/>
  <c r="K104" i="51"/>
  <c r="S104" i="51"/>
  <c r="O105" i="51"/>
  <c r="O107" i="51"/>
  <c r="K108" i="51"/>
  <c r="N110" i="51"/>
  <c r="R112" i="51"/>
  <c r="Q114" i="51"/>
  <c r="M136" i="51"/>
  <c r="Q137" i="51"/>
  <c r="I139" i="51"/>
  <c r="M142" i="51"/>
  <c r="S167" i="50"/>
  <c r="R167" i="50"/>
  <c r="Q167" i="50"/>
  <c r="P167" i="50"/>
  <c r="O167" i="50"/>
  <c r="N167" i="50"/>
  <c r="M167" i="50"/>
  <c r="L167" i="50"/>
  <c r="K167" i="50"/>
  <c r="J167" i="50"/>
  <c r="I167" i="50"/>
  <c r="H167" i="50"/>
  <c r="S166" i="50"/>
  <c r="R166" i="50"/>
  <c r="Q166" i="50"/>
  <c r="P166" i="50"/>
  <c r="O166" i="50"/>
  <c r="N166" i="50"/>
  <c r="M166" i="50"/>
  <c r="L166" i="50"/>
  <c r="K166" i="50"/>
  <c r="J166" i="50"/>
  <c r="I166" i="50"/>
  <c r="H166" i="50"/>
  <c r="L164" i="50"/>
  <c r="S156" i="50"/>
  <c r="R156" i="50"/>
  <c r="Q156" i="50"/>
  <c r="P156" i="50"/>
  <c r="O156" i="50"/>
  <c r="N156" i="50"/>
  <c r="M156" i="50"/>
  <c r="L156" i="50"/>
  <c r="K156" i="50"/>
  <c r="J156" i="50"/>
  <c r="I156" i="50"/>
  <c r="H156" i="50"/>
  <c r="S155" i="50"/>
  <c r="R155" i="50"/>
  <c r="Q155" i="50"/>
  <c r="P155" i="50"/>
  <c r="O155" i="50"/>
  <c r="N155" i="50"/>
  <c r="M155" i="50"/>
  <c r="L155" i="50"/>
  <c r="K155" i="50"/>
  <c r="J155" i="50"/>
  <c r="I155" i="50"/>
  <c r="H155" i="50"/>
  <c r="H138" i="50"/>
  <c r="E138" i="50"/>
  <c r="S135" i="50"/>
  <c r="R135" i="50"/>
  <c r="Q135" i="50"/>
  <c r="P135" i="50"/>
  <c r="O135" i="50"/>
  <c r="N135" i="50"/>
  <c r="M135" i="50"/>
  <c r="L135" i="50"/>
  <c r="K135" i="50"/>
  <c r="J135" i="50"/>
  <c r="I135" i="50"/>
  <c r="H135" i="50"/>
  <c r="M134" i="50"/>
  <c r="H134" i="50"/>
  <c r="P131" i="50"/>
  <c r="H131" i="50"/>
  <c r="L130" i="50"/>
  <c r="H129" i="50"/>
  <c r="O127" i="50"/>
  <c r="P126" i="50"/>
  <c r="H126" i="50"/>
  <c r="L125" i="50"/>
  <c r="S123" i="50"/>
  <c r="R123" i="50"/>
  <c r="Q123" i="50"/>
  <c r="P123" i="50"/>
  <c r="O123" i="50"/>
  <c r="N123" i="50"/>
  <c r="M123" i="50"/>
  <c r="L123" i="50"/>
  <c r="K123" i="50"/>
  <c r="J123" i="50"/>
  <c r="I123" i="50"/>
  <c r="H123" i="50"/>
  <c r="P119" i="50"/>
  <c r="P120" i="50"/>
  <c r="H119" i="50"/>
  <c r="H120" i="50"/>
  <c r="S118" i="50"/>
  <c r="R118" i="50"/>
  <c r="Q118" i="50"/>
  <c r="P118" i="50"/>
  <c r="O118" i="50"/>
  <c r="N118" i="50"/>
  <c r="M118" i="50"/>
  <c r="L118" i="50"/>
  <c r="K118" i="50"/>
  <c r="J118" i="50"/>
  <c r="I118" i="50"/>
  <c r="H118" i="50"/>
  <c r="H117" i="50"/>
  <c r="H133" i="50"/>
  <c r="H140" i="50"/>
  <c r="H145" i="50"/>
  <c r="H153" i="50"/>
  <c r="S115" i="50"/>
  <c r="R115" i="50"/>
  <c r="Q115" i="50"/>
  <c r="P115" i="50"/>
  <c r="O115" i="50"/>
  <c r="N115" i="50"/>
  <c r="M115" i="50"/>
  <c r="L115" i="50"/>
  <c r="K115" i="50"/>
  <c r="J115" i="50"/>
  <c r="I115" i="50"/>
  <c r="H115" i="50"/>
  <c r="S112" i="50"/>
  <c r="K112" i="50"/>
  <c r="S110" i="50"/>
  <c r="S111" i="50"/>
  <c r="K110" i="50"/>
  <c r="K111" i="50"/>
  <c r="H109" i="50"/>
  <c r="H105" i="50"/>
  <c r="S101" i="50"/>
  <c r="Q95" i="50"/>
  <c r="P95" i="50"/>
  <c r="M95" i="50"/>
  <c r="L95" i="50"/>
  <c r="I95" i="50"/>
  <c r="H95" i="50"/>
  <c r="I96" i="50"/>
  <c r="S93" i="50"/>
  <c r="O93" i="50"/>
  <c r="S90" i="50"/>
  <c r="R90" i="50"/>
  <c r="Q90" i="50"/>
  <c r="P90" i="50"/>
  <c r="O90" i="50"/>
  <c r="N90" i="50"/>
  <c r="M90" i="50"/>
  <c r="L90" i="50"/>
  <c r="L91" i="50"/>
  <c r="K90" i="50"/>
  <c r="J90" i="50"/>
  <c r="I90" i="50"/>
  <c r="S89" i="50"/>
  <c r="R89" i="50"/>
  <c r="Q89" i="50"/>
  <c r="P89" i="50"/>
  <c r="O89" i="50"/>
  <c r="N89" i="50"/>
  <c r="M89" i="50"/>
  <c r="L89" i="50"/>
  <c r="K89" i="50"/>
  <c r="J89" i="50"/>
  <c r="I89" i="50"/>
  <c r="S88" i="50"/>
  <c r="R88" i="50"/>
  <c r="Q88" i="50"/>
  <c r="P88" i="50"/>
  <c r="O88" i="50"/>
  <c r="N88" i="50"/>
  <c r="M88" i="50"/>
  <c r="L88" i="50"/>
  <c r="K88" i="50"/>
  <c r="J88" i="50"/>
  <c r="I88" i="50"/>
  <c r="S87" i="50"/>
  <c r="R87" i="50"/>
  <c r="Q87" i="50"/>
  <c r="P87" i="50"/>
  <c r="O87" i="50"/>
  <c r="N87" i="50"/>
  <c r="M87" i="50"/>
  <c r="L87" i="50"/>
  <c r="K87" i="50"/>
  <c r="J87" i="50"/>
  <c r="I87" i="50"/>
  <c r="S86" i="50"/>
  <c r="R86" i="50"/>
  <c r="Q86" i="50"/>
  <c r="P86" i="50"/>
  <c r="O86" i="50"/>
  <c r="N86" i="50"/>
  <c r="M86" i="50"/>
  <c r="L86" i="50"/>
  <c r="K86" i="50"/>
  <c r="J86" i="50"/>
  <c r="I86" i="50"/>
  <c r="H86" i="50"/>
  <c r="H73" i="50"/>
  <c r="H92" i="50"/>
  <c r="S71" i="50"/>
  <c r="R71" i="50"/>
  <c r="Q71" i="50"/>
  <c r="P71" i="50"/>
  <c r="O71" i="50"/>
  <c r="N71" i="50"/>
  <c r="M71" i="50"/>
  <c r="L71" i="50"/>
  <c r="K71" i="50"/>
  <c r="J71" i="50"/>
  <c r="I71" i="50"/>
  <c r="H71" i="50"/>
  <c r="H57" i="50"/>
  <c r="S41" i="50"/>
  <c r="S158" i="50"/>
  <c r="R41" i="50"/>
  <c r="R158" i="50"/>
  <c r="Q41" i="50"/>
  <c r="Q158" i="50"/>
  <c r="P41" i="50"/>
  <c r="P158" i="50"/>
  <c r="O41" i="50"/>
  <c r="O158" i="50"/>
  <c r="N41" i="50"/>
  <c r="N158" i="50"/>
  <c r="M41" i="50"/>
  <c r="M158" i="50"/>
  <c r="L41" i="50"/>
  <c r="L158" i="50"/>
  <c r="K41" i="50"/>
  <c r="K158" i="50"/>
  <c r="J41" i="50"/>
  <c r="J158" i="50"/>
  <c r="I41" i="50"/>
  <c r="I158" i="50"/>
  <c r="H41" i="50"/>
  <c r="H158" i="50"/>
  <c r="S38" i="50"/>
  <c r="R38" i="50"/>
  <c r="Q38" i="50"/>
  <c r="P38" i="50"/>
  <c r="O38" i="50"/>
  <c r="N38" i="50"/>
  <c r="M38" i="50"/>
  <c r="L38" i="50"/>
  <c r="K38" i="50"/>
  <c r="J38" i="50"/>
  <c r="I38" i="50"/>
  <c r="H38" i="50"/>
  <c r="S33" i="50"/>
  <c r="R33" i="50"/>
  <c r="Q33" i="50"/>
  <c r="P33" i="50"/>
  <c r="O33" i="50"/>
  <c r="N33" i="50"/>
  <c r="M33" i="50"/>
  <c r="L33" i="50"/>
  <c r="L46" i="50"/>
  <c r="K33" i="50"/>
  <c r="J33" i="50"/>
  <c r="I33" i="50"/>
  <c r="H33" i="50"/>
  <c r="I32" i="50"/>
  <c r="I105" i="50"/>
  <c r="S31" i="50"/>
  <c r="O31" i="50"/>
  <c r="K31" i="50"/>
  <c r="S27" i="50"/>
  <c r="R27" i="50"/>
  <c r="Q27" i="50"/>
  <c r="P27" i="50"/>
  <c r="P101" i="50"/>
  <c r="O27" i="50"/>
  <c r="N27" i="50"/>
  <c r="M27" i="50"/>
  <c r="L27" i="50"/>
  <c r="L168" i="50"/>
  <c r="K27" i="50"/>
  <c r="J27" i="50"/>
  <c r="I27" i="50"/>
  <c r="H27" i="50"/>
  <c r="H168" i="50"/>
  <c r="S19" i="50"/>
  <c r="R19" i="50"/>
  <c r="R95" i="50"/>
  <c r="R96" i="50"/>
  <c r="Q19" i="50"/>
  <c r="P19" i="50"/>
  <c r="P165" i="50"/>
  <c r="O19" i="50"/>
  <c r="N19" i="50"/>
  <c r="N95" i="50"/>
  <c r="N96" i="50"/>
  <c r="M19" i="50"/>
  <c r="L19" i="50"/>
  <c r="L165" i="50"/>
  <c r="K19" i="50"/>
  <c r="J19" i="50"/>
  <c r="J95" i="50"/>
  <c r="J96" i="50"/>
  <c r="I19" i="50"/>
  <c r="H19" i="50"/>
  <c r="H165" i="50"/>
  <c r="S18" i="50"/>
  <c r="R18" i="50"/>
  <c r="Q18" i="50"/>
  <c r="P18" i="50"/>
  <c r="O18" i="50"/>
  <c r="N18" i="50"/>
  <c r="M18" i="50"/>
  <c r="L18" i="50"/>
  <c r="K18" i="50"/>
  <c r="J18" i="50"/>
  <c r="I18" i="50"/>
  <c r="H18" i="50"/>
  <c r="S10" i="50"/>
  <c r="R10" i="50"/>
  <c r="Q10" i="50"/>
  <c r="P10" i="50"/>
  <c r="P164" i="50"/>
  <c r="O10" i="50"/>
  <c r="N10" i="50"/>
  <c r="M10" i="50"/>
  <c r="M164" i="50"/>
  <c r="L10" i="50"/>
  <c r="K10" i="50"/>
  <c r="J10" i="50"/>
  <c r="I10" i="50"/>
  <c r="H10" i="50"/>
  <c r="H164" i="50"/>
  <c r="S5" i="50"/>
  <c r="R5" i="50"/>
  <c r="Q5" i="50"/>
  <c r="P5" i="50"/>
  <c r="P163" i="50"/>
  <c r="O5" i="50"/>
  <c r="N5" i="50"/>
  <c r="M5" i="50"/>
  <c r="L5" i="50"/>
  <c r="L163" i="50"/>
  <c r="K5" i="50"/>
  <c r="J5" i="50"/>
  <c r="I5" i="50"/>
  <c r="H5" i="50"/>
  <c r="H93" i="50"/>
  <c r="S4" i="50"/>
  <c r="R4" i="50"/>
  <c r="Q4" i="50"/>
  <c r="P4" i="50"/>
  <c r="P162" i="50"/>
  <c r="O4" i="50"/>
  <c r="N4" i="50"/>
  <c r="M4" i="50"/>
  <c r="M31" i="50"/>
  <c r="L4" i="50"/>
  <c r="L162" i="50"/>
  <c r="K4" i="50"/>
  <c r="J4" i="50"/>
  <c r="I4" i="50"/>
  <c r="H4" i="50"/>
  <c r="H162" i="50"/>
  <c r="R125" i="51"/>
  <c r="R124" i="51"/>
  <c r="R123" i="51"/>
  <c r="R122" i="51"/>
  <c r="R121" i="51"/>
  <c r="R120" i="51"/>
  <c r="O102" i="51"/>
  <c r="O90" i="51"/>
  <c r="S125" i="51"/>
  <c r="S124" i="51"/>
  <c r="S123" i="51"/>
  <c r="S122" i="51"/>
  <c r="S121" i="51"/>
  <c r="S120" i="51"/>
  <c r="N102" i="51"/>
  <c r="N90" i="51"/>
  <c r="M124" i="51"/>
  <c r="M122" i="51"/>
  <c r="M120" i="51"/>
  <c r="M125" i="51"/>
  <c r="M121" i="51"/>
  <c r="M123" i="51"/>
  <c r="I109" i="51"/>
  <c r="I115" i="51"/>
  <c r="I119" i="51"/>
  <c r="I127" i="51"/>
  <c r="I106" i="51"/>
  <c r="K99" i="51"/>
  <c r="K100" i="51"/>
  <c r="P90" i="51"/>
  <c r="P102" i="51"/>
  <c r="J134" i="51"/>
  <c r="J93" i="51"/>
  <c r="J92" i="51"/>
  <c r="J48" i="51"/>
  <c r="J51" i="51"/>
  <c r="J88" i="51"/>
  <c r="K102" i="51"/>
  <c r="K90" i="51"/>
  <c r="O125" i="51"/>
  <c r="O124" i="51"/>
  <c r="O123" i="51"/>
  <c r="O122" i="51"/>
  <c r="O121" i="51"/>
  <c r="O120" i="51"/>
  <c r="J100" i="51"/>
  <c r="J99" i="51"/>
  <c r="Q102" i="51"/>
  <c r="Q90" i="51"/>
  <c r="I102" i="51"/>
  <c r="I90" i="51"/>
  <c r="L90" i="51"/>
  <c r="L102" i="51"/>
  <c r="H134" i="51"/>
  <c r="H88" i="51"/>
  <c r="H48" i="51"/>
  <c r="H51" i="51"/>
  <c r="H92" i="51"/>
  <c r="H93" i="51"/>
  <c r="L124" i="51"/>
  <c r="L122" i="51"/>
  <c r="L120" i="51"/>
  <c r="L125" i="51"/>
  <c r="L121" i="51"/>
  <c r="L123" i="51"/>
  <c r="R102" i="51"/>
  <c r="R90" i="51"/>
  <c r="S134" i="51"/>
  <c r="S93" i="51"/>
  <c r="S88" i="51"/>
  <c r="S48" i="51"/>
  <c r="S51" i="51"/>
  <c r="S92" i="51"/>
  <c r="K125" i="51"/>
  <c r="K124" i="51"/>
  <c r="K123" i="51"/>
  <c r="K122" i="51"/>
  <c r="K121" i="51"/>
  <c r="K120" i="51"/>
  <c r="J125" i="51"/>
  <c r="J124" i="51"/>
  <c r="J123" i="51"/>
  <c r="J122" i="51"/>
  <c r="J121" i="51"/>
  <c r="J120" i="51"/>
  <c r="M93" i="51"/>
  <c r="M92" i="51"/>
  <c r="M134" i="51"/>
  <c r="M88" i="51"/>
  <c r="M48" i="51"/>
  <c r="M51" i="51"/>
  <c r="M102" i="51"/>
  <c r="M90" i="51"/>
  <c r="J87" i="51"/>
  <c r="J95" i="51"/>
  <c r="J57" i="51"/>
  <c r="J73" i="51"/>
  <c r="K32" i="51"/>
  <c r="L100" i="51"/>
  <c r="L99" i="51"/>
  <c r="O100" i="51"/>
  <c r="S99" i="51"/>
  <c r="S100" i="51"/>
  <c r="P134" i="51"/>
  <c r="P88" i="51"/>
  <c r="P48" i="51"/>
  <c r="P51" i="51"/>
  <c r="P92" i="51"/>
  <c r="P93" i="51"/>
  <c r="N134" i="51"/>
  <c r="N93" i="51"/>
  <c r="N92" i="51"/>
  <c r="N88" i="51"/>
  <c r="N48" i="51"/>
  <c r="N51" i="51"/>
  <c r="K134" i="51"/>
  <c r="K93" i="51"/>
  <c r="K92" i="51"/>
  <c r="K88" i="51"/>
  <c r="K48" i="51"/>
  <c r="K51" i="51"/>
  <c r="M100" i="51"/>
  <c r="M99" i="51"/>
  <c r="I125" i="51"/>
  <c r="I123" i="51"/>
  <c r="I121" i="51"/>
  <c r="I124" i="51"/>
  <c r="I120" i="51"/>
  <c r="I122" i="51"/>
  <c r="L88" i="51"/>
  <c r="L48" i="51"/>
  <c r="L51" i="51"/>
  <c r="L92" i="51"/>
  <c r="L134" i="51"/>
  <c r="L93" i="51"/>
  <c r="N125" i="51"/>
  <c r="N124" i="51"/>
  <c r="N123" i="51"/>
  <c r="N122" i="51"/>
  <c r="N121" i="51"/>
  <c r="N120" i="51"/>
  <c r="R100" i="51"/>
  <c r="R99" i="51"/>
  <c r="P99" i="51"/>
  <c r="P100" i="51"/>
  <c r="H99" i="51"/>
  <c r="H100" i="51"/>
  <c r="H90" i="51"/>
  <c r="H102" i="51"/>
  <c r="J102" i="51"/>
  <c r="J90" i="51"/>
  <c r="I100" i="51"/>
  <c r="S102" i="51"/>
  <c r="S90" i="51"/>
  <c r="O134" i="51"/>
  <c r="O92" i="51"/>
  <c r="O93" i="51"/>
  <c r="O88" i="51"/>
  <c r="O48" i="51"/>
  <c r="O51" i="51"/>
  <c r="N100" i="51"/>
  <c r="N99" i="51"/>
  <c r="Q125" i="51"/>
  <c r="Q123" i="51"/>
  <c r="Q121" i="51"/>
  <c r="Q122" i="51"/>
  <c r="Q124" i="51"/>
  <c r="Q120" i="51"/>
  <c r="Q52" i="51"/>
  <c r="Q135" i="51"/>
  <c r="R135" i="51"/>
  <c r="R52" i="51"/>
  <c r="I135" i="51"/>
  <c r="I52" i="51"/>
  <c r="L113" i="50"/>
  <c r="L160" i="50"/>
  <c r="L114" i="50"/>
  <c r="L48" i="50"/>
  <c r="H137" i="50"/>
  <c r="H154" i="50"/>
  <c r="H136" i="50"/>
  <c r="H141" i="50"/>
  <c r="H142" i="50"/>
  <c r="H112" i="50"/>
  <c r="H110" i="50"/>
  <c r="P137" i="50"/>
  <c r="P136" i="50"/>
  <c r="P142" i="50"/>
  <c r="P154" i="50"/>
  <c r="P141" i="50"/>
  <c r="P112" i="50"/>
  <c r="P110" i="50"/>
  <c r="H157" i="50"/>
  <c r="H143" i="50"/>
  <c r="H127" i="50"/>
  <c r="H159" i="50"/>
  <c r="L157" i="50"/>
  <c r="L143" i="50"/>
  <c r="L159" i="50"/>
  <c r="L127" i="50"/>
  <c r="P159" i="50"/>
  <c r="P143" i="50"/>
  <c r="P157" i="50"/>
  <c r="P127" i="50"/>
  <c r="H46" i="50"/>
  <c r="H122" i="50"/>
  <c r="H121" i="50"/>
  <c r="K162" i="50"/>
  <c r="K130" i="50"/>
  <c r="O162" i="50"/>
  <c r="O130" i="50"/>
  <c r="O99" i="50"/>
  <c r="S162" i="50"/>
  <c r="S130" i="50"/>
  <c r="S99" i="50"/>
  <c r="K163" i="50"/>
  <c r="K125" i="50"/>
  <c r="K126" i="50"/>
  <c r="O163" i="50"/>
  <c r="O126" i="50"/>
  <c r="O125" i="50"/>
  <c r="S163" i="50"/>
  <c r="S125" i="50"/>
  <c r="S126" i="50"/>
  <c r="K164" i="50"/>
  <c r="K134" i="50"/>
  <c r="O164" i="50"/>
  <c r="O134" i="50"/>
  <c r="S164" i="50"/>
  <c r="S134" i="50"/>
  <c r="K165" i="50"/>
  <c r="K95" i="50"/>
  <c r="K96" i="50"/>
  <c r="K119" i="50"/>
  <c r="K120" i="50"/>
  <c r="O165" i="50"/>
  <c r="O119" i="50"/>
  <c r="O120" i="50"/>
  <c r="O95" i="50"/>
  <c r="O96" i="50"/>
  <c r="S165" i="50"/>
  <c r="S95" i="50"/>
  <c r="S96" i="50"/>
  <c r="S119" i="50"/>
  <c r="S120" i="50"/>
  <c r="K168" i="50"/>
  <c r="K138" i="50"/>
  <c r="K131" i="50"/>
  <c r="O168" i="50"/>
  <c r="O138" i="50"/>
  <c r="O131" i="50"/>
  <c r="S168" i="50"/>
  <c r="S138" i="50"/>
  <c r="S131" i="50"/>
  <c r="I117" i="50"/>
  <c r="I109" i="50"/>
  <c r="K101" i="50"/>
  <c r="P122" i="50"/>
  <c r="P121" i="50"/>
  <c r="Q96" i="50"/>
  <c r="S102" i="50"/>
  <c r="L137" i="50"/>
  <c r="L141" i="50"/>
  <c r="L142" i="50"/>
  <c r="L112" i="50"/>
  <c r="L110" i="50"/>
  <c r="L154" i="50"/>
  <c r="L136" i="50"/>
  <c r="P46" i="50"/>
  <c r="K93" i="50"/>
  <c r="K94" i="50"/>
  <c r="K97" i="50"/>
  <c r="M96" i="50"/>
  <c r="O101" i="50"/>
  <c r="H31" i="50"/>
  <c r="M154" i="50"/>
  <c r="M142" i="50"/>
  <c r="M141" i="50"/>
  <c r="M136" i="50"/>
  <c r="M112" i="50"/>
  <c r="M110" i="50"/>
  <c r="I159" i="50"/>
  <c r="I157" i="50"/>
  <c r="I143" i="50"/>
  <c r="I127" i="50"/>
  <c r="M46" i="50"/>
  <c r="I57" i="50"/>
  <c r="I73" i="50"/>
  <c r="I92" i="50"/>
  <c r="L93" i="50"/>
  <c r="L94" i="50"/>
  <c r="H101" i="50"/>
  <c r="K124" i="50"/>
  <c r="S124" i="50"/>
  <c r="L138" i="50"/>
  <c r="I162" i="50"/>
  <c r="I130" i="50"/>
  <c r="Q162" i="50"/>
  <c r="Q130" i="50"/>
  <c r="I163" i="50"/>
  <c r="I126" i="50"/>
  <c r="I125" i="50"/>
  <c r="M163" i="50"/>
  <c r="M126" i="50"/>
  <c r="M125" i="50"/>
  <c r="Q163" i="50"/>
  <c r="Q126" i="50"/>
  <c r="Q125" i="50"/>
  <c r="I164" i="50"/>
  <c r="I134" i="50"/>
  <c r="Q164" i="50"/>
  <c r="Q134" i="50"/>
  <c r="I165" i="50"/>
  <c r="I119" i="50"/>
  <c r="I120" i="50"/>
  <c r="M165" i="50"/>
  <c r="M119" i="50"/>
  <c r="M120" i="50"/>
  <c r="Q165" i="50"/>
  <c r="Q119" i="50"/>
  <c r="Q120" i="50"/>
  <c r="I168" i="50"/>
  <c r="I138" i="50"/>
  <c r="I131" i="50"/>
  <c r="M168" i="50"/>
  <c r="M138" i="50"/>
  <c r="M131" i="50"/>
  <c r="Q168" i="50"/>
  <c r="Q138" i="50"/>
  <c r="Q131" i="50"/>
  <c r="I31" i="50"/>
  <c r="Q31" i="50"/>
  <c r="J32" i="50"/>
  <c r="J154" i="50"/>
  <c r="J142" i="50"/>
  <c r="J141" i="50"/>
  <c r="J137" i="50"/>
  <c r="J136" i="50"/>
  <c r="J112" i="50"/>
  <c r="J110" i="50"/>
  <c r="N154" i="50"/>
  <c r="N142" i="50"/>
  <c r="N141" i="50"/>
  <c r="N137" i="50"/>
  <c r="N136" i="50"/>
  <c r="N112" i="50"/>
  <c r="N110" i="50"/>
  <c r="R154" i="50"/>
  <c r="R142" i="50"/>
  <c r="R141" i="50"/>
  <c r="R137" i="50"/>
  <c r="R136" i="50"/>
  <c r="R112" i="50"/>
  <c r="R110" i="50"/>
  <c r="J159" i="50"/>
  <c r="J157" i="50"/>
  <c r="J143" i="50"/>
  <c r="J127" i="50"/>
  <c r="N159" i="50"/>
  <c r="N157" i="50"/>
  <c r="N143" i="50"/>
  <c r="N127" i="50"/>
  <c r="R159" i="50"/>
  <c r="R157" i="50"/>
  <c r="R143" i="50"/>
  <c r="R127" i="50"/>
  <c r="J46" i="50"/>
  <c r="N46" i="50"/>
  <c r="R46" i="50"/>
  <c r="I93" i="50"/>
  <c r="I94" i="50"/>
  <c r="I97" i="50"/>
  <c r="M93" i="50"/>
  <c r="Q93" i="50"/>
  <c r="H99" i="50"/>
  <c r="L99" i="50"/>
  <c r="I101" i="50"/>
  <c r="I102" i="50"/>
  <c r="M101" i="50"/>
  <c r="Q101" i="50"/>
  <c r="Q102" i="50"/>
  <c r="L119" i="50"/>
  <c r="L120" i="50"/>
  <c r="H125" i="50"/>
  <c r="P125" i="50"/>
  <c r="L126" i="50"/>
  <c r="H130" i="50"/>
  <c r="P130" i="50"/>
  <c r="L131" i="50"/>
  <c r="P134" i="50"/>
  <c r="M137" i="50"/>
  <c r="H163" i="50"/>
  <c r="L134" i="50"/>
  <c r="P168" i="50"/>
  <c r="P138" i="50"/>
  <c r="L31" i="50"/>
  <c r="P31" i="50"/>
  <c r="I154" i="50"/>
  <c r="I142" i="50"/>
  <c r="I141" i="50"/>
  <c r="I112" i="50"/>
  <c r="I110" i="50"/>
  <c r="Q154" i="50"/>
  <c r="Q142" i="50"/>
  <c r="Q141" i="50"/>
  <c r="Q136" i="50"/>
  <c r="Q137" i="50"/>
  <c r="Q112" i="50"/>
  <c r="Q110" i="50"/>
  <c r="M159" i="50"/>
  <c r="M157" i="50"/>
  <c r="M143" i="50"/>
  <c r="M127" i="50"/>
  <c r="Q159" i="50"/>
  <c r="Q157" i="50"/>
  <c r="Q143" i="50"/>
  <c r="Q127" i="50"/>
  <c r="I46" i="50"/>
  <c r="Q46" i="50"/>
  <c r="P93" i="50"/>
  <c r="P94" i="50"/>
  <c r="L101" i="50"/>
  <c r="L102" i="50"/>
  <c r="I137" i="50"/>
  <c r="M162" i="50"/>
  <c r="M130" i="50"/>
  <c r="J162" i="50"/>
  <c r="J130" i="50"/>
  <c r="N162" i="50"/>
  <c r="N130" i="50"/>
  <c r="R162" i="50"/>
  <c r="R130" i="50"/>
  <c r="J163" i="50"/>
  <c r="J126" i="50"/>
  <c r="J125" i="50"/>
  <c r="N163" i="50"/>
  <c r="N126" i="50"/>
  <c r="N125" i="50"/>
  <c r="R163" i="50"/>
  <c r="R126" i="50"/>
  <c r="R125" i="50"/>
  <c r="J164" i="50"/>
  <c r="J134" i="50"/>
  <c r="N164" i="50"/>
  <c r="N134" i="50"/>
  <c r="R164" i="50"/>
  <c r="R134" i="50"/>
  <c r="J165" i="50"/>
  <c r="J119" i="50"/>
  <c r="J120" i="50"/>
  <c r="N165" i="50"/>
  <c r="N119" i="50"/>
  <c r="N120" i="50"/>
  <c r="R165" i="50"/>
  <c r="R119" i="50"/>
  <c r="R120" i="50"/>
  <c r="J168" i="50"/>
  <c r="J138" i="50"/>
  <c r="J131" i="50"/>
  <c r="N168" i="50"/>
  <c r="N138" i="50"/>
  <c r="N131" i="50"/>
  <c r="R168" i="50"/>
  <c r="R138" i="50"/>
  <c r="R131" i="50"/>
  <c r="J31" i="50"/>
  <c r="N31" i="50"/>
  <c r="R31" i="50"/>
  <c r="K154" i="50"/>
  <c r="K142" i="50"/>
  <c r="K141" i="50"/>
  <c r="K137" i="50"/>
  <c r="K136" i="50"/>
  <c r="O154" i="50"/>
  <c r="O142" i="50"/>
  <c r="O141" i="50"/>
  <c r="O137" i="50"/>
  <c r="O136" i="50"/>
  <c r="S154" i="50"/>
  <c r="S142" i="50"/>
  <c r="S141" i="50"/>
  <c r="S137" i="50"/>
  <c r="S136" i="50"/>
  <c r="K159" i="50"/>
  <c r="K157" i="50"/>
  <c r="K143" i="50"/>
  <c r="O159" i="50"/>
  <c r="O157" i="50"/>
  <c r="O143" i="50"/>
  <c r="S159" i="50"/>
  <c r="S157" i="50"/>
  <c r="S143" i="50"/>
  <c r="K46" i="50"/>
  <c r="O46" i="50"/>
  <c r="S46" i="50"/>
  <c r="J93" i="50"/>
  <c r="N93" i="50"/>
  <c r="R93" i="50"/>
  <c r="I99" i="50"/>
  <c r="I100" i="50"/>
  <c r="M99" i="50"/>
  <c r="Q99" i="50"/>
  <c r="J101" i="50"/>
  <c r="J102" i="50"/>
  <c r="N101" i="50"/>
  <c r="N102" i="50"/>
  <c r="R101" i="50"/>
  <c r="O110" i="50"/>
  <c r="O112" i="50"/>
  <c r="K127" i="50"/>
  <c r="S127" i="50"/>
  <c r="I136" i="50"/>
  <c r="S141" i="49"/>
  <c r="R141" i="49"/>
  <c r="Q141" i="49"/>
  <c r="P141" i="49"/>
  <c r="O141" i="49"/>
  <c r="N141" i="49"/>
  <c r="M141" i="49"/>
  <c r="S140" i="49"/>
  <c r="R140" i="49"/>
  <c r="Q140" i="49"/>
  <c r="P140" i="49"/>
  <c r="O140" i="49"/>
  <c r="N140" i="49"/>
  <c r="M140" i="49"/>
  <c r="L140" i="49"/>
  <c r="K140" i="49"/>
  <c r="J140" i="49"/>
  <c r="I140" i="49"/>
  <c r="H140" i="49"/>
  <c r="H138" i="49"/>
  <c r="S133" i="49"/>
  <c r="R133" i="49"/>
  <c r="Q133" i="49"/>
  <c r="P133" i="49"/>
  <c r="O133" i="49"/>
  <c r="N133" i="49"/>
  <c r="L131" i="49"/>
  <c r="O130" i="49"/>
  <c r="N130" i="49"/>
  <c r="M130" i="49"/>
  <c r="L130" i="49"/>
  <c r="K130" i="49"/>
  <c r="J130" i="49"/>
  <c r="I130" i="49"/>
  <c r="H130" i="49"/>
  <c r="S129" i="49"/>
  <c r="R129" i="49"/>
  <c r="Q129" i="49"/>
  <c r="P129" i="49"/>
  <c r="O129" i="49"/>
  <c r="N129" i="49"/>
  <c r="M129" i="49"/>
  <c r="L129" i="49"/>
  <c r="K129" i="49"/>
  <c r="J129" i="49"/>
  <c r="I129" i="49"/>
  <c r="H129" i="49"/>
  <c r="H118" i="49"/>
  <c r="E114" i="49"/>
  <c r="N113" i="49"/>
  <c r="O111" i="49"/>
  <c r="N111" i="49"/>
  <c r="M111" i="49"/>
  <c r="K110" i="49"/>
  <c r="Q104" i="49"/>
  <c r="M103" i="49"/>
  <c r="S101" i="49"/>
  <c r="R101" i="49"/>
  <c r="Q101" i="49"/>
  <c r="P101" i="49"/>
  <c r="O101" i="49"/>
  <c r="N101" i="49"/>
  <c r="M101" i="49"/>
  <c r="L101" i="49"/>
  <c r="K101" i="49"/>
  <c r="J101" i="49"/>
  <c r="I101" i="49"/>
  <c r="H101" i="49"/>
  <c r="I97" i="49"/>
  <c r="I98" i="49"/>
  <c r="S96" i="49"/>
  <c r="R96" i="49"/>
  <c r="Q96" i="49"/>
  <c r="P96" i="49"/>
  <c r="O96" i="49"/>
  <c r="N96" i="49"/>
  <c r="M96" i="49"/>
  <c r="L96" i="49"/>
  <c r="K96" i="49"/>
  <c r="J96" i="49"/>
  <c r="I96" i="49"/>
  <c r="H96" i="49"/>
  <c r="N94" i="49"/>
  <c r="M94" i="49"/>
  <c r="L94" i="49"/>
  <c r="K94" i="49"/>
  <c r="J94" i="49"/>
  <c r="I94" i="49"/>
  <c r="H94" i="49"/>
  <c r="I87" i="49"/>
  <c r="I95" i="49"/>
  <c r="H87" i="49"/>
  <c r="H95" i="49"/>
  <c r="S85" i="49"/>
  <c r="R85" i="49"/>
  <c r="Q85" i="49"/>
  <c r="P85" i="49"/>
  <c r="O85" i="49"/>
  <c r="N85" i="49"/>
  <c r="M85" i="49"/>
  <c r="L85" i="49"/>
  <c r="K85" i="49"/>
  <c r="J85" i="49"/>
  <c r="I85" i="49"/>
  <c r="H85" i="49"/>
  <c r="S71" i="49"/>
  <c r="R71" i="49"/>
  <c r="Q71" i="49"/>
  <c r="P71" i="49"/>
  <c r="O71" i="49"/>
  <c r="N71" i="49"/>
  <c r="M71" i="49"/>
  <c r="L71" i="49"/>
  <c r="K71" i="49"/>
  <c r="J71" i="49"/>
  <c r="I71" i="49"/>
  <c r="H71" i="49"/>
  <c r="I57" i="49"/>
  <c r="I73" i="49"/>
  <c r="H57" i="49"/>
  <c r="H73" i="49"/>
  <c r="S42" i="49"/>
  <c r="R42" i="49"/>
  <c r="Q42" i="49"/>
  <c r="P42" i="49"/>
  <c r="S41" i="49"/>
  <c r="R41" i="49"/>
  <c r="Q41" i="49"/>
  <c r="P41" i="49"/>
  <c r="P132" i="49"/>
  <c r="O41" i="49"/>
  <c r="N41" i="49"/>
  <c r="M41" i="49"/>
  <c r="L41" i="49"/>
  <c r="L132" i="49"/>
  <c r="K41" i="49"/>
  <c r="K132" i="49"/>
  <c r="J41" i="49"/>
  <c r="J132" i="49"/>
  <c r="I41" i="49"/>
  <c r="I46" i="49"/>
  <c r="H41" i="49"/>
  <c r="H132" i="49"/>
  <c r="M38" i="49"/>
  <c r="L38" i="49"/>
  <c r="K38" i="49"/>
  <c r="J38" i="49"/>
  <c r="I38" i="49"/>
  <c r="I105" i="49"/>
  <c r="H38" i="49"/>
  <c r="S36" i="49"/>
  <c r="R36" i="49"/>
  <c r="Q36" i="49"/>
  <c r="P36" i="49"/>
  <c r="S33" i="49"/>
  <c r="R33" i="49"/>
  <c r="R91" i="49"/>
  <c r="Q33" i="49"/>
  <c r="P33" i="49"/>
  <c r="O33" i="49"/>
  <c r="N33" i="49"/>
  <c r="N91" i="49"/>
  <c r="M33" i="49"/>
  <c r="L33" i="49"/>
  <c r="K33" i="49"/>
  <c r="J33" i="49"/>
  <c r="I33" i="49"/>
  <c r="H33" i="49"/>
  <c r="K32" i="49"/>
  <c r="I32" i="49"/>
  <c r="J32" i="49"/>
  <c r="O29" i="49"/>
  <c r="O94" i="49"/>
  <c r="O27" i="49"/>
  <c r="N27" i="49"/>
  <c r="M27" i="49"/>
  <c r="L27" i="49"/>
  <c r="K27" i="49"/>
  <c r="J27" i="49"/>
  <c r="I27" i="49"/>
  <c r="I108" i="49"/>
  <c r="H27" i="49"/>
  <c r="L24" i="49"/>
  <c r="L141" i="49"/>
  <c r="K24" i="49"/>
  <c r="J24" i="49"/>
  <c r="J141" i="49"/>
  <c r="I24" i="49"/>
  <c r="I141" i="49"/>
  <c r="H24" i="49"/>
  <c r="H141" i="49"/>
  <c r="L21" i="49"/>
  <c r="K21" i="49"/>
  <c r="J21" i="49"/>
  <c r="I21" i="49"/>
  <c r="H21" i="49"/>
  <c r="H19" i="49"/>
  <c r="S19" i="49"/>
  <c r="R19" i="49"/>
  <c r="Q19" i="49"/>
  <c r="Q139" i="49"/>
  <c r="P19" i="49"/>
  <c r="O19" i="49"/>
  <c r="N19" i="49"/>
  <c r="M19" i="49"/>
  <c r="M139" i="49"/>
  <c r="L19" i="49"/>
  <c r="J19" i="49"/>
  <c r="I19" i="49"/>
  <c r="I139" i="49"/>
  <c r="O18" i="49"/>
  <c r="M18" i="49"/>
  <c r="I18" i="49"/>
  <c r="P15" i="49"/>
  <c r="L15" i="49"/>
  <c r="L111" i="49"/>
  <c r="K15" i="49"/>
  <c r="K111" i="49"/>
  <c r="J15" i="49"/>
  <c r="J111" i="49"/>
  <c r="I15" i="49"/>
  <c r="I111" i="49"/>
  <c r="H15" i="49"/>
  <c r="H111" i="49"/>
  <c r="O10" i="49"/>
  <c r="N10" i="49"/>
  <c r="M10" i="49"/>
  <c r="L10" i="49"/>
  <c r="K10" i="49"/>
  <c r="K138" i="49"/>
  <c r="J10" i="49"/>
  <c r="H10" i="49"/>
  <c r="M7" i="49"/>
  <c r="S5" i="49"/>
  <c r="R5" i="49"/>
  <c r="Q5" i="49"/>
  <c r="Q137" i="49"/>
  <c r="P5" i="49"/>
  <c r="O5" i="49"/>
  <c r="N5" i="49"/>
  <c r="M5" i="49"/>
  <c r="M137" i="49"/>
  <c r="L5" i="49"/>
  <c r="K5" i="49"/>
  <c r="J5" i="49"/>
  <c r="I5" i="49"/>
  <c r="I137" i="49"/>
  <c r="H5" i="49"/>
  <c r="O4" i="49"/>
  <c r="N4" i="49"/>
  <c r="L4" i="49"/>
  <c r="K4" i="49"/>
  <c r="J4" i="49"/>
  <c r="H4" i="49"/>
  <c r="H107" i="49"/>
  <c r="N135" i="51"/>
  <c r="N52" i="51"/>
  <c r="M135" i="51"/>
  <c r="M52" i="51"/>
  <c r="H52" i="51"/>
  <c r="H135" i="51"/>
  <c r="L135" i="51"/>
  <c r="L52" i="51"/>
  <c r="O135" i="51"/>
  <c r="O52" i="51"/>
  <c r="S135" i="51"/>
  <c r="S52" i="51"/>
  <c r="J135" i="51"/>
  <c r="J52" i="51"/>
  <c r="J106" i="51"/>
  <c r="J109" i="51"/>
  <c r="J115" i="51"/>
  <c r="J119" i="51"/>
  <c r="J127" i="51"/>
  <c r="K135" i="51"/>
  <c r="K52" i="51"/>
  <c r="P52" i="51"/>
  <c r="P135" i="51"/>
  <c r="L32" i="51"/>
  <c r="K87" i="51"/>
  <c r="K95" i="51"/>
  <c r="K57" i="51"/>
  <c r="K73" i="51"/>
  <c r="K151" i="50"/>
  <c r="K150" i="50"/>
  <c r="K149" i="50"/>
  <c r="K148" i="50"/>
  <c r="K147" i="50"/>
  <c r="K146" i="50"/>
  <c r="I160" i="50"/>
  <c r="I114" i="50"/>
  <c r="I113" i="50"/>
  <c r="I48" i="50"/>
  <c r="R151" i="50"/>
  <c r="R150" i="50"/>
  <c r="R149" i="50"/>
  <c r="R148" i="50"/>
  <c r="R147" i="50"/>
  <c r="R146" i="50"/>
  <c r="I129" i="50"/>
  <c r="I133" i="50"/>
  <c r="I140" i="50"/>
  <c r="I145" i="50"/>
  <c r="I153" i="50"/>
  <c r="K122" i="50"/>
  <c r="K121" i="50"/>
  <c r="R94" i="50"/>
  <c r="R97" i="50"/>
  <c r="R99" i="50"/>
  <c r="R100" i="50"/>
  <c r="N122" i="50"/>
  <c r="N121" i="50"/>
  <c r="Q124" i="50"/>
  <c r="Q111" i="50"/>
  <c r="Q122" i="50"/>
  <c r="Q121" i="50"/>
  <c r="P160" i="50"/>
  <c r="P113" i="50"/>
  <c r="P114" i="50"/>
  <c r="P48" i="50"/>
  <c r="K102" i="50"/>
  <c r="H149" i="50"/>
  <c r="H150" i="50"/>
  <c r="H146" i="50"/>
  <c r="H147" i="50"/>
  <c r="H151" i="50"/>
  <c r="H148" i="50"/>
  <c r="O124" i="50"/>
  <c r="O111" i="50"/>
  <c r="N94" i="50"/>
  <c r="N97" i="50"/>
  <c r="N99" i="50"/>
  <c r="N100" i="50"/>
  <c r="K160" i="50"/>
  <c r="K113" i="50"/>
  <c r="K48" i="50"/>
  <c r="K114" i="50"/>
  <c r="S151" i="50"/>
  <c r="S150" i="50"/>
  <c r="S149" i="50"/>
  <c r="S148" i="50"/>
  <c r="S147" i="50"/>
  <c r="S146" i="50"/>
  <c r="I151" i="50"/>
  <c r="I150" i="50"/>
  <c r="I149" i="50"/>
  <c r="I148" i="50"/>
  <c r="I147" i="50"/>
  <c r="I146" i="50"/>
  <c r="I103" i="50"/>
  <c r="Q94" i="50"/>
  <c r="Q97" i="50"/>
  <c r="N160" i="50"/>
  <c r="N114" i="50"/>
  <c r="N113" i="50"/>
  <c r="N48" i="50"/>
  <c r="J124" i="50"/>
  <c r="J111" i="50"/>
  <c r="J151" i="50"/>
  <c r="J150" i="50"/>
  <c r="J149" i="50"/>
  <c r="J148" i="50"/>
  <c r="J147" i="50"/>
  <c r="J146" i="50"/>
  <c r="M160" i="50"/>
  <c r="M114" i="50"/>
  <c r="M113" i="50"/>
  <c r="M48" i="50"/>
  <c r="M151" i="50"/>
  <c r="M150" i="50"/>
  <c r="M149" i="50"/>
  <c r="M148" i="50"/>
  <c r="M147" i="50"/>
  <c r="M146" i="50"/>
  <c r="O102" i="50"/>
  <c r="L96" i="50"/>
  <c r="L97" i="50"/>
  <c r="L107" i="50"/>
  <c r="S122" i="50"/>
  <c r="S121" i="50"/>
  <c r="O121" i="50"/>
  <c r="O122" i="50"/>
  <c r="S100" i="50"/>
  <c r="S103" i="50"/>
  <c r="H160" i="50"/>
  <c r="H114" i="50"/>
  <c r="H113" i="50"/>
  <c r="H48" i="50"/>
  <c r="H51" i="50"/>
  <c r="H124" i="50"/>
  <c r="H111" i="50"/>
  <c r="O94" i="50"/>
  <c r="O97" i="50"/>
  <c r="N103" i="50"/>
  <c r="S160" i="50"/>
  <c r="S113" i="50"/>
  <c r="S48" i="50"/>
  <c r="S114" i="50"/>
  <c r="I124" i="50"/>
  <c r="I111" i="50"/>
  <c r="R124" i="50"/>
  <c r="R111" i="50"/>
  <c r="L111" i="50"/>
  <c r="L124" i="50"/>
  <c r="K99" i="50"/>
  <c r="O160" i="50"/>
  <c r="O114" i="50"/>
  <c r="O48" i="50"/>
  <c r="O113" i="50"/>
  <c r="Q151" i="50"/>
  <c r="Q150" i="50"/>
  <c r="Q149" i="50"/>
  <c r="Q148" i="50"/>
  <c r="Q147" i="50"/>
  <c r="Q146" i="50"/>
  <c r="M102" i="50"/>
  <c r="R160" i="50"/>
  <c r="R114" i="50"/>
  <c r="R113" i="50"/>
  <c r="R48" i="50"/>
  <c r="K32" i="50"/>
  <c r="J105" i="50"/>
  <c r="J57" i="50"/>
  <c r="J73" i="50"/>
  <c r="J92" i="50"/>
  <c r="I122" i="50"/>
  <c r="I121" i="50"/>
  <c r="O100" i="50"/>
  <c r="S94" i="50"/>
  <c r="S97" i="50"/>
  <c r="P151" i="50"/>
  <c r="P147" i="50"/>
  <c r="P148" i="50"/>
  <c r="P149" i="50"/>
  <c r="P150" i="50"/>
  <c r="P146" i="50"/>
  <c r="P96" i="50"/>
  <c r="P97" i="50"/>
  <c r="R102" i="50"/>
  <c r="R103" i="50"/>
  <c r="M100" i="50"/>
  <c r="J94" i="50"/>
  <c r="J97" i="50"/>
  <c r="J99" i="50"/>
  <c r="J100" i="50"/>
  <c r="J103" i="50"/>
  <c r="O151" i="50"/>
  <c r="O150" i="50"/>
  <c r="O149" i="50"/>
  <c r="O148" i="50"/>
  <c r="O147" i="50"/>
  <c r="O146" i="50"/>
  <c r="R122" i="50"/>
  <c r="R121" i="50"/>
  <c r="J122" i="50"/>
  <c r="J121" i="50"/>
  <c r="Q160" i="50"/>
  <c r="Q114" i="50"/>
  <c r="Q113" i="50"/>
  <c r="Q48" i="50"/>
  <c r="L121" i="50"/>
  <c r="L122" i="50"/>
  <c r="P99" i="50"/>
  <c r="P100" i="50"/>
  <c r="M94" i="50"/>
  <c r="M97" i="50"/>
  <c r="J160" i="50"/>
  <c r="J114" i="50"/>
  <c r="J113" i="50"/>
  <c r="J48" i="50"/>
  <c r="N124" i="50"/>
  <c r="N111" i="50"/>
  <c r="N151" i="50"/>
  <c r="N150" i="50"/>
  <c r="N149" i="50"/>
  <c r="N148" i="50"/>
  <c r="N147" i="50"/>
  <c r="N146" i="50"/>
  <c r="M122" i="50"/>
  <c r="M121" i="50"/>
  <c r="M124" i="50"/>
  <c r="M111" i="50"/>
  <c r="L150" i="50"/>
  <c r="L146" i="50"/>
  <c r="L151" i="50"/>
  <c r="L147" i="50"/>
  <c r="L148" i="50"/>
  <c r="L149" i="50"/>
  <c r="P111" i="50"/>
  <c r="P124" i="50"/>
  <c r="L106" i="50"/>
  <c r="L51" i="50"/>
  <c r="P102" i="50"/>
  <c r="P103" i="50"/>
  <c r="H97" i="49"/>
  <c r="H98" i="49"/>
  <c r="H139" i="49"/>
  <c r="H18" i="49"/>
  <c r="I134" i="49"/>
  <c r="I93" i="49"/>
  <c r="I92" i="49"/>
  <c r="I48" i="49"/>
  <c r="I51" i="49"/>
  <c r="I88" i="49"/>
  <c r="P111" i="49"/>
  <c r="P10" i="49"/>
  <c r="Q15" i="49"/>
  <c r="J112" i="49"/>
  <c r="I106" i="49"/>
  <c r="I109" i="49"/>
  <c r="I115" i="49"/>
  <c r="I119" i="49"/>
  <c r="I127" i="49"/>
  <c r="K87" i="49"/>
  <c r="K95" i="49"/>
  <c r="K57" i="49"/>
  <c r="K73" i="49"/>
  <c r="L32" i="49"/>
  <c r="N136" i="49"/>
  <c r="N107" i="49"/>
  <c r="L97" i="49"/>
  <c r="L98" i="49"/>
  <c r="L139" i="49"/>
  <c r="K141" i="49"/>
  <c r="K19" i="49"/>
  <c r="J142" i="49"/>
  <c r="J114" i="49"/>
  <c r="J108" i="49"/>
  <c r="J18" i="49"/>
  <c r="J31" i="49"/>
  <c r="K128" i="49"/>
  <c r="K117" i="49"/>
  <c r="K116" i="49"/>
  <c r="K113" i="49"/>
  <c r="K112" i="49"/>
  <c r="K91" i="49"/>
  <c r="K89" i="49"/>
  <c r="K46" i="49"/>
  <c r="O128" i="49"/>
  <c r="O117" i="49"/>
  <c r="O116" i="49"/>
  <c r="O113" i="49"/>
  <c r="O112" i="49"/>
  <c r="O91" i="49"/>
  <c r="O89" i="49"/>
  <c r="O46" i="49"/>
  <c r="S128" i="49"/>
  <c r="S116" i="49"/>
  <c r="S91" i="49"/>
  <c r="S89" i="49"/>
  <c r="S46" i="49"/>
  <c r="S130" i="49"/>
  <c r="S117" i="49"/>
  <c r="K133" i="49"/>
  <c r="K131" i="49"/>
  <c r="K118" i="49"/>
  <c r="K105" i="49"/>
  <c r="I132" i="49"/>
  <c r="I91" i="49"/>
  <c r="M132" i="49"/>
  <c r="M91" i="49"/>
  <c r="M89" i="49"/>
  <c r="Q131" i="49"/>
  <c r="Q132" i="49"/>
  <c r="Q118" i="49"/>
  <c r="Q105" i="49"/>
  <c r="Q91" i="49"/>
  <c r="Q89" i="49"/>
  <c r="M46" i="49"/>
  <c r="P97" i="49"/>
  <c r="P98" i="49"/>
  <c r="P139" i="49"/>
  <c r="N142" i="49"/>
  <c r="N114" i="49"/>
  <c r="N108" i="49"/>
  <c r="N18" i="49"/>
  <c r="N31" i="49"/>
  <c r="J136" i="49"/>
  <c r="J107" i="49"/>
  <c r="J137" i="49"/>
  <c r="J104" i="49"/>
  <c r="J103" i="49"/>
  <c r="N137" i="49"/>
  <c r="N104" i="49"/>
  <c r="N103" i="49"/>
  <c r="R137" i="49"/>
  <c r="R104" i="49"/>
  <c r="R103" i="49"/>
  <c r="I10" i="49"/>
  <c r="M138" i="49"/>
  <c r="M4" i="49"/>
  <c r="L18" i="49"/>
  <c r="J87" i="49"/>
  <c r="J95" i="49"/>
  <c r="J57" i="49"/>
  <c r="J73" i="49"/>
  <c r="Q46" i="49"/>
  <c r="I89" i="49"/>
  <c r="I99" i="49"/>
  <c r="K136" i="49"/>
  <c r="K107" i="49"/>
  <c r="O136" i="49"/>
  <c r="O107" i="49"/>
  <c r="K137" i="49"/>
  <c r="K104" i="49"/>
  <c r="K103" i="49"/>
  <c r="O137" i="49"/>
  <c r="O104" i="49"/>
  <c r="O103" i="49"/>
  <c r="S137" i="49"/>
  <c r="S104" i="49"/>
  <c r="S103" i="49"/>
  <c r="J138" i="49"/>
  <c r="J110" i="49"/>
  <c r="N138" i="49"/>
  <c r="N110" i="49"/>
  <c r="K142" i="49"/>
  <c r="K114" i="49"/>
  <c r="K108" i="49"/>
  <c r="O142" i="49"/>
  <c r="O114" i="49"/>
  <c r="O108" i="49"/>
  <c r="O31" i="49"/>
  <c r="H113" i="49"/>
  <c r="H112" i="49"/>
  <c r="H128" i="49"/>
  <c r="H117" i="49"/>
  <c r="L113" i="49"/>
  <c r="L112" i="49"/>
  <c r="L116" i="49"/>
  <c r="P113" i="49"/>
  <c r="P128" i="49"/>
  <c r="P117" i="49"/>
  <c r="H105" i="49"/>
  <c r="H133" i="49"/>
  <c r="H131" i="49"/>
  <c r="L105" i="49"/>
  <c r="L118" i="49"/>
  <c r="N132" i="49"/>
  <c r="N131" i="49"/>
  <c r="N118" i="49"/>
  <c r="N105" i="49"/>
  <c r="R132" i="49"/>
  <c r="R131" i="49"/>
  <c r="R118" i="49"/>
  <c r="R105" i="49"/>
  <c r="J46" i="49"/>
  <c r="N46" i="49"/>
  <c r="R46" i="49"/>
  <c r="J89" i="49"/>
  <c r="N89" i="49"/>
  <c r="R89" i="49"/>
  <c r="J91" i="49"/>
  <c r="M97" i="49"/>
  <c r="M98" i="49"/>
  <c r="Q103" i="49"/>
  <c r="H116" i="49"/>
  <c r="P118" i="49"/>
  <c r="H136" i="49"/>
  <c r="L107" i="49"/>
  <c r="L136" i="49"/>
  <c r="H104" i="49"/>
  <c r="H103" i="49"/>
  <c r="H137" i="49"/>
  <c r="L104" i="49"/>
  <c r="L103" i="49"/>
  <c r="P104" i="49"/>
  <c r="P103" i="49"/>
  <c r="P137" i="49"/>
  <c r="O138" i="49"/>
  <c r="O110" i="49"/>
  <c r="J139" i="49"/>
  <c r="J97" i="49"/>
  <c r="J98" i="49"/>
  <c r="N139" i="49"/>
  <c r="N97" i="49"/>
  <c r="N98" i="49"/>
  <c r="R139" i="49"/>
  <c r="R97" i="49"/>
  <c r="R98" i="49"/>
  <c r="H108" i="49"/>
  <c r="H142" i="49"/>
  <c r="L108" i="49"/>
  <c r="L114" i="49"/>
  <c r="H31" i="49"/>
  <c r="L31" i="49"/>
  <c r="I128" i="49"/>
  <c r="I117" i="49"/>
  <c r="I116" i="49"/>
  <c r="I113" i="49"/>
  <c r="M116" i="49"/>
  <c r="M113" i="49"/>
  <c r="M128" i="49"/>
  <c r="M117" i="49"/>
  <c r="M112" i="49"/>
  <c r="Q128" i="49"/>
  <c r="Q116" i="49"/>
  <c r="Q113" i="49"/>
  <c r="Q117" i="49"/>
  <c r="Q130" i="49"/>
  <c r="I133" i="49"/>
  <c r="I131" i="49"/>
  <c r="I118" i="49"/>
  <c r="M118" i="49"/>
  <c r="M133" i="49"/>
  <c r="M131" i="49"/>
  <c r="O132" i="49"/>
  <c r="O131" i="49"/>
  <c r="O118" i="49"/>
  <c r="O105" i="49"/>
  <c r="S132" i="49"/>
  <c r="S131" i="49"/>
  <c r="S118" i="49"/>
  <c r="S105" i="49"/>
  <c r="Q97" i="49"/>
  <c r="Q98" i="49"/>
  <c r="I104" i="49"/>
  <c r="M105" i="49"/>
  <c r="H114" i="49"/>
  <c r="P116" i="49"/>
  <c r="L128" i="49"/>
  <c r="H110" i="49"/>
  <c r="L110" i="49"/>
  <c r="L138" i="49"/>
  <c r="O139" i="49"/>
  <c r="O97" i="49"/>
  <c r="O98" i="49"/>
  <c r="S139" i="49"/>
  <c r="S97" i="49"/>
  <c r="S98" i="49"/>
  <c r="I142" i="49"/>
  <c r="M114" i="49"/>
  <c r="M142" i="49"/>
  <c r="J128" i="49"/>
  <c r="J117" i="49"/>
  <c r="J116" i="49"/>
  <c r="J113" i="49"/>
  <c r="N128" i="49"/>
  <c r="N117" i="49"/>
  <c r="N116" i="49"/>
  <c r="N112" i="49"/>
  <c r="R128" i="49"/>
  <c r="R116" i="49"/>
  <c r="R130" i="49"/>
  <c r="R117" i="49"/>
  <c r="J133" i="49"/>
  <c r="J131" i="49"/>
  <c r="J118" i="49"/>
  <c r="J105" i="49"/>
  <c r="P105" i="49"/>
  <c r="P131" i="49"/>
  <c r="H46" i="49"/>
  <c r="L46" i="49"/>
  <c r="P46" i="49"/>
  <c r="H109" i="49"/>
  <c r="H115" i="49"/>
  <c r="H119" i="49"/>
  <c r="H127" i="49"/>
  <c r="H106" i="49"/>
  <c r="H89" i="49"/>
  <c r="L89" i="49"/>
  <c r="P89" i="49"/>
  <c r="H91" i="49"/>
  <c r="L91" i="49"/>
  <c r="P91" i="49"/>
  <c r="I103" i="49"/>
  <c r="M104" i="49"/>
  <c r="M108" i="49"/>
  <c r="L117" i="49"/>
  <c r="P130" i="49"/>
  <c r="L133" i="49"/>
  <c r="L137" i="49"/>
  <c r="L142" i="49"/>
  <c r="K109" i="51"/>
  <c r="K115" i="51"/>
  <c r="K119" i="51"/>
  <c r="K127" i="51"/>
  <c r="K106" i="51"/>
  <c r="L87" i="51"/>
  <c r="L95" i="51"/>
  <c r="L57" i="51"/>
  <c r="L73" i="51"/>
  <c r="M32" i="51"/>
  <c r="L161" i="50"/>
  <c r="L52" i="50"/>
  <c r="K100" i="50"/>
  <c r="K103" i="50"/>
  <c r="P106" i="50"/>
  <c r="P107" i="50"/>
  <c r="P51" i="50"/>
  <c r="S51" i="50"/>
  <c r="S106" i="50"/>
  <c r="S107" i="50"/>
  <c r="M106" i="50"/>
  <c r="M51" i="50"/>
  <c r="Q107" i="50"/>
  <c r="K51" i="50"/>
  <c r="K106" i="50"/>
  <c r="K107" i="50"/>
  <c r="J106" i="50"/>
  <c r="J51" i="50"/>
  <c r="M107" i="50"/>
  <c r="Q106" i="50"/>
  <c r="Q51" i="50"/>
  <c r="K105" i="50"/>
  <c r="K57" i="50"/>
  <c r="K73" i="50"/>
  <c r="K92" i="50"/>
  <c r="L32" i="50"/>
  <c r="O103" i="50"/>
  <c r="Q100" i="50"/>
  <c r="Q103" i="50"/>
  <c r="I106" i="50"/>
  <c r="I107" i="50"/>
  <c r="I51" i="50"/>
  <c r="O51" i="50"/>
  <c r="O106" i="50"/>
  <c r="O107" i="50"/>
  <c r="H161" i="50"/>
  <c r="H52" i="50"/>
  <c r="L100" i="50"/>
  <c r="L103" i="50"/>
  <c r="J107" i="50"/>
  <c r="J117" i="50"/>
  <c r="J109" i="50"/>
  <c r="N106" i="50"/>
  <c r="N107" i="50"/>
  <c r="N51" i="50"/>
  <c r="R106" i="50"/>
  <c r="R107" i="50"/>
  <c r="R51" i="50"/>
  <c r="M103" i="50"/>
  <c r="P102" i="49"/>
  <c r="P90" i="49"/>
  <c r="N125" i="49"/>
  <c r="N124" i="49"/>
  <c r="N123" i="49"/>
  <c r="N122" i="49"/>
  <c r="N121" i="49"/>
  <c r="N120" i="49"/>
  <c r="J125" i="49"/>
  <c r="J124" i="49"/>
  <c r="J123" i="49"/>
  <c r="J122" i="49"/>
  <c r="J121" i="49"/>
  <c r="J120" i="49"/>
  <c r="M124" i="49"/>
  <c r="M122" i="49"/>
  <c r="M120" i="49"/>
  <c r="M125" i="49"/>
  <c r="M123" i="49"/>
  <c r="M121" i="49"/>
  <c r="R100" i="49"/>
  <c r="R99" i="49"/>
  <c r="J100" i="49"/>
  <c r="J99" i="49"/>
  <c r="H125" i="49"/>
  <c r="H123" i="49"/>
  <c r="H121" i="49"/>
  <c r="H120" i="49"/>
  <c r="H122" i="49"/>
  <c r="H124" i="49"/>
  <c r="R102" i="49"/>
  <c r="R90" i="49"/>
  <c r="N134" i="49"/>
  <c r="N93" i="49"/>
  <c r="N92" i="49"/>
  <c r="N88" i="49"/>
  <c r="N48" i="49"/>
  <c r="N51" i="49"/>
  <c r="J109" i="49"/>
  <c r="J115" i="49"/>
  <c r="J119" i="49"/>
  <c r="J127" i="49"/>
  <c r="J106" i="49"/>
  <c r="Q90" i="49"/>
  <c r="Q102" i="49"/>
  <c r="O134" i="49"/>
  <c r="O93" i="49"/>
  <c r="O92" i="49"/>
  <c r="O88" i="49"/>
  <c r="O48" i="49"/>
  <c r="O51" i="49"/>
  <c r="K134" i="49"/>
  <c r="K93" i="49"/>
  <c r="K92" i="49"/>
  <c r="K88" i="49"/>
  <c r="K48" i="49"/>
  <c r="K51" i="49"/>
  <c r="K139" i="49"/>
  <c r="K97" i="49"/>
  <c r="K98" i="49"/>
  <c r="K18" i="49"/>
  <c r="K31" i="49"/>
  <c r="K109" i="49"/>
  <c r="K115" i="49"/>
  <c r="K119" i="49"/>
  <c r="K127" i="49"/>
  <c r="K106" i="49"/>
  <c r="Q111" i="49"/>
  <c r="R15" i="49"/>
  <c r="Q10" i="49"/>
  <c r="L102" i="49"/>
  <c r="L90" i="49"/>
  <c r="P93" i="49"/>
  <c r="P134" i="49"/>
  <c r="P92" i="49"/>
  <c r="P88" i="49"/>
  <c r="P48" i="49"/>
  <c r="P51" i="49"/>
  <c r="R125" i="49"/>
  <c r="R124" i="49"/>
  <c r="R123" i="49"/>
  <c r="R122" i="49"/>
  <c r="R121" i="49"/>
  <c r="R120" i="49"/>
  <c r="O100" i="49"/>
  <c r="O99" i="49"/>
  <c r="Q125" i="49"/>
  <c r="Q123" i="49"/>
  <c r="Q121" i="49"/>
  <c r="Q124" i="49"/>
  <c r="Q122" i="49"/>
  <c r="Q120" i="49"/>
  <c r="N102" i="49"/>
  <c r="N90" i="49"/>
  <c r="J134" i="49"/>
  <c r="J93" i="49"/>
  <c r="J92" i="49"/>
  <c r="J88" i="49"/>
  <c r="J48" i="49"/>
  <c r="J51" i="49"/>
  <c r="I102" i="49"/>
  <c r="I90" i="49"/>
  <c r="I110" i="49"/>
  <c r="I138" i="49"/>
  <c r="I4" i="49"/>
  <c r="S134" i="49"/>
  <c r="S93" i="49"/>
  <c r="S92" i="49"/>
  <c r="S88" i="49"/>
  <c r="S48" i="49"/>
  <c r="S51" i="49"/>
  <c r="O102" i="49"/>
  <c r="O90" i="49"/>
  <c r="O125" i="49"/>
  <c r="O124" i="49"/>
  <c r="O123" i="49"/>
  <c r="O122" i="49"/>
  <c r="O121" i="49"/>
  <c r="O120" i="49"/>
  <c r="K102" i="49"/>
  <c r="K90" i="49"/>
  <c r="K125" i="49"/>
  <c r="K124" i="49"/>
  <c r="K123" i="49"/>
  <c r="K122" i="49"/>
  <c r="K121" i="49"/>
  <c r="K120" i="49"/>
  <c r="P4" i="49"/>
  <c r="P138" i="49"/>
  <c r="I135" i="49"/>
  <c r="I52" i="49"/>
  <c r="H102" i="49"/>
  <c r="H90" i="49"/>
  <c r="L134" i="49"/>
  <c r="L93" i="49"/>
  <c r="L92" i="49"/>
  <c r="L88" i="49"/>
  <c r="L48" i="49"/>
  <c r="L51" i="49"/>
  <c r="I125" i="49"/>
  <c r="I123" i="49"/>
  <c r="I121" i="49"/>
  <c r="I124" i="49"/>
  <c r="I122" i="49"/>
  <c r="I120" i="49"/>
  <c r="N100" i="49"/>
  <c r="N99" i="49"/>
  <c r="M99" i="49"/>
  <c r="M100" i="49"/>
  <c r="J102" i="49"/>
  <c r="J90" i="49"/>
  <c r="Q134" i="49"/>
  <c r="Q93" i="49"/>
  <c r="Q92" i="49"/>
  <c r="Q88" i="49"/>
  <c r="Q48" i="49"/>
  <c r="Q51" i="49"/>
  <c r="M136" i="49"/>
  <c r="M31" i="49"/>
  <c r="M107" i="49"/>
  <c r="P100" i="49"/>
  <c r="P99" i="49"/>
  <c r="M90" i="49"/>
  <c r="M102" i="49"/>
  <c r="S102" i="49"/>
  <c r="S90" i="49"/>
  <c r="S125" i="49"/>
  <c r="S124" i="49"/>
  <c r="S123" i="49"/>
  <c r="S122" i="49"/>
  <c r="S121" i="49"/>
  <c r="S120" i="49"/>
  <c r="L87" i="49"/>
  <c r="L95" i="49"/>
  <c r="L57" i="49"/>
  <c r="L73" i="49"/>
  <c r="M32" i="49"/>
  <c r="H93" i="49"/>
  <c r="H92" i="49"/>
  <c r="H88" i="49"/>
  <c r="H48" i="49"/>
  <c r="H51" i="49"/>
  <c r="H134" i="49"/>
  <c r="S100" i="49"/>
  <c r="S99" i="49"/>
  <c r="P125" i="49"/>
  <c r="P123" i="49"/>
  <c r="P121" i="49"/>
  <c r="P122" i="49"/>
  <c r="P124" i="49"/>
  <c r="P120" i="49"/>
  <c r="Q100" i="49"/>
  <c r="Q99" i="49"/>
  <c r="R134" i="49"/>
  <c r="R93" i="49"/>
  <c r="R92" i="49"/>
  <c r="R88" i="49"/>
  <c r="R48" i="49"/>
  <c r="R51" i="49"/>
  <c r="L124" i="49"/>
  <c r="L122" i="49"/>
  <c r="L120" i="49"/>
  <c r="L125" i="49"/>
  <c r="L123" i="49"/>
  <c r="L121" i="49"/>
  <c r="I100" i="49"/>
  <c r="M110" i="49"/>
  <c r="M134" i="49"/>
  <c r="M93" i="49"/>
  <c r="M92" i="49"/>
  <c r="M88" i="49"/>
  <c r="M48" i="49"/>
  <c r="M51" i="49"/>
  <c r="L100" i="49"/>
  <c r="L99" i="49"/>
  <c r="H100" i="49"/>
  <c r="H99" i="49"/>
  <c r="L109" i="51"/>
  <c r="L115" i="51"/>
  <c r="L119" i="51"/>
  <c r="L127" i="51"/>
  <c r="L106" i="51"/>
  <c r="N32" i="51"/>
  <c r="M57" i="51"/>
  <c r="M73" i="51"/>
  <c r="M87" i="51"/>
  <c r="M95" i="51"/>
  <c r="K117" i="50"/>
  <c r="K109" i="50"/>
  <c r="J161" i="50"/>
  <c r="J52" i="50"/>
  <c r="S161" i="50"/>
  <c r="S52" i="50"/>
  <c r="O161" i="50"/>
  <c r="O52" i="50"/>
  <c r="Q161" i="50"/>
  <c r="Q52" i="50"/>
  <c r="M161" i="50"/>
  <c r="M52" i="50"/>
  <c r="P161" i="50"/>
  <c r="P52" i="50"/>
  <c r="R161" i="50"/>
  <c r="R52" i="50"/>
  <c r="N161" i="50"/>
  <c r="N52" i="50"/>
  <c r="J133" i="50"/>
  <c r="J140" i="50"/>
  <c r="J145" i="50"/>
  <c r="J153" i="50"/>
  <c r="J129" i="50"/>
  <c r="K161" i="50"/>
  <c r="K52" i="50"/>
  <c r="I161" i="50"/>
  <c r="I52" i="50"/>
  <c r="L105" i="50"/>
  <c r="M32" i="50"/>
  <c r="L57" i="50"/>
  <c r="L73" i="50"/>
  <c r="L92" i="50"/>
  <c r="R135" i="49"/>
  <c r="R30" i="49"/>
  <c r="R52" i="49"/>
  <c r="H135" i="49"/>
  <c r="H52" i="49"/>
  <c r="N32" i="49"/>
  <c r="M57" i="49"/>
  <c r="M73" i="49"/>
  <c r="M87" i="49"/>
  <c r="M95" i="49"/>
  <c r="I136" i="49"/>
  <c r="I107" i="49"/>
  <c r="I31" i="49"/>
  <c r="I112" i="49"/>
  <c r="I114" i="49"/>
  <c r="P107" i="49"/>
  <c r="P136" i="49"/>
  <c r="P112" i="49"/>
  <c r="J135" i="49"/>
  <c r="J52" i="49"/>
  <c r="Q138" i="49"/>
  <c r="Q4" i="49"/>
  <c r="K135" i="49"/>
  <c r="K52" i="49"/>
  <c r="L109" i="49"/>
  <c r="L115" i="49"/>
  <c r="L119" i="49"/>
  <c r="L127" i="49"/>
  <c r="L106" i="49"/>
  <c r="Q135" i="49"/>
  <c r="Q30" i="49"/>
  <c r="Q52" i="49"/>
  <c r="P110" i="49"/>
  <c r="P135" i="49"/>
  <c r="P30" i="49"/>
  <c r="R111" i="49"/>
  <c r="S15" i="49"/>
  <c r="R10" i="49"/>
  <c r="R113" i="49"/>
  <c r="O135" i="49"/>
  <c r="O52" i="49"/>
  <c r="M135" i="49"/>
  <c r="M52" i="49"/>
  <c r="L52" i="49"/>
  <c r="L135" i="49"/>
  <c r="S135" i="49"/>
  <c r="S30" i="49"/>
  <c r="S52" i="49"/>
  <c r="K100" i="49"/>
  <c r="K99" i="49"/>
  <c r="N135" i="49"/>
  <c r="N52" i="49"/>
  <c r="O32" i="51"/>
  <c r="N87" i="51"/>
  <c r="N95" i="51"/>
  <c r="N57" i="51"/>
  <c r="N73" i="51"/>
  <c r="M106" i="51"/>
  <c r="M109" i="51"/>
  <c r="M115" i="51"/>
  <c r="M119" i="51"/>
  <c r="M127" i="51"/>
  <c r="M105" i="50"/>
  <c r="M57" i="50"/>
  <c r="M73" i="50"/>
  <c r="M92" i="50"/>
  <c r="N32" i="50"/>
  <c r="L117" i="50"/>
  <c r="L109" i="50"/>
  <c r="K133" i="50"/>
  <c r="K140" i="50"/>
  <c r="K145" i="50"/>
  <c r="K153" i="50"/>
  <c r="K129" i="50"/>
  <c r="S111" i="49"/>
  <c r="S10" i="49"/>
  <c r="S113" i="49"/>
  <c r="Q136" i="49"/>
  <c r="Q107" i="49"/>
  <c r="Q112" i="49"/>
  <c r="M109" i="49"/>
  <c r="M115" i="49"/>
  <c r="M119" i="49"/>
  <c r="M127" i="49"/>
  <c r="M106" i="49"/>
  <c r="P94" i="49"/>
  <c r="P52" i="49"/>
  <c r="Q29" i="49"/>
  <c r="P27" i="49"/>
  <c r="R138" i="49"/>
  <c r="R4" i="49"/>
  <c r="R110" i="49"/>
  <c r="Q110" i="49"/>
  <c r="N87" i="49"/>
  <c r="N95" i="49"/>
  <c r="N57" i="49"/>
  <c r="N73" i="49"/>
  <c r="O32" i="49"/>
  <c r="N106" i="51"/>
  <c r="N109" i="51"/>
  <c r="N115" i="51"/>
  <c r="N119" i="51"/>
  <c r="N127" i="51"/>
  <c r="P32" i="51"/>
  <c r="O87" i="51"/>
  <c r="O95" i="51"/>
  <c r="O57" i="51"/>
  <c r="O73" i="51"/>
  <c r="L133" i="50"/>
  <c r="L140" i="50"/>
  <c r="L145" i="50"/>
  <c r="L153" i="50"/>
  <c r="L129" i="50"/>
  <c r="O32" i="50"/>
  <c r="N57" i="50"/>
  <c r="N73" i="50"/>
  <c r="N92" i="50"/>
  <c r="N105" i="50"/>
  <c r="M117" i="50"/>
  <c r="M109" i="50"/>
  <c r="O87" i="49"/>
  <c r="O95" i="49"/>
  <c r="O57" i="49"/>
  <c r="O73" i="49"/>
  <c r="P32" i="49"/>
  <c r="R136" i="49"/>
  <c r="R107" i="49"/>
  <c r="R112" i="49"/>
  <c r="N109" i="49"/>
  <c r="N115" i="49"/>
  <c r="N119" i="49"/>
  <c r="N127" i="49"/>
  <c r="N106" i="49"/>
  <c r="S138" i="49"/>
  <c r="S4" i="49"/>
  <c r="Q27" i="49"/>
  <c r="Q94" i="49"/>
  <c r="R29" i="49"/>
  <c r="P108" i="49"/>
  <c r="P142" i="49"/>
  <c r="P114" i="49"/>
  <c r="P18" i="49"/>
  <c r="P31" i="49"/>
  <c r="O109" i="51"/>
  <c r="O115" i="51"/>
  <c r="O119" i="51"/>
  <c r="O127" i="51"/>
  <c r="O106" i="51"/>
  <c r="P87" i="51"/>
  <c r="P95" i="51"/>
  <c r="P57" i="51"/>
  <c r="P73" i="51"/>
  <c r="Q32" i="51"/>
  <c r="M133" i="50"/>
  <c r="M140" i="50"/>
  <c r="M145" i="50"/>
  <c r="M153" i="50"/>
  <c r="M129" i="50"/>
  <c r="O105" i="50"/>
  <c r="O57" i="50"/>
  <c r="O73" i="50"/>
  <c r="O92" i="50"/>
  <c r="P32" i="50"/>
  <c r="N117" i="50"/>
  <c r="N109" i="50"/>
  <c r="S136" i="49"/>
  <c r="S107" i="49"/>
  <c r="S112" i="49"/>
  <c r="R94" i="49"/>
  <c r="S29" i="49"/>
  <c r="R27" i="49"/>
  <c r="S110" i="49"/>
  <c r="P87" i="49"/>
  <c r="P95" i="49"/>
  <c r="P57" i="49"/>
  <c r="P73" i="49"/>
  <c r="Q32" i="49"/>
  <c r="Q142" i="49"/>
  <c r="Q114" i="49"/>
  <c r="Q18" i="49"/>
  <c r="Q31" i="49"/>
  <c r="Q108" i="49"/>
  <c r="O109" i="49"/>
  <c r="O115" i="49"/>
  <c r="O119" i="49"/>
  <c r="O127" i="49"/>
  <c r="O106" i="49"/>
  <c r="P109" i="51"/>
  <c r="P115" i="51"/>
  <c r="P119" i="51"/>
  <c r="P127" i="51"/>
  <c r="P106" i="51"/>
  <c r="R32" i="51"/>
  <c r="Q57" i="51"/>
  <c r="Q73" i="51"/>
  <c r="Q87" i="51"/>
  <c r="Q95" i="51"/>
  <c r="O117" i="50"/>
  <c r="O109" i="50"/>
  <c r="N133" i="50"/>
  <c r="N140" i="50"/>
  <c r="N145" i="50"/>
  <c r="N153" i="50"/>
  <c r="N129" i="50"/>
  <c r="P105" i="50"/>
  <c r="Q32" i="50"/>
  <c r="P57" i="50"/>
  <c r="P73" i="50"/>
  <c r="P92" i="50"/>
  <c r="R32" i="49"/>
  <c r="Q87" i="49"/>
  <c r="Q95" i="49"/>
  <c r="Q57" i="49"/>
  <c r="Q73" i="49"/>
  <c r="R142" i="49"/>
  <c r="R114" i="49"/>
  <c r="R108" i="49"/>
  <c r="R18" i="49"/>
  <c r="R31" i="49"/>
  <c r="S94" i="49"/>
  <c r="S27" i="49"/>
  <c r="P109" i="49"/>
  <c r="P115" i="49"/>
  <c r="P119" i="49"/>
  <c r="P127" i="49"/>
  <c r="P106" i="49"/>
  <c r="R87" i="51"/>
  <c r="R95" i="51"/>
  <c r="S32" i="51"/>
  <c r="R57" i="51"/>
  <c r="R73" i="51"/>
  <c r="Q109" i="51"/>
  <c r="Q115" i="51"/>
  <c r="Q119" i="51"/>
  <c r="Q127" i="51"/>
  <c r="Q106" i="51"/>
  <c r="Q57" i="50"/>
  <c r="Q73" i="50"/>
  <c r="Q92" i="50"/>
  <c r="R32" i="50"/>
  <c r="Q105" i="50"/>
  <c r="P117" i="50"/>
  <c r="P109" i="50"/>
  <c r="O133" i="50"/>
  <c r="O140" i="50"/>
  <c r="O145" i="50"/>
  <c r="O153" i="50"/>
  <c r="O129" i="50"/>
  <c r="Q109" i="49"/>
  <c r="Q115" i="49"/>
  <c r="Q119" i="49"/>
  <c r="Q127" i="49"/>
  <c r="Q106" i="49"/>
  <c r="S142" i="49"/>
  <c r="S114" i="49"/>
  <c r="S108" i="49"/>
  <c r="S18" i="49"/>
  <c r="S31" i="49"/>
  <c r="R87" i="49"/>
  <c r="R95" i="49"/>
  <c r="R57" i="49"/>
  <c r="R73" i="49"/>
  <c r="S32" i="49"/>
  <c r="S87" i="51"/>
  <c r="S95" i="51"/>
  <c r="S57" i="51"/>
  <c r="S73" i="51"/>
  <c r="R106" i="51"/>
  <c r="R109" i="51"/>
  <c r="R115" i="51"/>
  <c r="R119" i="51"/>
  <c r="R127" i="51"/>
  <c r="Q117" i="50"/>
  <c r="Q109" i="50"/>
  <c r="S32" i="50"/>
  <c r="R105" i="50"/>
  <c r="R57" i="50"/>
  <c r="R73" i="50"/>
  <c r="R92" i="50"/>
  <c r="P133" i="50"/>
  <c r="P140" i="50"/>
  <c r="P145" i="50"/>
  <c r="P153" i="50"/>
  <c r="P129" i="50"/>
  <c r="R106" i="49"/>
  <c r="R109" i="49"/>
  <c r="R115" i="49"/>
  <c r="R119" i="49"/>
  <c r="R127" i="49"/>
  <c r="S87" i="49"/>
  <c r="S95" i="49"/>
  <c r="S57" i="49"/>
  <c r="S73" i="49"/>
  <c r="S109" i="51"/>
  <c r="S115" i="51"/>
  <c r="S119" i="51"/>
  <c r="S127" i="51"/>
  <c r="S106" i="51"/>
  <c r="R117" i="50"/>
  <c r="R109" i="50"/>
  <c r="S105" i="50"/>
  <c r="S57" i="50"/>
  <c r="S73" i="50"/>
  <c r="S92" i="50"/>
  <c r="Q129" i="50"/>
  <c r="Q133" i="50"/>
  <c r="Q140" i="50"/>
  <c r="Q145" i="50"/>
  <c r="Q153" i="50"/>
  <c r="S106" i="49"/>
  <c r="S109" i="49"/>
  <c r="S115" i="49"/>
  <c r="S119" i="49"/>
  <c r="S127" i="49"/>
  <c r="S117" i="50"/>
  <c r="S109" i="50"/>
  <c r="R133" i="50"/>
  <c r="R140" i="50"/>
  <c r="R145" i="50"/>
  <c r="R153" i="50"/>
  <c r="R129" i="50"/>
  <c r="N167" i="48"/>
  <c r="S166" i="48"/>
  <c r="R166" i="48"/>
  <c r="Q166" i="48"/>
  <c r="P166" i="48"/>
  <c r="O166" i="48"/>
  <c r="N166" i="48"/>
  <c r="M166" i="48"/>
  <c r="L166" i="48"/>
  <c r="K166" i="48"/>
  <c r="J166" i="48"/>
  <c r="I166" i="48"/>
  <c r="H166" i="48"/>
  <c r="S156" i="48"/>
  <c r="R156" i="48"/>
  <c r="Q156" i="48"/>
  <c r="M156" i="48"/>
  <c r="L156" i="48"/>
  <c r="K156" i="48"/>
  <c r="J156" i="48"/>
  <c r="I156" i="48"/>
  <c r="H156" i="48"/>
  <c r="O155" i="48"/>
  <c r="N155" i="48"/>
  <c r="M155" i="48"/>
  <c r="L155" i="48"/>
  <c r="K155" i="48"/>
  <c r="J155" i="48"/>
  <c r="I155" i="48"/>
  <c r="H155" i="48"/>
  <c r="E138" i="48"/>
  <c r="O135" i="48"/>
  <c r="N135" i="48"/>
  <c r="M135" i="48"/>
  <c r="L135" i="48"/>
  <c r="K135" i="48"/>
  <c r="J135" i="48"/>
  <c r="I135" i="48"/>
  <c r="S123" i="48"/>
  <c r="R123" i="48"/>
  <c r="Q123" i="48"/>
  <c r="P123" i="48"/>
  <c r="O123" i="48"/>
  <c r="N123" i="48"/>
  <c r="M123" i="48"/>
  <c r="L123" i="48"/>
  <c r="K123" i="48"/>
  <c r="J123" i="48"/>
  <c r="I123" i="48"/>
  <c r="H123" i="48"/>
  <c r="S118" i="48"/>
  <c r="R118" i="48"/>
  <c r="Q118" i="48"/>
  <c r="P118" i="48"/>
  <c r="O118" i="48"/>
  <c r="N118" i="48"/>
  <c r="M118" i="48"/>
  <c r="L118" i="48"/>
  <c r="K118" i="48"/>
  <c r="J118" i="48"/>
  <c r="I118" i="48"/>
  <c r="H118" i="48"/>
  <c r="N115" i="48"/>
  <c r="M115" i="48"/>
  <c r="L115" i="48"/>
  <c r="K115" i="48"/>
  <c r="J115" i="48"/>
  <c r="I115" i="48"/>
  <c r="H115" i="48"/>
  <c r="I110" i="48"/>
  <c r="I124" i="48"/>
  <c r="H105" i="48"/>
  <c r="H117" i="48"/>
  <c r="M101" i="48"/>
  <c r="M93" i="48"/>
  <c r="N90" i="48"/>
  <c r="M90" i="48"/>
  <c r="L90" i="48"/>
  <c r="L91" i="48"/>
  <c r="K90" i="48"/>
  <c r="J90" i="48"/>
  <c r="I90" i="48"/>
  <c r="S89" i="48"/>
  <c r="R89" i="48"/>
  <c r="Q89" i="48"/>
  <c r="P89" i="48"/>
  <c r="O89" i="48"/>
  <c r="N89" i="48"/>
  <c r="M89" i="48"/>
  <c r="L89" i="48"/>
  <c r="K89" i="48"/>
  <c r="J89" i="48"/>
  <c r="I89" i="48"/>
  <c r="O87" i="48"/>
  <c r="N87" i="48"/>
  <c r="M87" i="48"/>
  <c r="L87" i="48"/>
  <c r="K87" i="48"/>
  <c r="J87" i="48"/>
  <c r="S86" i="48"/>
  <c r="R86" i="48"/>
  <c r="Q86" i="48"/>
  <c r="P86" i="48"/>
  <c r="O86" i="48"/>
  <c r="N86" i="48"/>
  <c r="M86" i="48"/>
  <c r="L86" i="48"/>
  <c r="K86" i="48"/>
  <c r="J86" i="48"/>
  <c r="I86" i="48"/>
  <c r="H86" i="48"/>
  <c r="S71" i="48"/>
  <c r="R71" i="48"/>
  <c r="Q71" i="48"/>
  <c r="N71" i="48"/>
  <c r="M71" i="48"/>
  <c r="L71" i="48"/>
  <c r="K71" i="48"/>
  <c r="J71" i="48"/>
  <c r="I71" i="48"/>
  <c r="H71" i="48"/>
  <c r="P60" i="48"/>
  <c r="P71" i="48"/>
  <c r="O60" i="48"/>
  <c r="O71" i="48"/>
  <c r="H57" i="48"/>
  <c r="H73" i="48"/>
  <c r="H92" i="48"/>
  <c r="M47" i="48"/>
  <c r="M46" i="48"/>
  <c r="M160" i="48"/>
  <c r="I46" i="48"/>
  <c r="I160" i="48"/>
  <c r="O42" i="48"/>
  <c r="O41" i="48"/>
  <c r="O158" i="48"/>
  <c r="S41" i="48"/>
  <c r="S158" i="48"/>
  <c r="R41" i="48"/>
  <c r="R158" i="48"/>
  <c r="N41" i="48"/>
  <c r="N158" i="48"/>
  <c r="M41" i="48"/>
  <c r="M158" i="48"/>
  <c r="L41" i="48"/>
  <c r="L158" i="48"/>
  <c r="K41" i="48"/>
  <c r="K158" i="48"/>
  <c r="J41" i="48"/>
  <c r="J158" i="48"/>
  <c r="I41" i="48"/>
  <c r="I158" i="48"/>
  <c r="H41" i="48"/>
  <c r="H158" i="48"/>
  <c r="S38" i="48"/>
  <c r="R38" i="48"/>
  <c r="Q38" i="48"/>
  <c r="P38" i="48"/>
  <c r="O38" i="48"/>
  <c r="N38" i="48"/>
  <c r="M38" i="48"/>
  <c r="L38" i="48"/>
  <c r="K38" i="48"/>
  <c r="J38" i="48"/>
  <c r="I38" i="48"/>
  <c r="H38" i="48"/>
  <c r="O36" i="48"/>
  <c r="N36" i="48"/>
  <c r="Q35" i="48"/>
  <c r="P35" i="48"/>
  <c r="Q33" i="48"/>
  <c r="O33" i="48"/>
  <c r="N33" i="48"/>
  <c r="N46" i="48"/>
  <c r="M33" i="48"/>
  <c r="M141" i="48"/>
  <c r="L33" i="48"/>
  <c r="K33" i="48"/>
  <c r="J33" i="48"/>
  <c r="J46" i="48"/>
  <c r="I33" i="48"/>
  <c r="I154" i="48"/>
  <c r="H33" i="48"/>
  <c r="I32" i="48"/>
  <c r="I105" i="48"/>
  <c r="I117" i="48"/>
  <c r="O29" i="48"/>
  <c r="O90" i="48"/>
  <c r="N27" i="48"/>
  <c r="M27" i="48"/>
  <c r="L27" i="48"/>
  <c r="L138" i="48"/>
  <c r="K27" i="48"/>
  <c r="J27" i="48"/>
  <c r="I27" i="48"/>
  <c r="H27" i="48"/>
  <c r="P24" i="48"/>
  <c r="P167" i="48"/>
  <c r="O24" i="48"/>
  <c r="O167" i="48"/>
  <c r="M24" i="48"/>
  <c r="M167" i="48"/>
  <c r="L24" i="48"/>
  <c r="L167" i="48"/>
  <c r="K24" i="48"/>
  <c r="K167" i="48"/>
  <c r="J24" i="48"/>
  <c r="J167" i="48"/>
  <c r="I24" i="48"/>
  <c r="I167" i="48"/>
  <c r="H24" i="48"/>
  <c r="H167" i="48"/>
  <c r="M21" i="48"/>
  <c r="L21" i="48"/>
  <c r="K21" i="48"/>
  <c r="J21" i="48"/>
  <c r="I21" i="48"/>
  <c r="H21" i="48"/>
  <c r="O19" i="48"/>
  <c r="N19" i="48"/>
  <c r="M19" i="48"/>
  <c r="L19" i="48"/>
  <c r="L119" i="48"/>
  <c r="L120" i="48"/>
  <c r="J19" i="48"/>
  <c r="I19" i="48"/>
  <c r="H19" i="48"/>
  <c r="N18" i="48"/>
  <c r="M18" i="48"/>
  <c r="J18" i="48"/>
  <c r="Q15" i="48"/>
  <c r="Q135" i="48"/>
  <c r="P15" i="48"/>
  <c r="P135" i="48"/>
  <c r="H15" i="48"/>
  <c r="H135" i="48"/>
  <c r="P10" i="48"/>
  <c r="O10" i="48"/>
  <c r="N10" i="48"/>
  <c r="M10" i="48"/>
  <c r="L10" i="48"/>
  <c r="K10" i="48"/>
  <c r="J10" i="48"/>
  <c r="I10" i="48"/>
  <c r="H10" i="48"/>
  <c r="S5" i="48"/>
  <c r="R5" i="48"/>
  <c r="Q5" i="48"/>
  <c r="Q93" i="48"/>
  <c r="P5" i="48"/>
  <c r="O5" i="48"/>
  <c r="N5" i="48"/>
  <c r="M5" i="48"/>
  <c r="M163" i="48"/>
  <c r="L5" i="48"/>
  <c r="K5" i="48"/>
  <c r="J5" i="48"/>
  <c r="I5" i="48"/>
  <c r="H5" i="48"/>
  <c r="P4" i="48"/>
  <c r="O4" i="48"/>
  <c r="N4" i="48"/>
  <c r="N31" i="48"/>
  <c r="M4" i="48"/>
  <c r="L4" i="48"/>
  <c r="K4" i="48"/>
  <c r="K130" i="48"/>
  <c r="J4" i="48"/>
  <c r="I4" i="48"/>
  <c r="H4" i="48"/>
  <c r="S133" i="50"/>
  <c r="S140" i="50"/>
  <c r="S145" i="50"/>
  <c r="S153" i="50"/>
  <c r="S129" i="50"/>
  <c r="L121" i="48"/>
  <c r="J160" i="48"/>
  <c r="J114" i="48"/>
  <c r="J113" i="48"/>
  <c r="J48" i="48"/>
  <c r="I133" i="48"/>
  <c r="I140" i="48"/>
  <c r="I145" i="48"/>
  <c r="I153" i="48"/>
  <c r="I129" i="48"/>
  <c r="O46" i="48"/>
  <c r="M151" i="48"/>
  <c r="M149" i="48"/>
  <c r="M147" i="48"/>
  <c r="M146" i="48"/>
  <c r="M148" i="48"/>
  <c r="M150" i="48"/>
  <c r="N160" i="48"/>
  <c r="N114" i="48"/>
  <c r="N113" i="48"/>
  <c r="N48" i="48"/>
  <c r="J162" i="48"/>
  <c r="J130" i="48"/>
  <c r="J163" i="48"/>
  <c r="J126" i="48"/>
  <c r="J125" i="48"/>
  <c r="J93" i="48"/>
  <c r="J164" i="48"/>
  <c r="J134" i="48"/>
  <c r="I165" i="48"/>
  <c r="I95" i="48"/>
  <c r="I119" i="48"/>
  <c r="I120" i="48"/>
  <c r="K154" i="48"/>
  <c r="K142" i="48"/>
  <c r="K141" i="48"/>
  <c r="K137" i="48"/>
  <c r="K136" i="48"/>
  <c r="K112" i="48"/>
  <c r="K110" i="48"/>
  <c r="L159" i="48"/>
  <c r="L157" i="48"/>
  <c r="L143" i="48"/>
  <c r="L127" i="48"/>
  <c r="P88" i="48"/>
  <c r="N163" i="48"/>
  <c r="N126" i="48"/>
  <c r="N125" i="48"/>
  <c r="N93" i="48"/>
  <c r="N94" i="48"/>
  <c r="N164" i="48"/>
  <c r="N134" i="48"/>
  <c r="M165" i="48"/>
  <c r="M95" i="48"/>
  <c r="M119" i="48"/>
  <c r="M120" i="48"/>
  <c r="H168" i="48"/>
  <c r="H138" i="48"/>
  <c r="H131" i="48"/>
  <c r="H101" i="48"/>
  <c r="L88" i="48"/>
  <c r="K162" i="48"/>
  <c r="O162" i="48"/>
  <c r="O130" i="48"/>
  <c r="K163" i="48"/>
  <c r="K126" i="48"/>
  <c r="K125" i="48"/>
  <c r="K93" i="48"/>
  <c r="K94" i="48"/>
  <c r="O163" i="48"/>
  <c r="O93" i="48"/>
  <c r="O94" i="48"/>
  <c r="S163" i="48"/>
  <c r="S125" i="48"/>
  <c r="S93" i="48"/>
  <c r="S126" i="48"/>
  <c r="K164" i="48"/>
  <c r="K134" i="48"/>
  <c r="O164" i="48"/>
  <c r="O134" i="48"/>
  <c r="R15" i="48"/>
  <c r="J165" i="48"/>
  <c r="J119" i="48"/>
  <c r="J120" i="48"/>
  <c r="N165" i="48"/>
  <c r="N119" i="48"/>
  <c r="N120" i="48"/>
  <c r="Q24" i="48"/>
  <c r="I168" i="48"/>
  <c r="I138" i="48"/>
  <c r="I131" i="48"/>
  <c r="M131" i="48"/>
  <c r="M168" i="48"/>
  <c r="M138" i="48"/>
  <c r="H154" i="48"/>
  <c r="H142" i="48"/>
  <c r="H137" i="48"/>
  <c r="H136" i="48"/>
  <c r="H141" i="48"/>
  <c r="H112" i="48"/>
  <c r="H110" i="48"/>
  <c r="L141" i="48"/>
  <c r="L137" i="48"/>
  <c r="L154" i="48"/>
  <c r="L142" i="48"/>
  <c r="L136" i="48"/>
  <c r="L112" i="48"/>
  <c r="L110" i="48"/>
  <c r="P155" i="48"/>
  <c r="N156" i="48"/>
  <c r="N142" i="48"/>
  <c r="I159" i="48"/>
  <c r="I157" i="48"/>
  <c r="I143" i="48"/>
  <c r="I127" i="48"/>
  <c r="M127" i="48"/>
  <c r="M157" i="48"/>
  <c r="M143" i="48"/>
  <c r="M159" i="48"/>
  <c r="Q159" i="48"/>
  <c r="P42" i="48"/>
  <c r="I48" i="48"/>
  <c r="M48" i="48"/>
  <c r="I57" i="48"/>
  <c r="I73" i="48"/>
  <c r="I92" i="48"/>
  <c r="P87" i="48"/>
  <c r="I88" i="48"/>
  <c r="M88" i="48"/>
  <c r="J95" i="48"/>
  <c r="J96" i="48"/>
  <c r="I109" i="48"/>
  <c r="M110" i="48"/>
  <c r="I113" i="48"/>
  <c r="M114" i="48"/>
  <c r="O125" i="48"/>
  <c r="L131" i="48"/>
  <c r="L168" i="48"/>
  <c r="L101" i="48"/>
  <c r="H159" i="48"/>
  <c r="H157" i="48"/>
  <c r="H143" i="48"/>
  <c r="H127" i="48"/>
  <c r="I114" i="48"/>
  <c r="H162" i="48"/>
  <c r="H130" i="48"/>
  <c r="P162" i="48"/>
  <c r="P130" i="48"/>
  <c r="H163" i="48"/>
  <c r="H126" i="48"/>
  <c r="H93" i="48"/>
  <c r="H99" i="48"/>
  <c r="H125" i="48"/>
  <c r="L163" i="48"/>
  <c r="L126" i="48"/>
  <c r="L125" i="48"/>
  <c r="L93" i="48"/>
  <c r="L94" i="48"/>
  <c r="P163" i="48"/>
  <c r="P126" i="48"/>
  <c r="P93" i="48"/>
  <c r="P94" i="48"/>
  <c r="P125" i="48"/>
  <c r="H164" i="48"/>
  <c r="H134" i="48"/>
  <c r="L164" i="48"/>
  <c r="L134" i="48"/>
  <c r="P164" i="48"/>
  <c r="P134" i="48"/>
  <c r="K19" i="48"/>
  <c r="O165" i="48"/>
  <c r="O119" i="48"/>
  <c r="O120" i="48"/>
  <c r="O95" i="48"/>
  <c r="J168" i="48"/>
  <c r="J138" i="48"/>
  <c r="J131" i="48"/>
  <c r="J101" i="48"/>
  <c r="N168" i="48"/>
  <c r="N138" i="48"/>
  <c r="N131" i="48"/>
  <c r="N101" i="48"/>
  <c r="N102" i="48"/>
  <c r="I136" i="48"/>
  <c r="I141" i="48"/>
  <c r="I142" i="48"/>
  <c r="I137" i="48"/>
  <c r="M137" i="48"/>
  <c r="M154" i="48"/>
  <c r="M142" i="48"/>
  <c r="M136" i="48"/>
  <c r="Q137" i="48"/>
  <c r="Q142" i="48"/>
  <c r="Q154" i="48"/>
  <c r="Q155" i="48"/>
  <c r="Q141" i="48"/>
  <c r="O156" i="48"/>
  <c r="O142" i="48"/>
  <c r="J159" i="48"/>
  <c r="J157" i="48"/>
  <c r="J143" i="48"/>
  <c r="J127" i="48"/>
  <c r="N159" i="48"/>
  <c r="N157" i="48"/>
  <c r="N143" i="48"/>
  <c r="N127" i="48"/>
  <c r="R159" i="48"/>
  <c r="R157" i="48"/>
  <c r="R143" i="48"/>
  <c r="R127" i="48"/>
  <c r="K46" i="48"/>
  <c r="I87" i="48"/>
  <c r="Q87" i="48"/>
  <c r="J88" i="48"/>
  <c r="N88" i="48"/>
  <c r="N95" i="48"/>
  <c r="N96" i="48"/>
  <c r="I112" i="48"/>
  <c r="M113" i="48"/>
  <c r="O126" i="48"/>
  <c r="N162" i="48"/>
  <c r="N130" i="48"/>
  <c r="N99" i="48"/>
  <c r="R163" i="48"/>
  <c r="R126" i="48"/>
  <c r="R125" i="48"/>
  <c r="R93" i="48"/>
  <c r="R94" i="48"/>
  <c r="I18" i="48"/>
  <c r="I31" i="48"/>
  <c r="J31" i="48"/>
  <c r="O154" i="48"/>
  <c r="O141" i="48"/>
  <c r="O137" i="48"/>
  <c r="O136" i="48"/>
  <c r="O112" i="48"/>
  <c r="O110" i="48"/>
  <c r="P159" i="48"/>
  <c r="M94" i="48"/>
  <c r="H133" i="48"/>
  <c r="H140" i="48"/>
  <c r="H145" i="48"/>
  <c r="H153" i="48"/>
  <c r="H129" i="48"/>
  <c r="L162" i="48"/>
  <c r="L130" i="48"/>
  <c r="I130" i="48"/>
  <c r="I162" i="48"/>
  <c r="M162" i="48"/>
  <c r="M130" i="48"/>
  <c r="M99" i="48"/>
  <c r="I163" i="48"/>
  <c r="I126" i="48"/>
  <c r="I125" i="48"/>
  <c r="M126" i="48"/>
  <c r="M125" i="48"/>
  <c r="Q163" i="48"/>
  <c r="Q126" i="48"/>
  <c r="Q125" i="48"/>
  <c r="I134" i="48"/>
  <c r="I164" i="48"/>
  <c r="M164" i="48"/>
  <c r="M134" i="48"/>
  <c r="Q10" i="48"/>
  <c r="H18" i="48"/>
  <c r="H31" i="48"/>
  <c r="L18" i="48"/>
  <c r="L31" i="48"/>
  <c r="H165" i="48"/>
  <c r="H95" i="48"/>
  <c r="H119" i="48"/>
  <c r="H120" i="48"/>
  <c r="L165" i="48"/>
  <c r="L95" i="48"/>
  <c r="P19" i="48"/>
  <c r="K168" i="48"/>
  <c r="K138" i="48"/>
  <c r="K131" i="48"/>
  <c r="K101" i="48"/>
  <c r="K102" i="48"/>
  <c r="M31" i="48"/>
  <c r="J32" i="48"/>
  <c r="J154" i="48"/>
  <c r="J142" i="48"/>
  <c r="J141" i="48"/>
  <c r="J137" i="48"/>
  <c r="J136" i="48"/>
  <c r="J112" i="48"/>
  <c r="J110" i="48"/>
  <c r="N154" i="48"/>
  <c r="N141" i="48"/>
  <c r="N136" i="48"/>
  <c r="N137" i="48"/>
  <c r="N112" i="48"/>
  <c r="N110" i="48"/>
  <c r="R35" i="48"/>
  <c r="P36" i="48"/>
  <c r="K159" i="48"/>
  <c r="K157" i="48"/>
  <c r="K143" i="48"/>
  <c r="K127" i="48"/>
  <c r="O159" i="48"/>
  <c r="O157" i="48"/>
  <c r="O143" i="48"/>
  <c r="O127" i="48"/>
  <c r="S159" i="48"/>
  <c r="S157" i="48"/>
  <c r="S143" i="48"/>
  <c r="H46" i="48"/>
  <c r="L46" i="48"/>
  <c r="K88" i="48"/>
  <c r="O88" i="48"/>
  <c r="I93" i="48"/>
  <c r="I94" i="48"/>
  <c r="P99" i="48"/>
  <c r="I101" i="48"/>
  <c r="I102" i="48"/>
  <c r="I111" i="48"/>
  <c r="M112" i="48"/>
  <c r="S127" i="48"/>
  <c r="H109" i="48"/>
  <c r="S141" i="47"/>
  <c r="R141" i="47"/>
  <c r="Q141" i="47"/>
  <c r="P141" i="47"/>
  <c r="O141" i="47"/>
  <c r="N141" i="47"/>
  <c r="M141" i="47"/>
  <c r="L141" i="47"/>
  <c r="K141" i="47"/>
  <c r="J141" i="47"/>
  <c r="I141" i="47"/>
  <c r="H141" i="47"/>
  <c r="S140" i="47"/>
  <c r="R140" i="47"/>
  <c r="Q140" i="47"/>
  <c r="P140" i="47"/>
  <c r="O140" i="47"/>
  <c r="N140" i="47"/>
  <c r="M140" i="47"/>
  <c r="L140" i="47"/>
  <c r="K140" i="47"/>
  <c r="J140" i="47"/>
  <c r="I140" i="47"/>
  <c r="H140" i="47"/>
  <c r="J137" i="47"/>
  <c r="R131" i="47"/>
  <c r="S130" i="47"/>
  <c r="R130" i="47"/>
  <c r="Q130" i="47"/>
  <c r="P130" i="47"/>
  <c r="O130" i="47"/>
  <c r="N130" i="47"/>
  <c r="M130" i="47"/>
  <c r="L130" i="47"/>
  <c r="K130" i="47"/>
  <c r="J130" i="47"/>
  <c r="I130" i="47"/>
  <c r="H130" i="47"/>
  <c r="S129" i="47"/>
  <c r="R129" i="47"/>
  <c r="Q129" i="47"/>
  <c r="P129" i="47"/>
  <c r="O129" i="47"/>
  <c r="N129" i="47"/>
  <c r="M129" i="47"/>
  <c r="L129" i="47"/>
  <c r="K129" i="47"/>
  <c r="J129" i="47"/>
  <c r="I129" i="47"/>
  <c r="H129" i="47"/>
  <c r="J118" i="47"/>
  <c r="E114" i="47"/>
  <c r="Q113" i="47"/>
  <c r="S111" i="47"/>
  <c r="R111" i="47"/>
  <c r="Q111" i="47"/>
  <c r="P111" i="47"/>
  <c r="O111" i="47"/>
  <c r="N111" i="47"/>
  <c r="M111" i="47"/>
  <c r="L111" i="47"/>
  <c r="K111" i="47"/>
  <c r="J111" i="47"/>
  <c r="I111" i="47"/>
  <c r="H111" i="47"/>
  <c r="I110" i="47"/>
  <c r="H108" i="47"/>
  <c r="H104" i="47"/>
  <c r="S101" i="47"/>
  <c r="R101" i="47"/>
  <c r="Q101" i="47"/>
  <c r="P101" i="47"/>
  <c r="O101" i="47"/>
  <c r="N101" i="47"/>
  <c r="M101" i="47"/>
  <c r="L101" i="47"/>
  <c r="K101" i="47"/>
  <c r="J101" i="47"/>
  <c r="I101" i="47"/>
  <c r="H101" i="47"/>
  <c r="P97" i="47"/>
  <c r="P98" i="47"/>
  <c r="S96" i="47"/>
  <c r="R96" i="47"/>
  <c r="Q96" i="47"/>
  <c r="P96" i="47"/>
  <c r="O96" i="47"/>
  <c r="N96" i="47"/>
  <c r="M96" i="47"/>
  <c r="L96" i="47"/>
  <c r="K96" i="47"/>
  <c r="J96" i="47"/>
  <c r="I96" i="47"/>
  <c r="H96" i="47"/>
  <c r="S94" i="47"/>
  <c r="R94" i="47"/>
  <c r="Q94" i="47"/>
  <c r="P94" i="47"/>
  <c r="O94" i="47"/>
  <c r="N94" i="47"/>
  <c r="M94" i="47"/>
  <c r="L94" i="47"/>
  <c r="K94" i="47"/>
  <c r="J94" i="47"/>
  <c r="I94" i="47"/>
  <c r="H94" i="47"/>
  <c r="H87" i="47"/>
  <c r="H95" i="47"/>
  <c r="S85" i="47"/>
  <c r="R85" i="47"/>
  <c r="Q85" i="47"/>
  <c r="P85" i="47"/>
  <c r="O85" i="47"/>
  <c r="N85" i="47"/>
  <c r="M85" i="47"/>
  <c r="L85" i="47"/>
  <c r="K85" i="47"/>
  <c r="J85" i="47"/>
  <c r="I85" i="47"/>
  <c r="H85" i="47"/>
  <c r="S71" i="47"/>
  <c r="R71" i="47"/>
  <c r="Q71" i="47"/>
  <c r="P71" i="47"/>
  <c r="O71" i="47"/>
  <c r="N71" i="47"/>
  <c r="M71" i="47"/>
  <c r="L71" i="47"/>
  <c r="K71" i="47"/>
  <c r="J71" i="47"/>
  <c r="I71" i="47"/>
  <c r="H71" i="47"/>
  <c r="H57" i="47"/>
  <c r="H73" i="47"/>
  <c r="S41" i="47"/>
  <c r="S132" i="47"/>
  <c r="R41" i="47"/>
  <c r="R132" i="47"/>
  <c r="Q41" i="47"/>
  <c r="Q132" i="47"/>
  <c r="P41" i="47"/>
  <c r="P132" i="47"/>
  <c r="O41" i="47"/>
  <c r="O132" i="47"/>
  <c r="N41" i="47"/>
  <c r="N132" i="47"/>
  <c r="M41" i="47"/>
  <c r="M132" i="47"/>
  <c r="L41" i="47"/>
  <c r="L132" i="47"/>
  <c r="K41" i="47"/>
  <c r="K132" i="47"/>
  <c r="J41" i="47"/>
  <c r="J132" i="47"/>
  <c r="I41" i="47"/>
  <c r="I132" i="47"/>
  <c r="H41" i="47"/>
  <c r="H132" i="47"/>
  <c r="S38" i="47"/>
  <c r="R38" i="47"/>
  <c r="R105" i="47"/>
  <c r="Q38" i="47"/>
  <c r="P38" i="47"/>
  <c r="O38" i="47"/>
  <c r="N38" i="47"/>
  <c r="M38" i="47"/>
  <c r="L38" i="47"/>
  <c r="K38" i="47"/>
  <c r="J38" i="47"/>
  <c r="J105" i="47"/>
  <c r="I38" i="47"/>
  <c r="H38" i="47"/>
  <c r="S33" i="47"/>
  <c r="R33" i="47"/>
  <c r="Q33" i="47"/>
  <c r="P33" i="47"/>
  <c r="O33" i="47"/>
  <c r="N33" i="47"/>
  <c r="M33" i="47"/>
  <c r="L33" i="47"/>
  <c r="L89" i="47"/>
  <c r="K33" i="47"/>
  <c r="J33" i="47"/>
  <c r="J116" i="47"/>
  <c r="I33" i="47"/>
  <c r="H33" i="47"/>
  <c r="J32" i="47"/>
  <c r="K32" i="47"/>
  <c r="I32" i="47"/>
  <c r="I87" i="47"/>
  <c r="I95" i="47"/>
  <c r="S27" i="47"/>
  <c r="R27" i="47"/>
  <c r="Q27" i="47"/>
  <c r="P27" i="47"/>
  <c r="O27" i="47"/>
  <c r="N27" i="47"/>
  <c r="M27" i="47"/>
  <c r="L27" i="47"/>
  <c r="K27" i="47"/>
  <c r="J27" i="47"/>
  <c r="J114" i="47"/>
  <c r="I27" i="47"/>
  <c r="H27" i="47"/>
  <c r="S19" i="47"/>
  <c r="R19" i="47"/>
  <c r="Q19" i="47"/>
  <c r="P19" i="47"/>
  <c r="P139" i="47"/>
  <c r="O19" i="47"/>
  <c r="N19" i="47"/>
  <c r="M19" i="47"/>
  <c r="L19" i="47"/>
  <c r="L139" i="47"/>
  <c r="K19" i="47"/>
  <c r="J19" i="47"/>
  <c r="I19" i="47"/>
  <c r="H19" i="47"/>
  <c r="H139" i="47"/>
  <c r="S18" i="47"/>
  <c r="R18" i="47"/>
  <c r="Q18" i="47"/>
  <c r="P18" i="47"/>
  <c r="O18" i="47"/>
  <c r="N18" i="47"/>
  <c r="M18" i="47"/>
  <c r="L18" i="47"/>
  <c r="K18" i="47"/>
  <c r="J18" i="47"/>
  <c r="I18" i="47"/>
  <c r="H18" i="47"/>
  <c r="S10" i="47"/>
  <c r="R10" i="47"/>
  <c r="Q10" i="47"/>
  <c r="Q138" i="47"/>
  <c r="P10" i="47"/>
  <c r="O10" i="47"/>
  <c r="N10" i="47"/>
  <c r="N138" i="47"/>
  <c r="M10" i="47"/>
  <c r="L10" i="47"/>
  <c r="K10" i="47"/>
  <c r="J10" i="47"/>
  <c r="I10" i="47"/>
  <c r="I138" i="47"/>
  <c r="H10" i="47"/>
  <c r="S5" i="47"/>
  <c r="R5" i="47"/>
  <c r="R137" i="47"/>
  <c r="Q5" i="47"/>
  <c r="P5" i="47"/>
  <c r="P137" i="47"/>
  <c r="O5" i="47"/>
  <c r="N5" i="47"/>
  <c r="M5" i="47"/>
  <c r="L5" i="47"/>
  <c r="L137" i="47"/>
  <c r="K5" i="47"/>
  <c r="J5" i="47"/>
  <c r="I5" i="47"/>
  <c r="H5" i="47"/>
  <c r="H137" i="47"/>
  <c r="S4" i="47"/>
  <c r="R4" i="47"/>
  <c r="Q4" i="47"/>
  <c r="Q31" i="47"/>
  <c r="P4" i="47"/>
  <c r="P136" i="47"/>
  <c r="O4" i="47"/>
  <c r="O31" i="47"/>
  <c r="N4" i="47"/>
  <c r="N107" i="47"/>
  <c r="M4" i="47"/>
  <c r="L4" i="47"/>
  <c r="L136" i="47"/>
  <c r="K4" i="47"/>
  <c r="J4" i="47"/>
  <c r="I4" i="47"/>
  <c r="I31" i="47"/>
  <c r="H4" i="47"/>
  <c r="H136" i="47"/>
  <c r="H160" i="48"/>
  <c r="H114" i="48"/>
  <c r="H113" i="48"/>
  <c r="H48" i="48"/>
  <c r="H51" i="48"/>
  <c r="H149" i="48"/>
  <c r="P142" i="48"/>
  <c r="P156" i="48"/>
  <c r="P33" i="48"/>
  <c r="J124" i="48"/>
  <c r="J111" i="48"/>
  <c r="J148" i="48"/>
  <c r="J147" i="48"/>
  <c r="J146" i="48"/>
  <c r="N100" i="48"/>
  <c r="K160" i="48"/>
  <c r="K114" i="48"/>
  <c r="K113" i="48"/>
  <c r="K48" i="48"/>
  <c r="N103" i="48"/>
  <c r="J102" i="48"/>
  <c r="O96" i="48"/>
  <c r="M106" i="48"/>
  <c r="M51" i="48"/>
  <c r="H151" i="48"/>
  <c r="H147" i="48"/>
  <c r="H150" i="48"/>
  <c r="H148" i="48"/>
  <c r="H146" i="48"/>
  <c r="O97" i="48"/>
  <c r="R155" i="48"/>
  <c r="R141" i="48"/>
  <c r="R33" i="48"/>
  <c r="S35" i="48"/>
  <c r="O122" i="48"/>
  <c r="O121" i="48"/>
  <c r="M124" i="48"/>
  <c r="M111" i="48"/>
  <c r="I106" i="48"/>
  <c r="I51" i="48"/>
  <c r="L150" i="48"/>
  <c r="L148" i="48"/>
  <c r="L146" i="48"/>
  <c r="L151" i="48"/>
  <c r="L149" i="48"/>
  <c r="L147" i="48"/>
  <c r="J122" i="48"/>
  <c r="J121" i="48"/>
  <c r="S94" i="48"/>
  <c r="K99" i="48"/>
  <c r="M121" i="48"/>
  <c r="M122" i="48"/>
  <c r="J106" i="48"/>
  <c r="J51" i="48"/>
  <c r="L99" i="48"/>
  <c r="L100" i="48"/>
  <c r="N124" i="48"/>
  <c r="N111" i="48"/>
  <c r="N151" i="48"/>
  <c r="N150" i="48"/>
  <c r="N149" i="48"/>
  <c r="N148" i="48"/>
  <c r="N147" i="48"/>
  <c r="N146" i="48"/>
  <c r="H121" i="48"/>
  <c r="H122" i="48"/>
  <c r="M97" i="48"/>
  <c r="M107" i="48"/>
  <c r="Q42" i="48"/>
  <c r="Q41" i="48"/>
  <c r="P41" i="48"/>
  <c r="H111" i="48"/>
  <c r="H124" i="48"/>
  <c r="Q167" i="48"/>
  <c r="Q19" i="48"/>
  <c r="R24" i="48"/>
  <c r="Q88" i="48"/>
  <c r="M96" i="48"/>
  <c r="N97" i="48"/>
  <c r="I122" i="48"/>
  <c r="I121" i="48"/>
  <c r="Q94" i="48"/>
  <c r="O160" i="48"/>
  <c r="O114" i="48"/>
  <c r="O113" i="48"/>
  <c r="O48" i="48"/>
  <c r="P100" i="48"/>
  <c r="L160" i="48"/>
  <c r="L114" i="48"/>
  <c r="L113" i="48"/>
  <c r="L48" i="48"/>
  <c r="J105" i="48"/>
  <c r="J57" i="48"/>
  <c r="J73" i="48"/>
  <c r="J92" i="48"/>
  <c r="K32" i="48"/>
  <c r="P165" i="48"/>
  <c r="P119" i="48"/>
  <c r="P120" i="48"/>
  <c r="P95" i="48"/>
  <c r="P96" i="48"/>
  <c r="Q134" i="48"/>
  <c r="Q164" i="48"/>
  <c r="Q4" i="48"/>
  <c r="I99" i="48"/>
  <c r="I100" i="48"/>
  <c r="I103" i="48"/>
  <c r="O124" i="48"/>
  <c r="O111" i="48"/>
  <c r="O151" i="48"/>
  <c r="O150" i="48"/>
  <c r="O149" i="48"/>
  <c r="O148" i="48"/>
  <c r="O147" i="48"/>
  <c r="O146" i="48"/>
  <c r="Q150" i="48"/>
  <c r="Q148" i="48"/>
  <c r="Q146" i="48"/>
  <c r="Q149" i="48"/>
  <c r="Q151" i="48"/>
  <c r="Q147" i="48"/>
  <c r="I150" i="48"/>
  <c r="I148" i="48"/>
  <c r="I146" i="48"/>
  <c r="I147" i="48"/>
  <c r="I149" i="48"/>
  <c r="I151" i="48"/>
  <c r="K165" i="48"/>
  <c r="K119" i="48"/>
  <c r="K120" i="48"/>
  <c r="K95" i="48"/>
  <c r="K96" i="48"/>
  <c r="K97" i="48"/>
  <c r="K18" i="48"/>
  <c r="K31" i="48"/>
  <c r="P97" i="48"/>
  <c r="L102" i="48"/>
  <c r="L111" i="48"/>
  <c r="L124" i="48"/>
  <c r="N122" i="48"/>
  <c r="N121" i="48"/>
  <c r="R135" i="48"/>
  <c r="R87" i="48"/>
  <c r="R10" i="48"/>
  <c r="S15" i="48"/>
  <c r="O99" i="48"/>
  <c r="O100" i="48"/>
  <c r="M102" i="48"/>
  <c r="K124" i="48"/>
  <c r="K111" i="48"/>
  <c r="K151" i="48"/>
  <c r="K150" i="48"/>
  <c r="K149" i="48"/>
  <c r="K148" i="48"/>
  <c r="K147" i="48"/>
  <c r="K146" i="48"/>
  <c r="I96" i="48"/>
  <c r="I97" i="48"/>
  <c r="I107" i="48"/>
  <c r="J94" i="48"/>
  <c r="J97" i="48"/>
  <c r="J107" i="48"/>
  <c r="J99" i="48"/>
  <c r="N106" i="48"/>
  <c r="N51" i="48"/>
  <c r="L122" i="48"/>
  <c r="L102" i="47"/>
  <c r="L90" i="47"/>
  <c r="H109" i="47"/>
  <c r="H115" i="47"/>
  <c r="H119" i="47"/>
  <c r="H127" i="47"/>
  <c r="H106" i="47"/>
  <c r="K87" i="47"/>
  <c r="K95" i="47"/>
  <c r="K57" i="47"/>
  <c r="K73" i="47"/>
  <c r="L32" i="47"/>
  <c r="I109" i="47"/>
  <c r="I115" i="47"/>
  <c r="I119" i="47"/>
  <c r="I127" i="47"/>
  <c r="I106" i="47"/>
  <c r="J125" i="47"/>
  <c r="J123" i="47"/>
  <c r="J121" i="47"/>
  <c r="J120" i="47"/>
  <c r="J122" i="47"/>
  <c r="J124" i="47"/>
  <c r="P99" i="47"/>
  <c r="S136" i="47"/>
  <c r="S107" i="47"/>
  <c r="S137" i="47"/>
  <c r="S104" i="47"/>
  <c r="S103" i="47"/>
  <c r="S138" i="47"/>
  <c r="S110" i="47"/>
  <c r="S139" i="47"/>
  <c r="S97" i="47"/>
  <c r="S98" i="47"/>
  <c r="S142" i="47"/>
  <c r="S114" i="47"/>
  <c r="S108" i="47"/>
  <c r="S31" i="47"/>
  <c r="P113" i="47"/>
  <c r="P112" i="47"/>
  <c r="P116" i="47"/>
  <c r="P128" i="47"/>
  <c r="P117" i="47"/>
  <c r="P133" i="47"/>
  <c r="P131" i="47"/>
  <c r="P118" i="47"/>
  <c r="P46" i="47"/>
  <c r="P89" i="47"/>
  <c r="H110" i="47"/>
  <c r="H138" i="47"/>
  <c r="L110" i="47"/>
  <c r="L138" i="47"/>
  <c r="P110" i="47"/>
  <c r="P138" i="47"/>
  <c r="H114" i="47"/>
  <c r="H142" i="47"/>
  <c r="L142" i="47"/>
  <c r="L114" i="47"/>
  <c r="P108" i="47"/>
  <c r="P142" i="47"/>
  <c r="P114" i="47"/>
  <c r="H31" i="47"/>
  <c r="L31" i="47"/>
  <c r="P31" i="47"/>
  <c r="I128" i="47"/>
  <c r="I117" i="47"/>
  <c r="I116" i="47"/>
  <c r="I112" i="47"/>
  <c r="M128" i="47"/>
  <c r="M117" i="47"/>
  <c r="M116" i="47"/>
  <c r="M113" i="47"/>
  <c r="M91" i="47"/>
  <c r="Q128" i="47"/>
  <c r="Q117" i="47"/>
  <c r="Q116" i="47"/>
  <c r="Q112" i="47"/>
  <c r="Q91" i="47"/>
  <c r="I133" i="47"/>
  <c r="I131" i="47"/>
  <c r="I118" i="47"/>
  <c r="I105" i="47"/>
  <c r="M133" i="47"/>
  <c r="M131" i="47"/>
  <c r="M118" i="47"/>
  <c r="M105" i="47"/>
  <c r="Q133" i="47"/>
  <c r="Q131" i="47"/>
  <c r="Q118" i="47"/>
  <c r="Q105" i="47"/>
  <c r="I46" i="47"/>
  <c r="M46" i="47"/>
  <c r="Q46" i="47"/>
  <c r="I57" i="47"/>
  <c r="I73" i="47"/>
  <c r="I89" i="47"/>
  <c r="M89" i="47"/>
  <c r="Q89" i="47"/>
  <c r="I91" i="47"/>
  <c r="H103" i="47"/>
  <c r="L104" i="47"/>
  <c r="P105" i="47"/>
  <c r="H107" i="47"/>
  <c r="L108" i="47"/>
  <c r="Q110" i="47"/>
  <c r="R118" i="47"/>
  <c r="K136" i="47"/>
  <c r="K107" i="47"/>
  <c r="K137" i="47"/>
  <c r="K104" i="47"/>
  <c r="K103" i="47"/>
  <c r="K138" i="47"/>
  <c r="K110" i="47"/>
  <c r="K139" i="47"/>
  <c r="K97" i="47"/>
  <c r="K98" i="47"/>
  <c r="K142" i="47"/>
  <c r="K114" i="47"/>
  <c r="K108" i="47"/>
  <c r="H113" i="47"/>
  <c r="H112" i="47"/>
  <c r="H116" i="47"/>
  <c r="H128" i="47"/>
  <c r="H117" i="47"/>
  <c r="L133" i="47"/>
  <c r="L131" i="47"/>
  <c r="L118" i="47"/>
  <c r="L46" i="47"/>
  <c r="H91" i="47"/>
  <c r="L105" i="47"/>
  <c r="M136" i="47"/>
  <c r="M107" i="47"/>
  <c r="I137" i="47"/>
  <c r="I104" i="47"/>
  <c r="I103" i="47"/>
  <c r="Q137" i="47"/>
  <c r="Q104" i="47"/>
  <c r="Q103" i="47"/>
  <c r="M138" i="47"/>
  <c r="M110" i="47"/>
  <c r="I139" i="47"/>
  <c r="I97" i="47"/>
  <c r="I98" i="47"/>
  <c r="Q139" i="47"/>
  <c r="Q97" i="47"/>
  <c r="Q98" i="47"/>
  <c r="I142" i="47"/>
  <c r="I114" i="47"/>
  <c r="I108" i="47"/>
  <c r="Q142" i="47"/>
  <c r="Q114" i="47"/>
  <c r="M31" i="47"/>
  <c r="J113" i="47"/>
  <c r="J112" i="47"/>
  <c r="J128" i="47"/>
  <c r="J117" i="47"/>
  <c r="N113" i="47"/>
  <c r="N112" i="47"/>
  <c r="N116" i="47"/>
  <c r="N91" i="47"/>
  <c r="R113" i="47"/>
  <c r="R112" i="47"/>
  <c r="R128" i="47"/>
  <c r="R117" i="47"/>
  <c r="R91" i="47"/>
  <c r="N133" i="47"/>
  <c r="N131" i="47"/>
  <c r="N118" i="47"/>
  <c r="N105" i="47"/>
  <c r="J46" i="47"/>
  <c r="N46" i="47"/>
  <c r="R46" i="47"/>
  <c r="J57" i="47"/>
  <c r="J73" i="47"/>
  <c r="J87" i="47"/>
  <c r="J95" i="47"/>
  <c r="J89" i="47"/>
  <c r="N89" i="47"/>
  <c r="R89" i="47"/>
  <c r="J91" i="47"/>
  <c r="H97" i="47"/>
  <c r="H98" i="47"/>
  <c r="L103" i="47"/>
  <c r="P104" i="47"/>
  <c r="L107" i="47"/>
  <c r="Q108" i="47"/>
  <c r="M112" i="47"/>
  <c r="R116" i="47"/>
  <c r="N128" i="47"/>
  <c r="J133" i="47"/>
  <c r="O136" i="47"/>
  <c r="O107" i="47"/>
  <c r="O137" i="47"/>
  <c r="O104" i="47"/>
  <c r="O103" i="47"/>
  <c r="O138" i="47"/>
  <c r="O110" i="47"/>
  <c r="O139" i="47"/>
  <c r="O97" i="47"/>
  <c r="O98" i="47"/>
  <c r="O142" i="47"/>
  <c r="O114" i="47"/>
  <c r="O108" i="47"/>
  <c r="K31" i="47"/>
  <c r="L113" i="47"/>
  <c r="L112" i="47"/>
  <c r="L128" i="47"/>
  <c r="L117" i="47"/>
  <c r="L116" i="47"/>
  <c r="H133" i="47"/>
  <c r="H131" i="47"/>
  <c r="H118" i="47"/>
  <c r="H46" i="47"/>
  <c r="H89" i="47"/>
  <c r="P91" i="47"/>
  <c r="I136" i="47"/>
  <c r="I107" i="47"/>
  <c r="Q136" i="47"/>
  <c r="Q107" i="47"/>
  <c r="M137" i="47"/>
  <c r="M104" i="47"/>
  <c r="M103" i="47"/>
  <c r="M139" i="47"/>
  <c r="M97" i="47"/>
  <c r="M98" i="47"/>
  <c r="M142" i="47"/>
  <c r="M114" i="47"/>
  <c r="M108" i="47"/>
  <c r="J136" i="47"/>
  <c r="J107" i="47"/>
  <c r="R136" i="47"/>
  <c r="R107" i="47"/>
  <c r="J104" i="47"/>
  <c r="J103" i="47"/>
  <c r="N137" i="47"/>
  <c r="N104" i="47"/>
  <c r="N103" i="47"/>
  <c r="R104" i="47"/>
  <c r="R103" i="47"/>
  <c r="J110" i="47"/>
  <c r="J138" i="47"/>
  <c r="N110" i="47"/>
  <c r="R138" i="47"/>
  <c r="R110" i="47"/>
  <c r="J139" i="47"/>
  <c r="J97" i="47"/>
  <c r="J98" i="47"/>
  <c r="N139" i="47"/>
  <c r="N97" i="47"/>
  <c r="N98" i="47"/>
  <c r="R139" i="47"/>
  <c r="R97" i="47"/>
  <c r="R98" i="47"/>
  <c r="J142" i="47"/>
  <c r="J108" i="47"/>
  <c r="N142" i="47"/>
  <c r="N114" i="47"/>
  <c r="N108" i="47"/>
  <c r="R142" i="47"/>
  <c r="R108" i="47"/>
  <c r="J31" i="47"/>
  <c r="N31" i="47"/>
  <c r="R31" i="47"/>
  <c r="K128" i="47"/>
  <c r="K117" i="47"/>
  <c r="K116" i="47"/>
  <c r="K112" i="47"/>
  <c r="K91" i="47"/>
  <c r="K113" i="47"/>
  <c r="O128" i="47"/>
  <c r="O117" i="47"/>
  <c r="O116" i="47"/>
  <c r="O113" i="47"/>
  <c r="O91" i="47"/>
  <c r="O112" i="47"/>
  <c r="S128" i="47"/>
  <c r="S117" i="47"/>
  <c r="S116" i="47"/>
  <c r="S112" i="47"/>
  <c r="S91" i="47"/>
  <c r="S113" i="47"/>
  <c r="K133" i="47"/>
  <c r="K131" i="47"/>
  <c r="K118" i="47"/>
  <c r="K105" i="47"/>
  <c r="O133" i="47"/>
  <c r="O131" i="47"/>
  <c r="O118" i="47"/>
  <c r="O105" i="47"/>
  <c r="S133" i="47"/>
  <c r="S131" i="47"/>
  <c r="S118" i="47"/>
  <c r="S105" i="47"/>
  <c r="K46" i="47"/>
  <c r="O46" i="47"/>
  <c r="S46" i="47"/>
  <c r="K89" i="47"/>
  <c r="O89" i="47"/>
  <c r="S89" i="47"/>
  <c r="L91" i="47"/>
  <c r="L97" i="47"/>
  <c r="L98" i="47"/>
  <c r="P103" i="47"/>
  <c r="H105" i="47"/>
  <c r="P107" i="47"/>
  <c r="I113" i="47"/>
  <c r="R114" i="47"/>
  <c r="N117" i="47"/>
  <c r="J131" i="47"/>
  <c r="R133" i="47"/>
  <c r="N136" i="47"/>
  <c r="S167" i="46"/>
  <c r="R167" i="46"/>
  <c r="Q167" i="46"/>
  <c r="P167" i="46"/>
  <c r="O167" i="46"/>
  <c r="N167" i="46"/>
  <c r="M167" i="46"/>
  <c r="L167" i="46"/>
  <c r="K167" i="46"/>
  <c r="J167" i="46"/>
  <c r="I167" i="46"/>
  <c r="H167" i="46"/>
  <c r="S166" i="46"/>
  <c r="R166" i="46"/>
  <c r="Q166" i="46"/>
  <c r="P166" i="46"/>
  <c r="O166" i="46"/>
  <c r="N166" i="46"/>
  <c r="M166" i="46"/>
  <c r="L166" i="46"/>
  <c r="K166" i="46"/>
  <c r="J166" i="46"/>
  <c r="I166" i="46"/>
  <c r="H166" i="46"/>
  <c r="P165" i="46"/>
  <c r="L164" i="46"/>
  <c r="H163" i="46"/>
  <c r="S156" i="46"/>
  <c r="R156" i="46"/>
  <c r="Q156" i="46"/>
  <c r="P156" i="46"/>
  <c r="O156" i="46"/>
  <c r="N156" i="46"/>
  <c r="M156" i="46"/>
  <c r="L156" i="46"/>
  <c r="K156" i="46"/>
  <c r="J156" i="46"/>
  <c r="I156" i="46"/>
  <c r="H156" i="46"/>
  <c r="S155" i="46"/>
  <c r="R155" i="46"/>
  <c r="Q155" i="46"/>
  <c r="P155" i="46"/>
  <c r="O155" i="46"/>
  <c r="N155" i="46"/>
  <c r="M155" i="46"/>
  <c r="L155" i="46"/>
  <c r="K155" i="46"/>
  <c r="J155" i="46"/>
  <c r="I155" i="46"/>
  <c r="H155" i="46"/>
  <c r="E138" i="46"/>
  <c r="N137" i="46"/>
  <c r="S135" i="46"/>
  <c r="R135" i="46"/>
  <c r="Q135" i="46"/>
  <c r="P135" i="46"/>
  <c r="O135" i="46"/>
  <c r="N135" i="46"/>
  <c r="M135" i="46"/>
  <c r="L135" i="46"/>
  <c r="K135" i="46"/>
  <c r="J135" i="46"/>
  <c r="I135" i="46"/>
  <c r="H135" i="46"/>
  <c r="R131" i="46"/>
  <c r="S130" i="46"/>
  <c r="O130" i="46"/>
  <c r="H130" i="46"/>
  <c r="K127" i="46"/>
  <c r="S126" i="46"/>
  <c r="L126" i="46"/>
  <c r="H126" i="46"/>
  <c r="S125" i="46"/>
  <c r="O125" i="46"/>
  <c r="H125" i="46"/>
  <c r="O124" i="46"/>
  <c r="S123" i="46"/>
  <c r="R123" i="46"/>
  <c r="Q123" i="46"/>
  <c r="P123" i="46"/>
  <c r="O123" i="46"/>
  <c r="N123" i="46"/>
  <c r="M123" i="46"/>
  <c r="L123" i="46"/>
  <c r="K123" i="46"/>
  <c r="J123" i="46"/>
  <c r="I123" i="46"/>
  <c r="P119" i="46"/>
  <c r="P120" i="46"/>
  <c r="O119" i="46"/>
  <c r="O120" i="46"/>
  <c r="K119" i="46"/>
  <c r="K120" i="46"/>
  <c r="K121" i="46"/>
  <c r="S118" i="46"/>
  <c r="R118" i="46"/>
  <c r="Q118" i="46"/>
  <c r="P118" i="46"/>
  <c r="O118" i="46"/>
  <c r="N118" i="46"/>
  <c r="M118" i="46"/>
  <c r="L118" i="46"/>
  <c r="K118" i="46"/>
  <c r="J118" i="46"/>
  <c r="I118" i="46"/>
  <c r="H118" i="46"/>
  <c r="S115" i="46"/>
  <c r="R115" i="46"/>
  <c r="Q115" i="46"/>
  <c r="P115" i="46"/>
  <c r="O115" i="46"/>
  <c r="N115" i="46"/>
  <c r="H115" i="46"/>
  <c r="S112" i="46"/>
  <c r="O112" i="46"/>
  <c r="N112" i="46"/>
  <c r="K112" i="46"/>
  <c r="J112" i="46"/>
  <c r="R111" i="46"/>
  <c r="O111" i="46"/>
  <c r="J111" i="46"/>
  <c r="S110" i="46"/>
  <c r="S124" i="46"/>
  <c r="R110" i="46"/>
  <c r="R124" i="46"/>
  <c r="O110" i="46"/>
  <c r="N110" i="46"/>
  <c r="N124" i="46"/>
  <c r="K110" i="46"/>
  <c r="K111" i="46"/>
  <c r="J110" i="46"/>
  <c r="J124" i="46"/>
  <c r="I105" i="46"/>
  <c r="H105" i="46"/>
  <c r="S101" i="46"/>
  <c r="S102" i="46"/>
  <c r="R101" i="46"/>
  <c r="O101" i="46"/>
  <c r="O102" i="46"/>
  <c r="N101" i="46"/>
  <c r="S95" i="46"/>
  <c r="P95" i="46"/>
  <c r="P96" i="46"/>
  <c r="O95" i="46"/>
  <c r="L95" i="46"/>
  <c r="L96" i="46"/>
  <c r="K95" i="46"/>
  <c r="H95" i="46"/>
  <c r="S93" i="46"/>
  <c r="O93" i="46"/>
  <c r="K93" i="46"/>
  <c r="S90" i="46"/>
  <c r="R90" i="46"/>
  <c r="Q90" i="46"/>
  <c r="P90" i="46"/>
  <c r="O90" i="46"/>
  <c r="S89" i="46"/>
  <c r="R89" i="46"/>
  <c r="Q89" i="46"/>
  <c r="P89" i="46"/>
  <c r="O89" i="46"/>
  <c r="N89" i="46"/>
  <c r="M89" i="46"/>
  <c r="L89" i="46"/>
  <c r="K89" i="46"/>
  <c r="J89" i="46"/>
  <c r="I89" i="46"/>
  <c r="S88" i="46"/>
  <c r="R88" i="46"/>
  <c r="Q88" i="46"/>
  <c r="P88" i="46"/>
  <c r="O88" i="46"/>
  <c r="N88" i="46"/>
  <c r="M88" i="46"/>
  <c r="L88" i="46"/>
  <c r="K88" i="46"/>
  <c r="J88" i="46"/>
  <c r="I88" i="46"/>
  <c r="S87" i="46"/>
  <c r="R87" i="46"/>
  <c r="Q87" i="46"/>
  <c r="P87" i="46"/>
  <c r="O87" i="46"/>
  <c r="N87" i="46"/>
  <c r="M87" i="46"/>
  <c r="L87" i="46"/>
  <c r="K87" i="46"/>
  <c r="J87" i="46"/>
  <c r="I87" i="46"/>
  <c r="S86" i="46"/>
  <c r="R86" i="46"/>
  <c r="Q86" i="46"/>
  <c r="P86" i="46"/>
  <c r="O86" i="46"/>
  <c r="N86" i="46"/>
  <c r="M86" i="46"/>
  <c r="L86" i="46"/>
  <c r="K86" i="46"/>
  <c r="J86" i="46"/>
  <c r="I86" i="46"/>
  <c r="H86" i="46"/>
  <c r="H79" i="46"/>
  <c r="H123" i="46"/>
  <c r="S71" i="46"/>
  <c r="R71" i="46"/>
  <c r="Q71" i="46"/>
  <c r="P71" i="46"/>
  <c r="O71" i="46"/>
  <c r="N71" i="46"/>
  <c r="M71" i="46"/>
  <c r="L71" i="46"/>
  <c r="K71" i="46"/>
  <c r="J71" i="46"/>
  <c r="I71" i="46"/>
  <c r="H71" i="46"/>
  <c r="I57" i="46"/>
  <c r="I73" i="46"/>
  <c r="I92" i="46"/>
  <c r="H57" i="46"/>
  <c r="H73" i="46"/>
  <c r="H92" i="46"/>
  <c r="S41" i="46"/>
  <c r="S158" i="46"/>
  <c r="R41" i="46"/>
  <c r="R158" i="46"/>
  <c r="Q41" i="46"/>
  <c r="Q158" i="46"/>
  <c r="P41" i="46"/>
  <c r="P158" i="46"/>
  <c r="O41" i="46"/>
  <c r="O158" i="46"/>
  <c r="N41" i="46"/>
  <c r="N158" i="46"/>
  <c r="M41" i="46"/>
  <c r="M158" i="46"/>
  <c r="L41" i="46"/>
  <c r="L158" i="46"/>
  <c r="K41" i="46"/>
  <c r="K158" i="46"/>
  <c r="J41" i="46"/>
  <c r="J158" i="46"/>
  <c r="I41" i="46"/>
  <c r="I158" i="46"/>
  <c r="H41" i="46"/>
  <c r="H158" i="46"/>
  <c r="S38" i="46"/>
  <c r="S127" i="46"/>
  <c r="R38" i="46"/>
  <c r="Q38" i="46"/>
  <c r="Q127" i="46"/>
  <c r="P38" i="46"/>
  <c r="O38" i="46"/>
  <c r="N38" i="46"/>
  <c r="M38" i="46"/>
  <c r="L38" i="46"/>
  <c r="L127" i="46"/>
  <c r="K38" i="46"/>
  <c r="J38" i="46"/>
  <c r="I38" i="46"/>
  <c r="I157" i="46"/>
  <c r="H38" i="46"/>
  <c r="H159" i="46"/>
  <c r="S33" i="46"/>
  <c r="R33" i="46"/>
  <c r="Q33" i="46"/>
  <c r="Q46" i="46"/>
  <c r="P33" i="46"/>
  <c r="O33" i="46"/>
  <c r="N33" i="46"/>
  <c r="M33" i="46"/>
  <c r="L33" i="46"/>
  <c r="L46" i="46"/>
  <c r="K33" i="46"/>
  <c r="J33" i="46"/>
  <c r="I33" i="46"/>
  <c r="H33" i="46"/>
  <c r="I32" i="46"/>
  <c r="J32" i="46"/>
  <c r="S31" i="46"/>
  <c r="O31" i="46"/>
  <c r="I29" i="46"/>
  <c r="I90" i="46"/>
  <c r="S27" i="46"/>
  <c r="R27" i="46"/>
  <c r="Q27" i="46"/>
  <c r="Q138" i="46"/>
  <c r="P27" i="46"/>
  <c r="O27" i="46"/>
  <c r="O131" i="46"/>
  <c r="N27" i="46"/>
  <c r="I27" i="46"/>
  <c r="H27" i="46"/>
  <c r="H131" i="46"/>
  <c r="H21" i="46"/>
  <c r="S19" i="46"/>
  <c r="S165" i="46"/>
  <c r="R19" i="46"/>
  <c r="Q19" i="46"/>
  <c r="P19" i="46"/>
  <c r="O19" i="46"/>
  <c r="O165" i="46"/>
  <c r="N19" i="46"/>
  <c r="M19" i="46"/>
  <c r="L19" i="46"/>
  <c r="L165" i="46"/>
  <c r="K19" i="46"/>
  <c r="K165" i="46"/>
  <c r="J19" i="46"/>
  <c r="I19" i="46"/>
  <c r="I119" i="46"/>
  <c r="I120" i="46"/>
  <c r="H19" i="46"/>
  <c r="H119" i="46"/>
  <c r="H120" i="46"/>
  <c r="S18" i="46"/>
  <c r="R18" i="46"/>
  <c r="Q18" i="46"/>
  <c r="O18" i="46"/>
  <c r="S10" i="46"/>
  <c r="R10" i="46"/>
  <c r="Q10" i="46"/>
  <c r="Q164" i="46"/>
  <c r="P10" i="46"/>
  <c r="O10" i="46"/>
  <c r="N10" i="46"/>
  <c r="M10" i="46"/>
  <c r="L10" i="46"/>
  <c r="K10" i="46"/>
  <c r="J10" i="46"/>
  <c r="I10" i="46"/>
  <c r="H10" i="46"/>
  <c r="S5" i="46"/>
  <c r="S163" i="46"/>
  <c r="R5" i="46"/>
  <c r="Q5" i="46"/>
  <c r="P5" i="46"/>
  <c r="P126" i="46"/>
  <c r="O5" i="46"/>
  <c r="O163" i="46"/>
  <c r="N5" i="46"/>
  <c r="N93" i="46"/>
  <c r="M5" i="46"/>
  <c r="M126" i="46"/>
  <c r="L5" i="46"/>
  <c r="L163" i="46"/>
  <c r="K5" i="46"/>
  <c r="K163" i="46"/>
  <c r="J5" i="46"/>
  <c r="J4" i="46"/>
  <c r="I5" i="46"/>
  <c r="I125" i="46"/>
  <c r="H5" i="46"/>
  <c r="H93" i="46"/>
  <c r="S4" i="46"/>
  <c r="S162" i="46"/>
  <c r="R4" i="46"/>
  <c r="Q4" i="46"/>
  <c r="P4" i="46"/>
  <c r="P162" i="46"/>
  <c r="O4" i="46"/>
  <c r="O162" i="46"/>
  <c r="N4" i="46"/>
  <c r="N136" i="46"/>
  <c r="M4" i="46"/>
  <c r="L4" i="46"/>
  <c r="L130" i="46"/>
  <c r="K4" i="46"/>
  <c r="K162" i="46"/>
  <c r="I4" i="46"/>
  <c r="I130" i="46"/>
  <c r="H4" i="46"/>
  <c r="H162" i="46"/>
  <c r="J100" i="48"/>
  <c r="Q130" i="48"/>
  <c r="Q162" i="48"/>
  <c r="Q99" i="48"/>
  <c r="Q100" i="48"/>
  <c r="Q136" i="48"/>
  <c r="K57" i="48"/>
  <c r="K73" i="48"/>
  <c r="K92" i="48"/>
  <c r="K105" i="48"/>
  <c r="L32" i="48"/>
  <c r="O106" i="48"/>
  <c r="O107" i="48"/>
  <c r="O51" i="48"/>
  <c r="Q165" i="48"/>
  <c r="Q95" i="48"/>
  <c r="Q96" i="48"/>
  <c r="Q97" i="48"/>
  <c r="Q119" i="48"/>
  <c r="Q120" i="48"/>
  <c r="P158" i="48"/>
  <c r="P127" i="48"/>
  <c r="P157" i="48"/>
  <c r="P143" i="48"/>
  <c r="J161" i="48"/>
  <c r="J52" i="48"/>
  <c r="K100" i="48"/>
  <c r="K103" i="48"/>
  <c r="S155" i="48"/>
  <c r="S33" i="48"/>
  <c r="K106" i="48"/>
  <c r="K107" i="48"/>
  <c r="K51" i="48"/>
  <c r="J150" i="48"/>
  <c r="P154" i="48"/>
  <c r="P137" i="48"/>
  <c r="P112" i="48"/>
  <c r="P110" i="48"/>
  <c r="P46" i="48"/>
  <c r="P136" i="48"/>
  <c r="P141" i="48"/>
  <c r="S135" i="48"/>
  <c r="S10" i="48"/>
  <c r="S87" i="48"/>
  <c r="L103" i="48"/>
  <c r="K122" i="48"/>
  <c r="K121" i="48"/>
  <c r="P122" i="48"/>
  <c r="P121" i="48"/>
  <c r="Q158" i="48"/>
  <c r="Q46" i="48"/>
  <c r="Q112" i="48"/>
  <c r="Q127" i="48"/>
  <c r="Q110" i="48"/>
  <c r="Q157" i="48"/>
  <c r="Q143" i="48"/>
  <c r="R154" i="48"/>
  <c r="R142" i="48"/>
  <c r="R137" i="48"/>
  <c r="R112" i="48"/>
  <c r="R110" i="48"/>
  <c r="R46" i="48"/>
  <c r="J151" i="48"/>
  <c r="N161" i="48"/>
  <c r="N52" i="48"/>
  <c r="R164" i="48"/>
  <c r="R4" i="48"/>
  <c r="J117" i="48"/>
  <c r="J109" i="48"/>
  <c r="I161" i="48"/>
  <c r="I52" i="48"/>
  <c r="R151" i="48"/>
  <c r="R150" i="48"/>
  <c r="R149" i="48"/>
  <c r="R148" i="48"/>
  <c r="R147" i="48"/>
  <c r="R146" i="48"/>
  <c r="J103" i="48"/>
  <c r="M100" i="48"/>
  <c r="M103" i="48"/>
  <c r="L51" i="48"/>
  <c r="L106" i="48"/>
  <c r="N107" i="48"/>
  <c r="R167" i="48"/>
  <c r="S24" i="48"/>
  <c r="R88" i="48"/>
  <c r="R19" i="48"/>
  <c r="M161" i="48"/>
  <c r="M52" i="48"/>
  <c r="L96" i="48"/>
  <c r="L97" i="48"/>
  <c r="L107" i="48"/>
  <c r="J149" i="48"/>
  <c r="H161" i="48"/>
  <c r="H52" i="48"/>
  <c r="O125" i="47"/>
  <c r="O124" i="47"/>
  <c r="O123" i="47"/>
  <c r="O122" i="47"/>
  <c r="O121" i="47"/>
  <c r="O120" i="47"/>
  <c r="R134" i="47"/>
  <c r="R93" i="47"/>
  <c r="R92" i="47"/>
  <c r="R88" i="47"/>
  <c r="R48" i="47"/>
  <c r="R51" i="47"/>
  <c r="Q125" i="47"/>
  <c r="Q124" i="47"/>
  <c r="Q123" i="47"/>
  <c r="Q122" i="47"/>
  <c r="Q121" i="47"/>
  <c r="Q120" i="47"/>
  <c r="P90" i="47"/>
  <c r="P102" i="47"/>
  <c r="S102" i="47"/>
  <c r="S90" i="47"/>
  <c r="O134" i="47"/>
  <c r="O93" i="47"/>
  <c r="O92" i="47"/>
  <c r="O88" i="47"/>
  <c r="O48" i="47"/>
  <c r="O51" i="47"/>
  <c r="N100" i="47"/>
  <c r="N99" i="47"/>
  <c r="H100" i="47"/>
  <c r="H99" i="47"/>
  <c r="J102" i="47"/>
  <c r="J90" i="47"/>
  <c r="N93" i="47"/>
  <c r="N92" i="47"/>
  <c r="N88" i="47"/>
  <c r="N48" i="47"/>
  <c r="N51" i="47"/>
  <c r="N134" i="47"/>
  <c r="N124" i="47"/>
  <c r="N122" i="47"/>
  <c r="N120" i="47"/>
  <c r="N125" i="47"/>
  <c r="N121" i="47"/>
  <c r="N123" i="47"/>
  <c r="I102" i="47"/>
  <c r="I90" i="47"/>
  <c r="I134" i="47"/>
  <c r="I93" i="47"/>
  <c r="I92" i="47"/>
  <c r="I88" i="47"/>
  <c r="I48" i="47"/>
  <c r="I51" i="47"/>
  <c r="I123" i="47"/>
  <c r="M125" i="47"/>
  <c r="M124" i="47"/>
  <c r="M123" i="47"/>
  <c r="M122" i="47"/>
  <c r="M121" i="47"/>
  <c r="M120" i="47"/>
  <c r="I124" i="47"/>
  <c r="I122" i="47"/>
  <c r="I121" i="47"/>
  <c r="I120" i="47"/>
  <c r="P134" i="47"/>
  <c r="P92" i="47"/>
  <c r="P93" i="47"/>
  <c r="P48" i="47"/>
  <c r="P51" i="47"/>
  <c r="P88" i="47"/>
  <c r="L87" i="47"/>
  <c r="L95" i="47"/>
  <c r="M32" i="47"/>
  <c r="L57" i="47"/>
  <c r="L73" i="47"/>
  <c r="M100" i="47"/>
  <c r="M99" i="47"/>
  <c r="M102" i="47"/>
  <c r="M90" i="47"/>
  <c r="O102" i="47"/>
  <c r="O90" i="47"/>
  <c r="K134" i="47"/>
  <c r="K93" i="47"/>
  <c r="K92" i="47"/>
  <c r="K88" i="47"/>
  <c r="K48" i="47"/>
  <c r="K51" i="47"/>
  <c r="S125" i="47"/>
  <c r="S124" i="47"/>
  <c r="S123" i="47"/>
  <c r="S122" i="47"/>
  <c r="S121" i="47"/>
  <c r="S120" i="47"/>
  <c r="K125" i="47"/>
  <c r="K124" i="47"/>
  <c r="K123" i="47"/>
  <c r="K122" i="47"/>
  <c r="K121" i="47"/>
  <c r="K120" i="47"/>
  <c r="H90" i="47"/>
  <c r="H102" i="47"/>
  <c r="J109" i="47"/>
  <c r="J115" i="47"/>
  <c r="J119" i="47"/>
  <c r="J127" i="47"/>
  <c r="J106" i="47"/>
  <c r="J134" i="47"/>
  <c r="J93" i="47"/>
  <c r="J92" i="47"/>
  <c r="J88" i="47"/>
  <c r="J48" i="47"/>
  <c r="J51" i="47"/>
  <c r="Q100" i="47"/>
  <c r="Q99" i="47"/>
  <c r="L134" i="47"/>
  <c r="L92" i="47"/>
  <c r="L88" i="47"/>
  <c r="L93" i="47"/>
  <c r="L48" i="47"/>
  <c r="L51" i="47"/>
  <c r="K100" i="47"/>
  <c r="K99" i="47"/>
  <c r="S100" i="47"/>
  <c r="S99" i="47"/>
  <c r="S134" i="47"/>
  <c r="S93" i="47"/>
  <c r="S92" i="47"/>
  <c r="S88" i="47"/>
  <c r="S48" i="47"/>
  <c r="S51" i="47"/>
  <c r="O100" i="47"/>
  <c r="O99" i="47"/>
  <c r="N102" i="47"/>
  <c r="N90" i="47"/>
  <c r="I100" i="47"/>
  <c r="I99" i="47"/>
  <c r="H122" i="47"/>
  <c r="H120" i="47"/>
  <c r="H125" i="47"/>
  <c r="H121" i="47"/>
  <c r="M134" i="47"/>
  <c r="M93" i="47"/>
  <c r="M92" i="47"/>
  <c r="M88" i="47"/>
  <c r="M48" i="47"/>
  <c r="M51" i="47"/>
  <c r="L99" i="47"/>
  <c r="L100" i="47"/>
  <c r="K102" i="47"/>
  <c r="K90" i="47"/>
  <c r="R100" i="47"/>
  <c r="R99" i="47"/>
  <c r="J100" i="47"/>
  <c r="J99" i="47"/>
  <c r="H134" i="47"/>
  <c r="H88" i="47"/>
  <c r="H48" i="47"/>
  <c r="H51" i="47"/>
  <c r="H92" i="47"/>
  <c r="H93" i="47"/>
  <c r="L125" i="47"/>
  <c r="L123" i="47"/>
  <c r="L121" i="47"/>
  <c r="L124" i="47"/>
  <c r="L122" i="47"/>
  <c r="L120" i="47"/>
  <c r="R125" i="47"/>
  <c r="R123" i="47"/>
  <c r="R121" i="47"/>
  <c r="R122" i="47"/>
  <c r="R124" i="47"/>
  <c r="R120" i="47"/>
  <c r="R102" i="47"/>
  <c r="R90" i="47"/>
  <c r="Q102" i="47"/>
  <c r="Q90" i="47"/>
  <c r="Q134" i="47"/>
  <c r="Q93" i="47"/>
  <c r="Q92" i="47"/>
  <c r="Q88" i="47"/>
  <c r="Q48" i="47"/>
  <c r="Q51" i="47"/>
  <c r="P124" i="47"/>
  <c r="P122" i="47"/>
  <c r="P120" i="47"/>
  <c r="P125" i="47"/>
  <c r="P123" i="47"/>
  <c r="P121" i="47"/>
  <c r="P100" i="47"/>
  <c r="K109" i="47"/>
  <c r="K115" i="47"/>
  <c r="K119" i="47"/>
  <c r="K127" i="47"/>
  <c r="K106" i="47"/>
  <c r="J162" i="46"/>
  <c r="J130" i="46"/>
  <c r="J99" i="46"/>
  <c r="Q160" i="46"/>
  <c r="Q113" i="46"/>
  <c r="Q48" i="46"/>
  <c r="Q114" i="46"/>
  <c r="I121" i="46"/>
  <c r="L160" i="46"/>
  <c r="L48" i="46"/>
  <c r="L114" i="46"/>
  <c r="L113" i="46"/>
  <c r="O94" i="46"/>
  <c r="O122" i="46"/>
  <c r="O121" i="46"/>
  <c r="H121" i="46"/>
  <c r="S94" i="46"/>
  <c r="R162" i="46"/>
  <c r="R130" i="46"/>
  <c r="R31" i="46"/>
  <c r="R136" i="46"/>
  <c r="J164" i="46"/>
  <c r="J134" i="46"/>
  <c r="N165" i="46"/>
  <c r="N119" i="46"/>
  <c r="N120" i="46"/>
  <c r="N95" i="46"/>
  <c r="M141" i="46"/>
  <c r="M137" i="46"/>
  <c r="M136" i="46"/>
  <c r="M112" i="46"/>
  <c r="M110" i="46"/>
  <c r="M154" i="46"/>
  <c r="K124" i="46"/>
  <c r="Q134" i="46"/>
  <c r="H138" i="46"/>
  <c r="M142" i="46"/>
  <c r="P131" i="46"/>
  <c r="P168" i="46"/>
  <c r="P138" i="46"/>
  <c r="P18" i="46"/>
  <c r="P31" i="46"/>
  <c r="P101" i="46"/>
  <c r="P102" i="46"/>
  <c r="J136" i="46"/>
  <c r="O96" i="46"/>
  <c r="P121" i="46"/>
  <c r="M125" i="46"/>
  <c r="L143" i="46"/>
  <c r="N162" i="46"/>
  <c r="N130" i="46"/>
  <c r="N31" i="46"/>
  <c r="N163" i="46"/>
  <c r="N126" i="46"/>
  <c r="N125" i="46"/>
  <c r="R163" i="46"/>
  <c r="R126" i="46"/>
  <c r="R125" i="46"/>
  <c r="N164" i="46"/>
  <c r="N134" i="46"/>
  <c r="R164" i="46"/>
  <c r="R134" i="46"/>
  <c r="J165" i="46"/>
  <c r="J119" i="46"/>
  <c r="J120" i="46"/>
  <c r="J95" i="46"/>
  <c r="J96" i="46"/>
  <c r="R165" i="46"/>
  <c r="R119" i="46"/>
  <c r="R120" i="46"/>
  <c r="R95" i="46"/>
  <c r="I168" i="46"/>
  <c r="I101" i="46"/>
  <c r="I138" i="46"/>
  <c r="I131" i="46"/>
  <c r="I154" i="46"/>
  <c r="I142" i="46"/>
  <c r="I136" i="46"/>
  <c r="I112" i="46"/>
  <c r="I110" i="46"/>
  <c r="I141" i="46"/>
  <c r="I137" i="46"/>
  <c r="I143" i="46"/>
  <c r="I127" i="46"/>
  <c r="I159" i="46"/>
  <c r="M159" i="46"/>
  <c r="M157" i="46"/>
  <c r="M143" i="46"/>
  <c r="M127" i="46"/>
  <c r="Q159" i="46"/>
  <c r="Q157" i="46"/>
  <c r="Q143" i="46"/>
  <c r="I46" i="46"/>
  <c r="I117" i="46"/>
  <c r="I109" i="46"/>
  <c r="K122" i="46"/>
  <c r="N18" i="46"/>
  <c r="I18" i="46"/>
  <c r="Q168" i="46"/>
  <c r="Q131" i="46"/>
  <c r="Q101" i="46"/>
  <c r="Q102" i="46"/>
  <c r="J29" i="46"/>
  <c r="K32" i="46"/>
  <c r="J105" i="46"/>
  <c r="J57" i="46"/>
  <c r="J73" i="46"/>
  <c r="J92" i="46"/>
  <c r="M46" i="46"/>
  <c r="N99" i="46"/>
  <c r="S111" i="46"/>
  <c r="I115" i="46"/>
  <c r="J163" i="46"/>
  <c r="J126" i="46"/>
  <c r="J125" i="46"/>
  <c r="Q154" i="46"/>
  <c r="Q142" i="46"/>
  <c r="Q136" i="46"/>
  <c r="Q112" i="46"/>
  <c r="Q110" i="46"/>
  <c r="Q137" i="46"/>
  <c r="Q141" i="46"/>
  <c r="I162" i="46"/>
  <c r="I31" i="46"/>
  <c r="M162" i="46"/>
  <c r="Q162" i="46"/>
  <c r="Q130" i="46"/>
  <c r="Q31" i="46"/>
  <c r="I93" i="46"/>
  <c r="I94" i="46"/>
  <c r="I97" i="46"/>
  <c r="I126" i="46"/>
  <c r="I163" i="46"/>
  <c r="M163" i="46"/>
  <c r="M93" i="46"/>
  <c r="Q163" i="46"/>
  <c r="Q125" i="46"/>
  <c r="Q93" i="46"/>
  <c r="I164" i="46"/>
  <c r="I134" i="46"/>
  <c r="M134" i="46"/>
  <c r="M164" i="46"/>
  <c r="I165" i="46"/>
  <c r="I95" i="46"/>
  <c r="I96" i="46"/>
  <c r="M165" i="46"/>
  <c r="M119" i="46"/>
  <c r="M120" i="46"/>
  <c r="M95" i="46"/>
  <c r="M96" i="46"/>
  <c r="Q165" i="46"/>
  <c r="Q119" i="46"/>
  <c r="Q120" i="46"/>
  <c r="Q95" i="46"/>
  <c r="Q96" i="46"/>
  <c r="H168" i="46"/>
  <c r="H18" i="46"/>
  <c r="H31" i="46"/>
  <c r="H101" i="46"/>
  <c r="H137" i="46"/>
  <c r="H136" i="46"/>
  <c r="H154" i="46"/>
  <c r="H141" i="46"/>
  <c r="H142" i="46"/>
  <c r="H112" i="46"/>
  <c r="H110" i="46"/>
  <c r="L137" i="46"/>
  <c r="L136" i="46"/>
  <c r="L142" i="46"/>
  <c r="L141" i="46"/>
  <c r="L112" i="46"/>
  <c r="L110" i="46"/>
  <c r="P137" i="46"/>
  <c r="P136" i="46"/>
  <c r="P142" i="46"/>
  <c r="P154" i="46"/>
  <c r="P112" i="46"/>
  <c r="P110" i="46"/>
  <c r="H157" i="46"/>
  <c r="H143" i="46"/>
  <c r="H127" i="46"/>
  <c r="L159" i="46"/>
  <c r="L157" i="46"/>
  <c r="P159" i="46"/>
  <c r="P157" i="46"/>
  <c r="P143" i="46"/>
  <c r="H46" i="46"/>
  <c r="P46" i="46"/>
  <c r="J93" i="46"/>
  <c r="R93" i="46"/>
  <c r="R94" i="46"/>
  <c r="S96" i="46"/>
  <c r="Q99" i="46"/>
  <c r="R102" i="46"/>
  <c r="H117" i="46"/>
  <c r="H109" i="46"/>
  <c r="N111" i="46"/>
  <c r="Q126" i="46"/>
  <c r="P127" i="46"/>
  <c r="M130" i="46"/>
  <c r="P141" i="46"/>
  <c r="L154" i="46"/>
  <c r="K164" i="46"/>
  <c r="K134" i="46"/>
  <c r="O164" i="46"/>
  <c r="O134" i="46"/>
  <c r="N168" i="46"/>
  <c r="N138" i="46"/>
  <c r="N131" i="46"/>
  <c r="R154" i="46"/>
  <c r="R142" i="46"/>
  <c r="R141" i="46"/>
  <c r="R112" i="46"/>
  <c r="N159" i="46"/>
  <c r="N157" i="46"/>
  <c r="N143" i="46"/>
  <c r="N127" i="46"/>
  <c r="R46" i="46"/>
  <c r="L93" i="46"/>
  <c r="L94" i="46"/>
  <c r="L97" i="46"/>
  <c r="P93" i="46"/>
  <c r="P94" i="46"/>
  <c r="P97" i="46"/>
  <c r="K99" i="46"/>
  <c r="O99" i="46"/>
  <c r="O100" i="46"/>
  <c r="O103" i="46"/>
  <c r="S99" i="46"/>
  <c r="L119" i="46"/>
  <c r="L120" i="46"/>
  <c r="K125" i="46"/>
  <c r="P125" i="46"/>
  <c r="O126" i="46"/>
  <c r="K130" i="46"/>
  <c r="P130" i="46"/>
  <c r="R137" i="46"/>
  <c r="L162" i="46"/>
  <c r="P163" i="46"/>
  <c r="H165" i="46"/>
  <c r="S164" i="46"/>
  <c r="S134" i="46"/>
  <c r="R168" i="46"/>
  <c r="R138" i="46"/>
  <c r="J154" i="46"/>
  <c r="J142" i="46"/>
  <c r="J141" i="46"/>
  <c r="N154" i="46"/>
  <c r="N142" i="46"/>
  <c r="N141" i="46"/>
  <c r="J159" i="46"/>
  <c r="J157" i="46"/>
  <c r="J143" i="46"/>
  <c r="J127" i="46"/>
  <c r="R159" i="46"/>
  <c r="R157" i="46"/>
  <c r="R143" i="46"/>
  <c r="R127" i="46"/>
  <c r="J46" i="46"/>
  <c r="N46" i="46"/>
  <c r="H134" i="46"/>
  <c r="H164" i="46"/>
  <c r="L134" i="46"/>
  <c r="P134" i="46"/>
  <c r="P164" i="46"/>
  <c r="O168" i="46"/>
  <c r="O138" i="46"/>
  <c r="S168" i="46"/>
  <c r="S138" i="46"/>
  <c r="S131" i="46"/>
  <c r="K154" i="46"/>
  <c r="K142" i="46"/>
  <c r="K141" i="46"/>
  <c r="K137" i="46"/>
  <c r="K136" i="46"/>
  <c r="O154" i="46"/>
  <c r="O142" i="46"/>
  <c r="O141" i="46"/>
  <c r="O137" i="46"/>
  <c r="O136" i="46"/>
  <c r="S154" i="46"/>
  <c r="S142" i="46"/>
  <c r="S141" i="46"/>
  <c r="S137" i="46"/>
  <c r="S136" i="46"/>
  <c r="K159" i="46"/>
  <c r="K157" i="46"/>
  <c r="K143" i="46"/>
  <c r="O159" i="46"/>
  <c r="O157" i="46"/>
  <c r="O143" i="46"/>
  <c r="S159" i="46"/>
  <c r="S157" i="46"/>
  <c r="S143" i="46"/>
  <c r="K46" i="46"/>
  <c r="O46" i="46"/>
  <c r="S46" i="46"/>
  <c r="H99" i="46"/>
  <c r="P99" i="46"/>
  <c r="P100" i="46"/>
  <c r="S119" i="46"/>
  <c r="S120" i="46"/>
  <c r="L125" i="46"/>
  <c r="K126" i="46"/>
  <c r="O127" i="46"/>
  <c r="J137" i="46"/>
  <c r="S167" i="45"/>
  <c r="R167" i="45"/>
  <c r="Q167" i="45"/>
  <c r="P167" i="45"/>
  <c r="O167" i="45"/>
  <c r="N167" i="45"/>
  <c r="M167" i="45"/>
  <c r="L167" i="45"/>
  <c r="K167" i="45"/>
  <c r="J167" i="45"/>
  <c r="I167" i="45"/>
  <c r="H167" i="45"/>
  <c r="S166" i="45"/>
  <c r="R166" i="45"/>
  <c r="Q166" i="45"/>
  <c r="P166" i="45"/>
  <c r="O166" i="45"/>
  <c r="N166" i="45"/>
  <c r="M166" i="45"/>
  <c r="L166" i="45"/>
  <c r="K166" i="45"/>
  <c r="J166" i="45"/>
  <c r="I166" i="45"/>
  <c r="H166" i="45"/>
  <c r="Q165" i="45"/>
  <c r="P165" i="45"/>
  <c r="M164" i="45"/>
  <c r="L164" i="45"/>
  <c r="H163" i="45"/>
  <c r="I159" i="45"/>
  <c r="Q157" i="45"/>
  <c r="S156" i="45"/>
  <c r="R156" i="45"/>
  <c r="Q156" i="45"/>
  <c r="P156" i="45"/>
  <c r="O156" i="45"/>
  <c r="N156" i="45"/>
  <c r="M156" i="45"/>
  <c r="L156" i="45"/>
  <c r="K156" i="45"/>
  <c r="J156" i="45"/>
  <c r="I156" i="45"/>
  <c r="H156" i="45"/>
  <c r="S155" i="45"/>
  <c r="R155" i="45"/>
  <c r="Q155" i="45"/>
  <c r="P155" i="45"/>
  <c r="O155" i="45"/>
  <c r="N155" i="45"/>
  <c r="M155" i="45"/>
  <c r="L155" i="45"/>
  <c r="K155" i="45"/>
  <c r="J155" i="45"/>
  <c r="I155" i="45"/>
  <c r="H155" i="45"/>
  <c r="M154" i="45"/>
  <c r="I143" i="45"/>
  <c r="Q141" i="45"/>
  <c r="Q150" i="45"/>
  <c r="H138" i="45"/>
  <c r="E138" i="45"/>
  <c r="N137" i="45"/>
  <c r="I137" i="45"/>
  <c r="S135" i="45"/>
  <c r="R135" i="45"/>
  <c r="Q135" i="45"/>
  <c r="P135" i="45"/>
  <c r="O135" i="45"/>
  <c r="N135" i="45"/>
  <c r="M135" i="45"/>
  <c r="L135" i="45"/>
  <c r="K135" i="45"/>
  <c r="J135" i="45"/>
  <c r="I135" i="45"/>
  <c r="H135" i="45"/>
  <c r="L131" i="45"/>
  <c r="P130" i="45"/>
  <c r="K130" i="45"/>
  <c r="H130" i="45"/>
  <c r="O126" i="45"/>
  <c r="L126" i="45"/>
  <c r="S125" i="45"/>
  <c r="P125" i="45"/>
  <c r="K125" i="45"/>
  <c r="H125" i="45"/>
  <c r="S123" i="45"/>
  <c r="R123" i="45"/>
  <c r="Q123" i="45"/>
  <c r="P123" i="45"/>
  <c r="O123" i="45"/>
  <c r="N123" i="45"/>
  <c r="M123" i="45"/>
  <c r="L123" i="45"/>
  <c r="K123" i="45"/>
  <c r="J123" i="45"/>
  <c r="I123" i="45"/>
  <c r="H123" i="45"/>
  <c r="L119" i="45"/>
  <c r="L120" i="45"/>
  <c r="S118" i="45"/>
  <c r="R118" i="45"/>
  <c r="Q118" i="45"/>
  <c r="P118" i="45"/>
  <c r="O118" i="45"/>
  <c r="N118" i="45"/>
  <c r="M118" i="45"/>
  <c r="L118" i="45"/>
  <c r="K118" i="45"/>
  <c r="J118" i="45"/>
  <c r="I118" i="45"/>
  <c r="H118" i="45"/>
  <c r="S115" i="45"/>
  <c r="R115" i="45"/>
  <c r="Q115" i="45"/>
  <c r="P115" i="45"/>
  <c r="O115" i="45"/>
  <c r="N115" i="45"/>
  <c r="M115" i="45"/>
  <c r="L115" i="45"/>
  <c r="K115" i="45"/>
  <c r="J115" i="45"/>
  <c r="I115" i="45"/>
  <c r="H115" i="45"/>
  <c r="N112" i="45"/>
  <c r="J112" i="45"/>
  <c r="R111" i="45"/>
  <c r="N111" i="45"/>
  <c r="J111" i="45"/>
  <c r="R110" i="45"/>
  <c r="R124" i="45"/>
  <c r="N110" i="45"/>
  <c r="N124" i="45"/>
  <c r="J110" i="45"/>
  <c r="J124" i="45"/>
  <c r="I105" i="45"/>
  <c r="I117" i="45"/>
  <c r="H105" i="45"/>
  <c r="H109" i="45"/>
  <c r="N101" i="45"/>
  <c r="J101" i="45"/>
  <c r="S95" i="45"/>
  <c r="P95" i="45"/>
  <c r="O95" i="45"/>
  <c r="L95" i="45"/>
  <c r="K95" i="45"/>
  <c r="H95" i="45"/>
  <c r="K94" i="45"/>
  <c r="S93" i="45"/>
  <c r="R93" i="45"/>
  <c r="O93" i="45"/>
  <c r="N93" i="45"/>
  <c r="K93" i="45"/>
  <c r="J93" i="45"/>
  <c r="S90" i="45"/>
  <c r="R90" i="45"/>
  <c r="Q90" i="45"/>
  <c r="P90" i="45"/>
  <c r="O90" i="45"/>
  <c r="N90" i="45"/>
  <c r="M90" i="45"/>
  <c r="L90" i="45"/>
  <c r="K90" i="45"/>
  <c r="J90" i="45"/>
  <c r="I90" i="45"/>
  <c r="S89" i="45"/>
  <c r="R89" i="45"/>
  <c r="Q89" i="45"/>
  <c r="P89" i="45"/>
  <c r="O89" i="45"/>
  <c r="N89" i="45"/>
  <c r="M89" i="45"/>
  <c r="L89" i="45"/>
  <c r="K89" i="45"/>
  <c r="J89" i="45"/>
  <c r="I89" i="45"/>
  <c r="S88" i="45"/>
  <c r="R88" i="45"/>
  <c r="Q88" i="45"/>
  <c r="P88" i="45"/>
  <c r="O88" i="45"/>
  <c r="N88" i="45"/>
  <c r="M88" i="45"/>
  <c r="L88" i="45"/>
  <c r="K88" i="45"/>
  <c r="J88" i="45"/>
  <c r="I88" i="45"/>
  <c r="S87" i="45"/>
  <c r="R87" i="45"/>
  <c r="Q87" i="45"/>
  <c r="P87" i="45"/>
  <c r="O87" i="45"/>
  <c r="N87" i="45"/>
  <c r="M87" i="45"/>
  <c r="L87" i="45"/>
  <c r="K87" i="45"/>
  <c r="J87" i="45"/>
  <c r="I87" i="45"/>
  <c r="S86" i="45"/>
  <c r="R86" i="45"/>
  <c r="Q86" i="45"/>
  <c r="P86" i="45"/>
  <c r="O86" i="45"/>
  <c r="N86" i="45"/>
  <c r="M86" i="45"/>
  <c r="L86" i="45"/>
  <c r="K86" i="45"/>
  <c r="J86" i="45"/>
  <c r="I86" i="45"/>
  <c r="H86" i="45"/>
  <c r="S71" i="45"/>
  <c r="R71" i="45"/>
  <c r="Q71" i="45"/>
  <c r="P71" i="45"/>
  <c r="O71" i="45"/>
  <c r="N71" i="45"/>
  <c r="M71" i="45"/>
  <c r="L71" i="45"/>
  <c r="K71" i="45"/>
  <c r="J71" i="45"/>
  <c r="I71" i="45"/>
  <c r="H71" i="45"/>
  <c r="H57" i="45"/>
  <c r="H73" i="45"/>
  <c r="H92" i="45"/>
  <c r="S46" i="45"/>
  <c r="K46" i="45"/>
  <c r="S41" i="45"/>
  <c r="S158" i="45"/>
  <c r="R41" i="45"/>
  <c r="R158" i="45"/>
  <c r="Q41" i="45"/>
  <c r="Q158" i="45"/>
  <c r="P41" i="45"/>
  <c r="P158" i="45"/>
  <c r="O41" i="45"/>
  <c r="O158" i="45"/>
  <c r="N41" i="45"/>
  <c r="N158" i="45"/>
  <c r="M41" i="45"/>
  <c r="M158" i="45"/>
  <c r="L41" i="45"/>
  <c r="L158" i="45"/>
  <c r="K41" i="45"/>
  <c r="K158" i="45"/>
  <c r="J41" i="45"/>
  <c r="J158" i="45"/>
  <c r="I41" i="45"/>
  <c r="I158" i="45"/>
  <c r="H41" i="45"/>
  <c r="H158" i="45"/>
  <c r="S38" i="45"/>
  <c r="R38" i="45"/>
  <c r="Q38" i="45"/>
  <c r="Q127" i="45"/>
  <c r="P38" i="45"/>
  <c r="P157" i="45"/>
  <c r="O38" i="45"/>
  <c r="N38" i="45"/>
  <c r="M38" i="45"/>
  <c r="L38" i="45"/>
  <c r="K38" i="45"/>
  <c r="J38" i="45"/>
  <c r="I38" i="45"/>
  <c r="I127" i="45"/>
  <c r="H38" i="45"/>
  <c r="H157" i="45"/>
  <c r="S33" i="45"/>
  <c r="R33" i="45"/>
  <c r="Q33" i="45"/>
  <c r="P33" i="45"/>
  <c r="P141" i="45"/>
  <c r="O33" i="45"/>
  <c r="N33" i="45"/>
  <c r="M33" i="45"/>
  <c r="L33" i="45"/>
  <c r="L46" i="45"/>
  <c r="K33" i="45"/>
  <c r="J33" i="45"/>
  <c r="I33" i="45"/>
  <c r="H33" i="45"/>
  <c r="I32" i="45"/>
  <c r="J32" i="45"/>
  <c r="K31" i="45"/>
  <c r="J31" i="45"/>
  <c r="S27" i="45"/>
  <c r="R27" i="45"/>
  <c r="Q27" i="45"/>
  <c r="Q168" i="45"/>
  <c r="P27" i="45"/>
  <c r="O27" i="45"/>
  <c r="N27" i="45"/>
  <c r="M27" i="45"/>
  <c r="L27" i="45"/>
  <c r="K27" i="45"/>
  <c r="J27" i="45"/>
  <c r="I27" i="45"/>
  <c r="H27" i="45"/>
  <c r="H168" i="45"/>
  <c r="S19" i="45"/>
  <c r="R19" i="45"/>
  <c r="Q19" i="45"/>
  <c r="Q119" i="45"/>
  <c r="Q120" i="45"/>
  <c r="P19" i="45"/>
  <c r="P119" i="45"/>
  <c r="P120" i="45"/>
  <c r="O19" i="45"/>
  <c r="N19" i="45"/>
  <c r="M19" i="45"/>
  <c r="M95" i="45"/>
  <c r="M96" i="45"/>
  <c r="L19" i="45"/>
  <c r="L165" i="45"/>
  <c r="K19" i="45"/>
  <c r="J19" i="45"/>
  <c r="I19" i="45"/>
  <c r="I119" i="45"/>
  <c r="I120" i="45"/>
  <c r="H19" i="45"/>
  <c r="H165" i="45"/>
  <c r="S18" i="45"/>
  <c r="R18" i="45"/>
  <c r="Q18" i="45"/>
  <c r="P18" i="45"/>
  <c r="O18" i="45"/>
  <c r="N18" i="45"/>
  <c r="M18" i="45"/>
  <c r="L18" i="45"/>
  <c r="K18" i="45"/>
  <c r="J18" i="45"/>
  <c r="I18" i="45"/>
  <c r="H18" i="45"/>
  <c r="S10" i="45"/>
  <c r="R10" i="45"/>
  <c r="Q10" i="45"/>
  <c r="Q164" i="45"/>
  <c r="P10" i="45"/>
  <c r="O10" i="45"/>
  <c r="N10" i="45"/>
  <c r="L10" i="45"/>
  <c r="K10" i="45"/>
  <c r="J10" i="45"/>
  <c r="I10" i="45"/>
  <c r="H10" i="45"/>
  <c r="S5" i="45"/>
  <c r="S163" i="45"/>
  <c r="R5" i="45"/>
  <c r="Q5" i="45"/>
  <c r="P5" i="45"/>
  <c r="P163" i="45"/>
  <c r="O5" i="45"/>
  <c r="O163" i="45"/>
  <c r="N5" i="45"/>
  <c r="M5" i="45"/>
  <c r="L5" i="45"/>
  <c r="L163" i="45"/>
  <c r="K5" i="45"/>
  <c r="K163" i="45"/>
  <c r="J5" i="45"/>
  <c r="I5" i="45"/>
  <c r="H5" i="45"/>
  <c r="H126" i="45"/>
  <c r="R4" i="45"/>
  <c r="P4" i="45"/>
  <c r="P162" i="45"/>
  <c r="N4" i="45"/>
  <c r="M4" i="45"/>
  <c r="L4" i="45"/>
  <c r="K4" i="45"/>
  <c r="K162" i="45"/>
  <c r="J4" i="45"/>
  <c r="I4" i="45"/>
  <c r="H4" i="45"/>
  <c r="H162" i="45"/>
  <c r="R165" i="48"/>
  <c r="R119" i="48"/>
  <c r="R120" i="48"/>
  <c r="R95" i="48"/>
  <c r="R96" i="48"/>
  <c r="R97" i="48"/>
  <c r="R124" i="48"/>
  <c r="R111" i="48"/>
  <c r="Q113" i="48"/>
  <c r="Q114" i="48"/>
  <c r="Q48" i="48"/>
  <c r="Q160" i="48"/>
  <c r="S164" i="48"/>
  <c r="S134" i="48"/>
  <c r="S4" i="48"/>
  <c r="P160" i="48"/>
  <c r="P114" i="48"/>
  <c r="P113" i="48"/>
  <c r="P48" i="48"/>
  <c r="Q122" i="48"/>
  <c r="Q121" i="48"/>
  <c r="O161" i="48"/>
  <c r="O30" i="48"/>
  <c r="R162" i="48"/>
  <c r="R130" i="48"/>
  <c r="R99" i="48"/>
  <c r="R100" i="48"/>
  <c r="Q124" i="48"/>
  <c r="Q111" i="48"/>
  <c r="P124" i="48"/>
  <c r="P111" i="48"/>
  <c r="S154" i="48"/>
  <c r="S142" i="48"/>
  <c r="S137" i="48"/>
  <c r="S136" i="48"/>
  <c r="S112" i="48"/>
  <c r="S110" i="48"/>
  <c r="S46" i="48"/>
  <c r="S167" i="48"/>
  <c r="S88" i="48"/>
  <c r="S19" i="48"/>
  <c r="L161" i="48"/>
  <c r="L52" i="48"/>
  <c r="R134" i="48"/>
  <c r="R136" i="48"/>
  <c r="P151" i="48"/>
  <c r="P149" i="48"/>
  <c r="P147" i="48"/>
  <c r="P150" i="48"/>
  <c r="P148" i="48"/>
  <c r="P146" i="48"/>
  <c r="K161" i="48"/>
  <c r="K52" i="48"/>
  <c r="S141" i="48"/>
  <c r="L105" i="48"/>
  <c r="M32" i="48"/>
  <c r="L57" i="48"/>
  <c r="L73" i="48"/>
  <c r="L92" i="48"/>
  <c r="J133" i="48"/>
  <c r="J140" i="48"/>
  <c r="J145" i="48"/>
  <c r="J153" i="48"/>
  <c r="J129" i="48"/>
  <c r="R160" i="48"/>
  <c r="R114" i="48"/>
  <c r="R113" i="48"/>
  <c r="R48" i="48"/>
  <c r="K117" i="48"/>
  <c r="K109" i="48"/>
  <c r="N135" i="47"/>
  <c r="N52" i="47"/>
  <c r="M135" i="47"/>
  <c r="M52" i="47"/>
  <c r="R135" i="47"/>
  <c r="R52" i="47"/>
  <c r="H135" i="47"/>
  <c r="H52" i="47"/>
  <c r="S135" i="47"/>
  <c r="S52" i="47"/>
  <c r="J52" i="47"/>
  <c r="J135" i="47"/>
  <c r="P135" i="47"/>
  <c r="P52" i="47"/>
  <c r="I135" i="47"/>
  <c r="I52" i="47"/>
  <c r="O135" i="47"/>
  <c r="O52" i="47"/>
  <c r="L109" i="47"/>
  <c r="L115" i="47"/>
  <c r="L119" i="47"/>
  <c r="L127" i="47"/>
  <c r="L106" i="47"/>
  <c r="Q135" i="47"/>
  <c r="Q52" i="47"/>
  <c r="H123" i="47"/>
  <c r="H124" i="47"/>
  <c r="L135" i="47"/>
  <c r="L52" i="47"/>
  <c r="K135" i="47"/>
  <c r="K52" i="47"/>
  <c r="N32" i="47"/>
  <c r="M87" i="47"/>
  <c r="M95" i="47"/>
  <c r="M57" i="47"/>
  <c r="M73" i="47"/>
  <c r="I125" i="47"/>
  <c r="H133" i="46"/>
  <c r="H140" i="46"/>
  <c r="H145" i="46"/>
  <c r="H153" i="46"/>
  <c r="H129" i="46"/>
  <c r="M122" i="46"/>
  <c r="M121" i="46"/>
  <c r="M94" i="46"/>
  <c r="M97" i="46"/>
  <c r="J117" i="46"/>
  <c r="J109" i="46"/>
  <c r="I111" i="46"/>
  <c r="I124" i="46"/>
  <c r="S97" i="46"/>
  <c r="J100" i="46"/>
  <c r="S122" i="46"/>
  <c r="S121" i="46"/>
  <c r="S160" i="46"/>
  <c r="S48" i="46"/>
  <c r="S114" i="46"/>
  <c r="S113" i="46"/>
  <c r="K151" i="46"/>
  <c r="K150" i="46"/>
  <c r="K149" i="46"/>
  <c r="K148" i="46"/>
  <c r="K147" i="46"/>
  <c r="K146" i="46"/>
  <c r="R160" i="46"/>
  <c r="R114" i="46"/>
  <c r="R113" i="46"/>
  <c r="R48" i="46"/>
  <c r="K96" i="46"/>
  <c r="H160" i="46"/>
  <c r="H114" i="46"/>
  <c r="H48" i="46"/>
  <c r="H51" i="46"/>
  <c r="H113" i="46"/>
  <c r="H146" i="46"/>
  <c r="H150" i="46"/>
  <c r="H151" i="46"/>
  <c r="H149" i="46"/>
  <c r="H148" i="46"/>
  <c r="H147" i="46"/>
  <c r="Q122" i="46"/>
  <c r="Q121" i="46"/>
  <c r="Q94" i="46"/>
  <c r="Q97" i="46"/>
  <c r="N100" i="46"/>
  <c r="K105" i="46"/>
  <c r="K57" i="46"/>
  <c r="K73" i="46"/>
  <c r="K92" i="46"/>
  <c r="L32" i="46"/>
  <c r="R96" i="46"/>
  <c r="R97" i="46"/>
  <c r="J122" i="46"/>
  <c r="J121" i="46"/>
  <c r="M124" i="46"/>
  <c r="M111" i="46"/>
  <c r="M150" i="46"/>
  <c r="M148" i="46"/>
  <c r="M146" i="46"/>
  <c r="M149" i="46"/>
  <c r="M147" i="46"/>
  <c r="M151" i="46"/>
  <c r="L106" i="46"/>
  <c r="L51" i="46"/>
  <c r="M99" i="46"/>
  <c r="Q51" i="46"/>
  <c r="Q106" i="46"/>
  <c r="O151" i="46"/>
  <c r="O150" i="46"/>
  <c r="O149" i="46"/>
  <c r="O148" i="46"/>
  <c r="O147" i="46"/>
  <c r="O146" i="46"/>
  <c r="N151" i="46"/>
  <c r="N150" i="46"/>
  <c r="N149" i="46"/>
  <c r="N148" i="46"/>
  <c r="N147" i="46"/>
  <c r="N146" i="46"/>
  <c r="P160" i="46"/>
  <c r="P113" i="46"/>
  <c r="P114" i="46"/>
  <c r="P48" i="46"/>
  <c r="L124" i="46"/>
  <c r="L111" i="46"/>
  <c r="I122" i="46"/>
  <c r="O160" i="46"/>
  <c r="O114" i="46"/>
  <c r="O48" i="46"/>
  <c r="O113" i="46"/>
  <c r="N160" i="46"/>
  <c r="N114" i="46"/>
  <c r="N113" i="46"/>
  <c r="N48" i="46"/>
  <c r="K100" i="46"/>
  <c r="P148" i="46"/>
  <c r="P147" i="46"/>
  <c r="P146" i="46"/>
  <c r="P151" i="46"/>
  <c r="P149" i="46"/>
  <c r="P150" i="46"/>
  <c r="Q100" i="46"/>
  <c r="P111" i="46"/>
  <c r="P124" i="46"/>
  <c r="L151" i="46"/>
  <c r="L150" i="46"/>
  <c r="L146" i="46"/>
  <c r="L149" i="46"/>
  <c r="L148" i="46"/>
  <c r="L147" i="46"/>
  <c r="H124" i="46"/>
  <c r="H111" i="46"/>
  <c r="Q111" i="46"/>
  <c r="Q124" i="46"/>
  <c r="P122" i="46"/>
  <c r="M160" i="46"/>
  <c r="M114" i="46"/>
  <c r="M113" i="46"/>
  <c r="M48" i="46"/>
  <c r="J115" i="46"/>
  <c r="J90" i="46"/>
  <c r="K29" i="46"/>
  <c r="J27" i="46"/>
  <c r="I133" i="46"/>
  <c r="I140" i="46"/>
  <c r="I145" i="46"/>
  <c r="I153" i="46"/>
  <c r="I129" i="46"/>
  <c r="R122" i="46"/>
  <c r="R121" i="46"/>
  <c r="P103" i="46"/>
  <c r="N96" i="46"/>
  <c r="H122" i="46"/>
  <c r="O97" i="46"/>
  <c r="L107" i="46"/>
  <c r="Q151" i="46"/>
  <c r="Q149" i="46"/>
  <c r="Q147" i="46"/>
  <c r="Q146" i="46"/>
  <c r="Q150" i="46"/>
  <c r="Q148" i="46"/>
  <c r="L99" i="46"/>
  <c r="L100" i="46"/>
  <c r="K160" i="46"/>
  <c r="K113" i="46"/>
  <c r="K48" i="46"/>
  <c r="K114" i="46"/>
  <c r="S151" i="46"/>
  <c r="S150" i="46"/>
  <c r="S149" i="46"/>
  <c r="S148" i="46"/>
  <c r="S147" i="46"/>
  <c r="S146" i="46"/>
  <c r="J160" i="46"/>
  <c r="J114" i="46"/>
  <c r="J113" i="46"/>
  <c r="J48" i="46"/>
  <c r="J151" i="46"/>
  <c r="J150" i="46"/>
  <c r="J149" i="46"/>
  <c r="J148" i="46"/>
  <c r="J147" i="46"/>
  <c r="J146" i="46"/>
  <c r="L122" i="46"/>
  <c r="L121" i="46"/>
  <c r="R151" i="46"/>
  <c r="R150" i="46"/>
  <c r="R149" i="46"/>
  <c r="R148" i="46"/>
  <c r="R147" i="46"/>
  <c r="R146" i="46"/>
  <c r="I99" i="46"/>
  <c r="I100" i="46"/>
  <c r="J94" i="46"/>
  <c r="J97" i="46"/>
  <c r="Q103" i="46"/>
  <c r="I160" i="46"/>
  <c r="I114" i="46"/>
  <c r="I113" i="46"/>
  <c r="I48" i="46"/>
  <c r="I151" i="46"/>
  <c r="I149" i="46"/>
  <c r="I147" i="46"/>
  <c r="I148" i="46"/>
  <c r="I150" i="46"/>
  <c r="I146" i="46"/>
  <c r="I102" i="46"/>
  <c r="I103" i="46"/>
  <c r="R99" i="46"/>
  <c r="R100" i="46"/>
  <c r="R103" i="46"/>
  <c r="N122" i="46"/>
  <c r="N121" i="46"/>
  <c r="N94" i="46"/>
  <c r="N97" i="46"/>
  <c r="K94" i="46"/>
  <c r="K97" i="46"/>
  <c r="P121" i="45"/>
  <c r="L113" i="45"/>
  <c r="L114" i="45"/>
  <c r="L160" i="45"/>
  <c r="L48" i="45"/>
  <c r="P151" i="45"/>
  <c r="P149" i="45"/>
  <c r="P147" i="45"/>
  <c r="P148" i="45"/>
  <c r="P146" i="45"/>
  <c r="P150" i="45"/>
  <c r="R162" i="45"/>
  <c r="R130" i="45"/>
  <c r="R99" i="45"/>
  <c r="R31" i="45"/>
  <c r="H137" i="45"/>
  <c r="H136" i="45"/>
  <c r="H154" i="45"/>
  <c r="H142" i="45"/>
  <c r="H141" i="45"/>
  <c r="H112" i="45"/>
  <c r="H110" i="45"/>
  <c r="H46" i="45"/>
  <c r="K96" i="45"/>
  <c r="K97" i="45"/>
  <c r="H117" i="45"/>
  <c r="P127" i="45"/>
  <c r="J162" i="45"/>
  <c r="J130" i="45"/>
  <c r="J136" i="45"/>
  <c r="J99" i="45"/>
  <c r="K160" i="45"/>
  <c r="K114" i="45"/>
  <c r="K113" i="45"/>
  <c r="S160" i="45"/>
  <c r="S114" i="45"/>
  <c r="S113" i="45"/>
  <c r="O94" i="45"/>
  <c r="L96" i="45"/>
  <c r="L121" i="45"/>
  <c r="M163" i="45"/>
  <c r="M126" i="45"/>
  <c r="M125" i="45"/>
  <c r="M93" i="45"/>
  <c r="I164" i="45"/>
  <c r="I134" i="45"/>
  <c r="R164" i="45"/>
  <c r="R134" i="45"/>
  <c r="R165" i="45"/>
  <c r="R119" i="45"/>
  <c r="R120" i="45"/>
  <c r="R95" i="45"/>
  <c r="J57" i="45"/>
  <c r="J73" i="45"/>
  <c r="J92" i="45"/>
  <c r="J105" i="45"/>
  <c r="R94" i="45"/>
  <c r="I162" i="45"/>
  <c r="I130" i="45"/>
  <c r="I31" i="45"/>
  <c r="I138" i="45"/>
  <c r="M134" i="45"/>
  <c r="M130" i="45"/>
  <c r="M162" i="45"/>
  <c r="M31" i="45"/>
  <c r="L137" i="45"/>
  <c r="L136" i="45"/>
  <c r="L141" i="45"/>
  <c r="L142" i="45"/>
  <c r="L112" i="45"/>
  <c r="L110" i="45"/>
  <c r="P137" i="45"/>
  <c r="P136" i="45"/>
  <c r="P154" i="45"/>
  <c r="P142" i="45"/>
  <c r="P112" i="45"/>
  <c r="P110" i="45"/>
  <c r="L159" i="45"/>
  <c r="L157" i="45"/>
  <c r="L143" i="45"/>
  <c r="L127" i="45"/>
  <c r="P159" i="45"/>
  <c r="P143" i="45"/>
  <c r="P46" i="45"/>
  <c r="N162" i="45"/>
  <c r="N130" i="45"/>
  <c r="N99" i="45"/>
  <c r="I126" i="45"/>
  <c r="I125" i="45"/>
  <c r="I93" i="45"/>
  <c r="I163" i="45"/>
  <c r="Q126" i="45"/>
  <c r="Q125" i="45"/>
  <c r="Q163" i="45"/>
  <c r="Q93" i="45"/>
  <c r="N164" i="45"/>
  <c r="N134" i="45"/>
  <c r="J165" i="45"/>
  <c r="J119" i="45"/>
  <c r="J120" i="45"/>
  <c r="J95" i="45"/>
  <c r="N165" i="45"/>
  <c r="N119" i="45"/>
  <c r="N120" i="45"/>
  <c r="N95" i="45"/>
  <c r="N96" i="45"/>
  <c r="J168" i="45"/>
  <c r="J138" i="45"/>
  <c r="J131" i="45"/>
  <c r="N168" i="45"/>
  <c r="N138" i="45"/>
  <c r="N131" i="45"/>
  <c r="R168" i="45"/>
  <c r="R138" i="45"/>
  <c r="R131" i="45"/>
  <c r="N31" i="45"/>
  <c r="J94" i="45"/>
  <c r="S94" i="45"/>
  <c r="P96" i="45"/>
  <c r="I99" i="45"/>
  <c r="R101" i="45"/>
  <c r="L122" i="45"/>
  <c r="L99" i="45"/>
  <c r="L100" i="45"/>
  <c r="Q4" i="45"/>
  <c r="J163" i="45"/>
  <c r="J126" i="45"/>
  <c r="J125" i="45"/>
  <c r="N163" i="45"/>
  <c r="N126" i="45"/>
  <c r="N125" i="45"/>
  <c r="R163" i="45"/>
  <c r="R126" i="45"/>
  <c r="R125" i="45"/>
  <c r="J164" i="45"/>
  <c r="J134" i="45"/>
  <c r="O164" i="45"/>
  <c r="O134" i="45"/>
  <c r="O4" i="45"/>
  <c r="S164" i="45"/>
  <c r="S134" i="45"/>
  <c r="S4" i="45"/>
  <c r="K165" i="45"/>
  <c r="K119" i="45"/>
  <c r="K120" i="45"/>
  <c r="O165" i="45"/>
  <c r="O119" i="45"/>
  <c r="O120" i="45"/>
  <c r="S165" i="45"/>
  <c r="S119" i="45"/>
  <c r="S120" i="45"/>
  <c r="K168" i="45"/>
  <c r="K138" i="45"/>
  <c r="K131" i="45"/>
  <c r="K101" i="45"/>
  <c r="K102" i="45"/>
  <c r="O168" i="45"/>
  <c r="O138" i="45"/>
  <c r="O131" i="45"/>
  <c r="O101" i="45"/>
  <c r="O102" i="45"/>
  <c r="S168" i="45"/>
  <c r="S138" i="45"/>
  <c r="S131" i="45"/>
  <c r="S101" i="45"/>
  <c r="S102" i="45"/>
  <c r="K32" i="45"/>
  <c r="K154" i="45"/>
  <c r="K142" i="45"/>
  <c r="K141" i="45"/>
  <c r="K137" i="45"/>
  <c r="K136" i="45"/>
  <c r="K112" i="45"/>
  <c r="K110" i="45"/>
  <c r="O154" i="45"/>
  <c r="O142" i="45"/>
  <c r="O141" i="45"/>
  <c r="O137" i="45"/>
  <c r="O136" i="45"/>
  <c r="O112" i="45"/>
  <c r="O110" i="45"/>
  <c r="S154" i="45"/>
  <c r="S142" i="45"/>
  <c r="S141" i="45"/>
  <c r="S137" i="45"/>
  <c r="S136" i="45"/>
  <c r="S112" i="45"/>
  <c r="S110" i="45"/>
  <c r="K159" i="45"/>
  <c r="K157" i="45"/>
  <c r="K143" i="45"/>
  <c r="K127" i="45"/>
  <c r="O159" i="45"/>
  <c r="O157" i="45"/>
  <c r="O143" i="45"/>
  <c r="O127" i="45"/>
  <c r="S159" i="45"/>
  <c r="S157" i="45"/>
  <c r="S143" i="45"/>
  <c r="S127" i="45"/>
  <c r="O46" i="45"/>
  <c r="K48" i="45"/>
  <c r="S48" i="45"/>
  <c r="L91" i="45"/>
  <c r="M99" i="45"/>
  <c r="H127" i="45"/>
  <c r="H143" i="45"/>
  <c r="L154" i="45"/>
  <c r="H159" i="45"/>
  <c r="I133" i="45"/>
  <c r="I140" i="45"/>
  <c r="I145" i="45"/>
  <c r="I153" i="45"/>
  <c r="I129" i="45"/>
  <c r="K164" i="45"/>
  <c r="K134" i="45"/>
  <c r="P134" i="45"/>
  <c r="P164" i="45"/>
  <c r="L138" i="45"/>
  <c r="P131" i="45"/>
  <c r="P168" i="45"/>
  <c r="H31" i="45"/>
  <c r="L31" i="45"/>
  <c r="P31" i="45"/>
  <c r="I154" i="45"/>
  <c r="I142" i="45"/>
  <c r="I136" i="45"/>
  <c r="M141" i="45"/>
  <c r="M137" i="45"/>
  <c r="Q154" i="45"/>
  <c r="Q142" i="45"/>
  <c r="Q112" i="45"/>
  <c r="M159" i="45"/>
  <c r="M157" i="45"/>
  <c r="M143" i="45"/>
  <c r="M127" i="45"/>
  <c r="I46" i="45"/>
  <c r="M46" i="45"/>
  <c r="Q46" i="45"/>
  <c r="I57" i="45"/>
  <c r="I73" i="45"/>
  <c r="I92" i="45"/>
  <c r="H93" i="45"/>
  <c r="H99" i="45"/>
  <c r="L93" i="45"/>
  <c r="L94" i="45"/>
  <c r="P93" i="45"/>
  <c r="P94" i="45"/>
  <c r="I95" i="45"/>
  <c r="I96" i="45"/>
  <c r="Q95" i="45"/>
  <c r="Q96" i="45"/>
  <c r="K99" i="45"/>
  <c r="H101" i="45"/>
  <c r="L101" i="45"/>
  <c r="L102" i="45"/>
  <c r="L103" i="45"/>
  <c r="P101" i="45"/>
  <c r="P102" i="45"/>
  <c r="H119" i="45"/>
  <c r="H120" i="45"/>
  <c r="L125" i="45"/>
  <c r="P126" i="45"/>
  <c r="L130" i="45"/>
  <c r="H131" i="45"/>
  <c r="Q131" i="45"/>
  <c r="M136" i="45"/>
  <c r="Q137" i="45"/>
  <c r="P138" i="45"/>
  <c r="L162" i="45"/>
  <c r="L168" i="45"/>
  <c r="Q151" i="45"/>
  <c r="Q149" i="45"/>
  <c r="Q147" i="45"/>
  <c r="Q146" i="45"/>
  <c r="H134" i="45"/>
  <c r="H164" i="45"/>
  <c r="L134" i="45"/>
  <c r="I121" i="45"/>
  <c r="M165" i="45"/>
  <c r="M119" i="45"/>
  <c r="M120" i="45"/>
  <c r="Q122" i="45"/>
  <c r="Q121" i="45"/>
  <c r="I168" i="45"/>
  <c r="I131" i="45"/>
  <c r="M138" i="45"/>
  <c r="M131" i="45"/>
  <c r="J154" i="45"/>
  <c r="J142" i="45"/>
  <c r="J141" i="45"/>
  <c r="J137" i="45"/>
  <c r="N154" i="45"/>
  <c r="N142" i="45"/>
  <c r="N141" i="45"/>
  <c r="N136" i="45"/>
  <c r="R154" i="45"/>
  <c r="R142" i="45"/>
  <c r="R141" i="45"/>
  <c r="R112" i="45"/>
  <c r="R137" i="45"/>
  <c r="J159" i="45"/>
  <c r="J157" i="45"/>
  <c r="J143" i="45"/>
  <c r="J127" i="45"/>
  <c r="N159" i="45"/>
  <c r="N157" i="45"/>
  <c r="N143" i="45"/>
  <c r="N127" i="45"/>
  <c r="R159" i="45"/>
  <c r="R157" i="45"/>
  <c r="R143" i="45"/>
  <c r="R127" i="45"/>
  <c r="J46" i="45"/>
  <c r="N46" i="45"/>
  <c r="R46" i="45"/>
  <c r="P99" i="45"/>
  <c r="I101" i="45"/>
  <c r="I102" i="45"/>
  <c r="M101" i="45"/>
  <c r="M102" i="45"/>
  <c r="Q101" i="45"/>
  <c r="I109" i="45"/>
  <c r="I110" i="45"/>
  <c r="I122" i="45"/>
  <c r="M110" i="45"/>
  <c r="Q110" i="45"/>
  <c r="I112" i="45"/>
  <c r="M112" i="45"/>
  <c r="O125" i="45"/>
  <c r="K126" i="45"/>
  <c r="S126" i="45"/>
  <c r="R136" i="45"/>
  <c r="Q138" i="45"/>
  <c r="I141" i="45"/>
  <c r="M142" i="45"/>
  <c r="Q143" i="45"/>
  <c r="Q148" i="45"/>
  <c r="I157" i="45"/>
  <c r="Q159" i="45"/>
  <c r="I165" i="45"/>
  <c r="M168" i="45"/>
  <c r="S167" i="44"/>
  <c r="R167" i="44"/>
  <c r="Q167" i="44"/>
  <c r="P167" i="44"/>
  <c r="O167" i="44"/>
  <c r="N167" i="44"/>
  <c r="M167" i="44"/>
  <c r="L167" i="44"/>
  <c r="K167" i="44"/>
  <c r="J167" i="44"/>
  <c r="I167" i="44"/>
  <c r="H167" i="44"/>
  <c r="S166" i="44"/>
  <c r="R166" i="44"/>
  <c r="Q166" i="44"/>
  <c r="P166" i="44"/>
  <c r="O166" i="44"/>
  <c r="N166" i="44"/>
  <c r="M166" i="44"/>
  <c r="L166" i="44"/>
  <c r="K166" i="44"/>
  <c r="J166" i="44"/>
  <c r="I166" i="44"/>
  <c r="H166" i="44"/>
  <c r="S156" i="44"/>
  <c r="R156" i="44"/>
  <c r="Q156" i="44"/>
  <c r="P156" i="44"/>
  <c r="O156" i="44"/>
  <c r="N156" i="44"/>
  <c r="M156" i="44"/>
  <c r="L156" i="44"/>
  <c r="K156" i="44"/>
  <c r="J156" i="44"/>
  <c r="I156" i="44"/>
  <c r="H156" i="44"/>
  <c r="S155" i="44"/>
  <c r="R155" i="44"/>
  <c r="Q155" i="44"/>
  <c r="P155" i="44"/>
  <c r="O155" i="44"/>
  <c r="N155" i="44"/>
  <c r="M155" i="44"/>
  <c r="L155" i="44"/>
  <c r="K155" i="44"/>
  <c r="J155" i="44"/>
  <c r="I155" i="44"/>
  <c r="H155" i="44"/>
  <c r="L154" i="44"/>
  <c r="P141" i="44"/>
  <c r="E138" i="44"/>
  <c r="I137" i="44"/>
  <c r="S135" i="44"/>
  <c r="R135" i="44"/>
  <c r="Q135" i="44"/>
  <c r="P135" i="44"/>
  <c r="O135" i="44"/>
  <c r="N135" i="44"/>
  <c r="M135" i="44"/>
  <c r="L135" i="44"/>
  <c r="K135" i="44"/>
  <c r="J135" i="44"/>
  <c r="I135" i="44"/>
  <c r="H135" i="44"/>
  <c r="J131" i="44"/>
  <c r="J126" i="44"/>
  <c r="S123" i="44"/>
  <c r="R123" i="44"/>
  <c r="Q123" i="44"/>
  <c r="P123" i="44"/>
  <c r="O123" i="44"/>
  <c r="N123" i="44"/>
  <c r="M123" i="44"/>
  <c r="L123" i="44"/>
  <c r="K123" i="44"/>
  <c r="J123" i="44"/>
  <c r="I123" i="44"/>
  <c r="H123" i="44"/>
  <c r="R119" i="44"/>
  <c r="R120" i="44"/>
  <c r="S118" i="44"/>
  <c r="R118" i="44"/>
  <c r="Q118" i="44"/>
  <c r="P118" i="44"/>
  <c r="O118" i="44"/>
  <c r="N118" i="44"/>
  <c r="M118" i="44"/>
  <c r="L118" i="44"/>
  <c r="K118" i="44"/>
  <c r="J118" i="44"/>
  <c r="I118" i="44"/>
  <c r="H118" i="44"/>
  <c r="S115" i="44"/>
  <c r="R115" i="44"/>
  <c r="Q115" i="44"/>
  <c r="P115" i="44"/>
  <c r="O115" i="44"/>
  <c r="N115" i="44"/>
  <c r="M115" i="44"/>
  <c r="L115" i="44"/>
  <c r="K115" i="44"/>
  <c r="J115" i="44"/>
  <c r="I115" i="44"/>
  <c r="H115" i="44"/>
  <c r="H105" i="44"/>
  <c r="P101" i="44"/>
  <c r="L101" i="44"/>
  <c r="H101" i="44"/>
  <c r="P93" i="44"/>
  <c r="L93" i="44"/>
  <c r="H93" i="44"/>
  <c r="S90" i="44"/>
  <c r="R90" i="44"/>
  <c r="Q90" i="44"/>
  <c r="P90" i="44"/>
  <c r="O90" i="44"/>
  <c r="N90" i="44"/>
  <c r="M90" i="44"/>
  <c r="L90" i="44"/>
  <c r="L91" i="44"/>
  <c r="K90" i="44"/>
  <c r="J90" i="44"/>
  <c r="I90" i="44"/>
  <c r="S89" i="44"/>
  <c r="R89" i="44"/>
  <c r="Q89" i="44"/>
  <c r="P89" i="44"/>
  <c r="O89" i="44"/>
  <c r="N89" i="44"/>
  <c r="M89" i="44"/>
  <c r="L89" i="44"/>
  <c r="K89" i="44"/>
  <c r="J89" i="44"/>
  <c r="I89" i="44"/>
  <c r="S88" i="44"/>
  <c r="R88" i="44"/>
  <c r="Q88" i="44"/>
  <c r="P88" i="44"/>
  <c r="O88" i="44"/>
  <c r="N88" i="44"/>
  <c r="M88" i="44"/>
  <c r="L88" i="44"/>
  <c r="K88" i="44"/>
  <c r="J88" i="44"/>
  <c r="I88" i="44"/>
  <c r="S87" i="44"/>
  <c r="R87" i="44"/>
  <c r="Q87" i="44"/>
  <c r="P87" i="44"/>
  <c r="O87" i="44"/>
  <c r="N87" i="44"/>
  <c r="M87" i="44"/>
  <c r="L87" i="44"/>
  <c r="K87" i="44"/>
  <c r="J87" i="44"/>
  <c r="I87" i="44"/>
  <c r="S86" i="44"/>
  <c r="R86" i="44"/>
  <c r="Q86" i="44"/>
  <c r="P86" i="44"/>
  <c r="O86" i="44"/>
  <c r="N86" i="44"/>
  <c r="M86" i="44"/>
  <c r="L86" i="44"/>
  <c r="K86" i="44"/>
  <c r="J86" i="44"/>
  <c r="I86" i="44"/>
  <c r="H86" i="44"/>
  <c r="I73" i="44"/>
  <c r="I92" i="44"/>
  <c r="S71" i="44"/>
  <c r="R71" i="44"/>
  <c r="Q71" i="44"/>
  <c r="P71" i="44"/>
  <c r="O71" i="44"/>
  <c r="N71" i="44"/>
  <c r="M71" i="44"/>
  <c r="L71" i="44"/>
  <c r="K71" i="44"/>
  <c r="J71" i="44"/>
  <c r="I71" i="44"/>
  <c r="H71" i="44"/>
  <c r="I57" i="44"/>
  <c r="H57" i="44"/>
  <c r="H73" i="44"/>
  <c r="H92" i="44"/>
  <c r="Q51" i="44"/>
  <c r="Q161" i="44"/>
  <c r="Q48" i="44"/>
  <c r="Q106" i="44"/>
  <c r="M48" i="44"/>
  <c r="M51" i="44"/>
  <c r="Q46" i="44"/>
  <c r="M46" i="44"/>
  <c r="I46" i="44"/>
  <c r="M43" i="44"/>
  <c r="S41" i="44"/>
  <c r="S158" i="44"/>
  <c r="R41" i="44"/>
  <c r="R158" i="44"/>
  <c r="Q41" i="44"/>
  <c r="Q158" i="44"/>
  <c r="P41" i="44"/>
  <c r="P158" i="44"/>
  <c r="O41" i="44"/>
  <c r="O158" i="44"/>
  <c r="N41" i="44"/>
  <c r="N158" i="44"/>
  <c r="M41" i="44"/>
  <c r="M158" i="44"/>
  <c r="L41" i="44"/>
  <c r="L158" i="44"/>
  <c r="K41" i="44"/>
  <c r="K158" i="44"/>
  <c r="J41" i="44"/>
  <c r="J158" i="44"/>
  <c r="I41" i="44"/>
  <c r="I158" i="44"/>
  <c r="H41" i="44"/>
  <c r="H158" i="44"/>
  <c r="S38" i="44"/>
  <c r="R38" i="44"/>
  <c r="Q38" i="44"/>
  <c r="P38" i="44"/>
  <c r="P157" i="44"/>
  <c r="O38" i="44"/>
  <c r="N38" i="44"/>
  <c r="M38" i="44"/>
  <c r="L38" i="44"/>
  <c r="K38" i="44"/>
  <c r="J38" i="44"/>
  <c r="I38" i="44"/>
  <c r="H38" i="44"/>
  <c r="H143" i="44"/>
  <c r="S33" i="44"/>
  <c r="R33" i="44"/>
  <c r="Q33" i="44"/>
  <c r="P33" i="44"/>
  <c r="O33" i="44"/>
  <c r="N33" i="44"/>
  <c r="M33" i="44"/>
  <c r="L33" i="44"/>
  <c r="K33" i="44"/>
  <c r="J33" i="44"/>
  <c r="I33" i="44"/>
  <c r="H33" i="44"/>
  <c r="J32" i="44"/>
  <c r="I32" i="44"/>
  <c r="I105" i="44"/>
  <c r="I31" i="44"/>
  <c r="S27" i="44"/>
  <c r="R27" i="44"/>
  <c r="Q27" i="44"/>
  <c r="P27" i="44"/>
  <c r="O27" i="44"/>
  <c r="N27" i="44"/>
  <c r="M27" i="44"/>
  <c r="L27" i="44"/>
  <c r="K27" i="44"/>
  <c r="J27" i="44"/>
  <c r="I27" i="44"/>
  <c r="H27" i="44"/>
  <c r="H138" i="44"/>
  <c r="S19" i="44"/>
  <c r="R19" i="44"/>
  <c r="R165" i="44"/>
  <c r="Q19" i="44"/>
  <c r="P19" i="44"/>
  <c r="P119" i="44"/>
  <c r="P120" i="44"/>
  <c r="O19" i="44"/>
  <c r="N19" i="44"/>
  <c r="N165" i="44"/>
  <c r="M19" i="44"/>
  <c r="L19" i="44"/>
  <c r="K19" i="44"/>
  <c r="J19" i="44"/>
  <c r="J165" i="44"/>
  <c r="I19" i="44"/>
  <c r="H19" i="44"/>
  <c r="S18" i="44"/>
  <c r="R18" i="44"/>
  <c r="Q18" i="44"/>
  <c r="P18" i="44"/>
  <c r="O18" i="44"/>
  <c r="N18" i="44"/>
  <c r="M18" i="44"/>
  <c r="L18" i="44"/>
  <c r="K18" i="44"/>
  <c r="J18" i="44"/>
  <c r="I18" i="44"/>
  <c r="H18" i="44"/>
  <c r="S10" i="44"/>
  <c r="R10" i="44"/>
  <c r="Q10" i="44"/>
  <c r="P10" i="44"/>
  <c r="O10" i="44"/>
  <c r="N10" i="44"/>
  <c r="M10" i="44"/>
  <c r="L10" i="44"/>
  <c r="L164" i="44"/>
  <c r="K10" i="44"/>
  <c r="J10" i="44"/>
  <c r="I10" i="44"/>
  <c r="H10" i="44"/>
  <c r="S5" i="44"/>
  <c r="R5" i="44"/>
  <c r="R163" i="44"/>
  <c r="Q5" i="44"/>
  <c r="P5" i="44"/>
  <c r="O5" i="44"/>
  <c r="N5" i="44"/>
  <c r="N163" i="44"/>
  <c r="M5" i="44"/>
  <c r="L5" i="44"/>
  <c r="K5" i="44"/>
  <c r="J5" i="44"/>
  <c r="J163" i="44"/>
  <c r="I5" i="44"/>
  <c r="H5" i="44"/>
  <c r="H163" i="44"/>
  <c r="S4" i="44"/>
  <c r="R4" i="44"/>
  <c r="R162" i="44"/>
  <c r="Q4" i="44"/>
  <c r="Q31" i="44"/>
  <c r="P4" i="44"/>
  <c r="P99" i="44"/>
  <c r="O4" i="44"/>
  <c r="N4" i="44"/>
  <c r="N162" i="44"/>
  <c r="M4" i="44"/>
  <c r="L4" i="44"/>
  <c r="L99" i="44"/>
  <c r="K4" i="44"/>
  <c r="J4" i="44"/>
  <c r="J162" i="44"/>
  <c r="I4" i="44"/>
  <c r="H4" i="44"/>
  <c r="H99" i="44"/>
  <c r="S165" i="48"/>
  <c r="S119" i="48"/>
  <c r="S120" i="48"/>
  <c r="S95" i="48"/>
  <c r="S96" i="48"/>
  <c r="S97" i="48"/>
  <c r="S111" i="48"/>
  <c r="S124" i="48"/>
  <c r="K133" i="48"/>
  <c r="K140" i="48"/>
  <c r="K145" i="48"/>
  <c r="K153" i="48"/>
  <c r="K129" i="48"/>
  <c r="M105" i="48"/>
  <c r="N32" i="48"/>
  <c r="M57" i="48"/>
  <c r="M73" i="48"/>
  <c r="M92" i="48"/>
  <c r="R122" i="48"/>
  <c r="R121" i="48"/>
  <c r="R106" i="48"/>
  <c r="R107" i="48"/>
  <c r="R51" i="48"/>
  <c r="L117" i="48"/>
  <c r="L109" i="48"/>
  <c r="O52" i="48"/>
  <c r="P29" i="48"/>
  <c r="O115" i="48"/>
  <c r="O27" i="48"/>
  <c r="P51" i="48"/>
  <c r="P106" i="48"/>
  <c r="P107" i="48"/>
  <c r="S162" i="48"/>
  <c r="S99" i="48"/>
  <c r="S100" i="48"/>
  <c r="S130" i="48"/>
  <c r="Q106" i="48"/>
  <c r="Q107" i="48"/>
  <c r="Q51" i="48"/>
  <c r="S151" i="48"/>
  <c r="S150" i="48"/>
  <c r="S149" i="48"/>
  <c r="S148" i="48"/>
  <c r="S147" i="48"/>
  <c r="S146" i="48"/>
  <c r="S160" i="48"/>
  <c r="S114" i="48"/>
  <c r="S113" i="48"/>
  <c r="S48" i="48"/>
  <c r="M106" i="47"/>
  <c r="M109" i="47"/>
  <c r="M115" i="47"/>
  <c r="M119" i="47"/>
  <c r="M127" i="47"/>
  <c r="O32" i="47"/>
  <c r="N87" i="47"/>
  <c r="N95" i="47"/>
  <c r="N57" i="47"/>
  <c r="N73" i="47"/>
  <c r="L161" i="46"/>
  <c r="L52" i="46"/>
  <c r="R51" i="46"/>
  <c r="R106" i="46"/>
  <c r="R107" i="46"/>
  <c r="J51" i="46"/>
  <c r="J106" i="46"/>
  <c r="L29" i="46"/>
  <c r="K27" i="46"/>
  <c r="K115" i="46"/>
  <c r="K90" i="46"/>
  <c r="P106" i="46"/>
  <c r="P107" i="46"/>
  <c r="P51" i="46"/>
  <c r="M32" i="46"/>
  <c r="L105" i="46"/>
  <c r="L57" i="46"/>
  <c r="L73" i="46"/>
  <c r="L92" i="46"/>
  <c r="Q107" i="46"/>
  <c r="J129" i="46"/>
  <c r="J133" i="46"/>
  <c r="J140" i="46"/>
  <c r="J145" i="46"/>
  <c r="J153" i="46"/>
  <c r="K51" i="46"/>
  <c r="K106" i="46"/>
  <c r="J168" i="46"/>
  <c r="J138" i="46"/>
  <c r="J131" i="46"/>
  <c r="J101" i="46"/>
  <c r="J102" i="46"/>
  <c r="J103" i="46"/>
  <c r="J18" i="46"/>
  <c r="J31" i="46"/>
  <c r="N51" i="46"/>
  <c r="N106" i="46"/>
  <c r="N107" i="46"/>
  <c r="Q161" i="46"/>
  <c r="Q52" i="46"/>
  <c r="J107" i="46"/>
  <c r="M106" i="46"/>
  <c r="M107" i="46"/>
  <c r="M51" i="46"/>
  <c r="S51" i="46"/>
  <c r="S106" i="46"/>
  <c r="S107" i="46"/>
  <c r="K107" i="46"/>
  <c r="I106" i="46"/>
  <c r="I107" i="46"/>
  <c r="I51" i="46"/>
  <c r="O51" i="46"/>
  <c r="O106" i="46"/>
  <c r="O107" i="46"/>
  <c r="M100" i="46"/>
  <c r="K117" i="46"/>
  <c r="K109" i="46"/>
  <c r="H161" i="46"/>
  <c r="H52" i="46"/>
  <c r="S100" i="46"/>
  <c r="S103" i="46"/>
  <c r="M124" i="45"/>
  <c r="M111" i="45"/>
  <c r="R160" i="45"/>
  <c r="R114" i="45"/>
  <c r="R113" i="45"/>
  <c r="R48" i="45"/>
  <c r="K105" i="45"/>
  <c r="L32" i="45"/>
  <c r="K57" i="45"/>
  <c r="K73" i="45"/>
  <c r="K92" i="45"/>
  <c r="Q162" i="45"/>
  <c r="Q130" i="45"/>
  <c r="Q31" i="45"/>
  <c r="Q134" i="45"/>
  <c r="Q99" i="45"/>
  <c r="Q100" i="45"/>
  <c r="J97" i="45"/>
  <c r="N122" i="45"/>
  <c r="N121" i="45"/>
  <c r="R96" i="45"/>
  <c r="R97" i="45"/>
  <c r="N102" i="45"/>
  <c r="N103" i="45"/>
  <c r="H160" i="45"/>
  <c r="H114" i="45"/>
  <c r="H48" i="45"/>
  <c r="H51" i="45"/>
  <c r="H113" i="45"/>
  <c r="R151" i="45"/>
  <c r="R150" i="45"/>
  <c r="R149" i="45"/>
  <c r="R148" i="45"/>
  <c r="R147" i="45"/>
  <c r="R146" i="45"/>
  <c r="N151" i="45"/>
  <c r="N150" i="45"/>
  <c r="N149" i="45"/>
  <c r="N148" i="45"/>
  <c r="N147" i="45"/>
  <c r="N146" i="45"/>
  <c r="J151" i="45"/>
  <c r="J150" i="45"/>
  <c r="J149" i="45"/>
  <c r="J148" i="45"/>
  <c r="J147" i="45"/>
  <c r="J146" i="45"/>
  <c r="K124" i="45"/>
  <c r="K111" i="45"/>
  <c r="K151" i="45"/>
  <c r="K150" i="45"/>
  <c r="K149" i="45"/>
  <c r="K148" i="45"/>
  <c r="K147" i="45"/>
  <c r="K146" i="45"/>
  <c r="S121" i="45"/>
  <c r="S122" i="45"/>
  <c r="P124" i="45"/>
  <c r="P111" i="45"/>
  <c r="R122" i="45"/>
  <c r="R121" i="45"/>
  <c r="H124" i="45"/>
  <c r="H111" i="45"/>
  <c r="J160" i="45"/>
  <c r="J114" i="45"/>
  <c r="J113" i="45"/>
  <c r="J48" i="45"/>
  <c r="M122" i="45"/>
  <c r="M121" i="45"/>
  <c r="P97" i="45"/>
  <c r="Q160" i="45"/>
  <c r="Q114" i="45"/>
  <c r="Q113" i="45"/>
  <c r="Q48" i="45"/>
  <c r="Q136" i="45"/>
  <c r="M150" i="45"/>
  <c r="M148" i="45"/>
  <c r="M146" i="45"/>
  <c r="M151" i="45"/>
  <c r="M147" i="45"/>
  <c r="M149" i="45"/>
  <c r="M100" i="45"/>
  <c r="O160" i="45"/>
  <c r="O113" i="45"/>
  <c r="O114" i="45"/>
  <c r="O48" i="45"/>
  <c r="O111" i="45"/>
  <c r="O124" i="45"/>
  <c r="O151" i="45"/>
  <c r="O150" i="45"/>
  <c r="O149" i="45"/>
  <c r="O148" i="45"/>
  <c r="O147" i="45"/>
  <c r="O146" i="45"/>
  <c r="O162" i="45"/>
  <c r="O130" i="45"/>
  <c r="O99" i="45"/>
  <c r="O100" i="45"/>
  <c r="O103" i="45"/>
  <c r="O31" i="45"/>
  <c r="O96" i="45"/>
  <c r="J96" i="45"/>
  <c r="P160" i="45"/>
  <c r="P114" i="45"/>
  <c r="P113" i="45"/>
  <c r="P48" i="45"/>
  <c r="L150" i="45"/>
  <c r="L148" i="45"/>
  <c r="L146" i="45"/>
  <c r="L151" i="45"/>
  <c r="L147" i="45"/>
  <c r="L149" i="45"/>
  <c r="J117" i="45"/>
  <c r="J109" i="45"/>
  <c r="O97" i="45"/>
  <c r="H133" i="45"/>
  <c r="H140" i="45"/>
  <c r="H145" i="45"/>
  <c r="H153" i="45"/>
  <c r="H129" i="45"/>
  <c r="L106" i="45"/>
  <c r="L51" i="45"/>
  <c r="P122" i="45"/>
  <c r="M103" i="45"/>
  <c r="I160" i="45"/>
  <c r="I114" i="45"/>
  <c r="I113" i="45"/>
  <c r="I48" i="45"/>
  <c r="S106" i="45"/>
  <c r="S51" i="45"/>
  <c r="I100" i="45"/>
  <c r="I103" i="45"/>
  <c r="I94" i="45"/>
  <c r="I97" i="45"/>
  <c r="S96" i="45"/>
  <c r="S97" i="45"/>
  <c r="S107" i="45"/>
  <c r="I124" i="45"/>
  <c r="I111" i="45"/>
  <c r="N160" i="45"/>
  <c r="N114" i="45"/>
  <c r="N113" i="45"/>
  <c r="N48" i="45"/>
  <c r="K106" i="45"/>
  <c r="K107" i="45"/>
  <c r="K51" i="45"/>
  <c r="K121" i="45"/>
  <c r="K122" i="45"/>
  <c r="J100" i="45"/>
  <c r="I151" i="45"/>
  <c r="I149" i="45"/>
  <c r="I147" i="45"/>
  <c r="I150" i="45"/>
  <c r="I146" i="45"/>
  <c r="I148" i="45"/>
  <c r="Q124" i="45"/>
  <c r="Q111" i="45"/>
  <c r="Q102" i="45"/>
  <c r="Q103" i="45"/>
  <c r="H121" i="45"/>
  <c r="H122" i="45"/>
  <c r="K100" i="45"/>
  <c r="K103" i="45"/>
  <c r="L97" i="45"/>
  <c r="L107" i="45"/>
  <c r="M114" i="45"/>
  <c r="M113" i="45"/>
  <c r="M48" i="45"/>
  <c r="M160" i="45"/>
  <c r="S124" i="45"/>
  <c r="S111" i="45"/>
  <c r="S151" i="45"/>
  <c r="S150" i="45"/>
  <c r="S149" i="45"/>
  <c r="S148" i="45"/>
  <c r="S147" i="45"/>
  <c r="S146" i="45"/>
  <c r="O122" i="45"/>
  <c r="O121" i="45"/>
  <c r="S162" i="45"/>
  <c r="S130" i="45"/>
  <c r="S99" i="45"/>
  <c r="S100" i="45"/>
  <c r="S103" i="45"/>
  <c r="S31" i="45"/>
  <c r="R102" i="45"/>
  <c r="J122" i="45"/>
  <c r="J121" i="45"/>
  <c r="Q94" i="45"/>
  <c r="Q97" i="45"/>
  <c r="N100" i="45"/>
  <c r="L111" i="45"/>
  <c r="L124" i="45"/>
  <c r="M94" i="45"/>
  <c r="M97" i="45"/>
  <c r="J102" i="45"/>
  <c r="J103" i="45"/>
  <c r="N94" i="45"/>
  <c r="N97" i="45"/>
  <c r="H151" i="45"/>
  <c r="H149" i="45"/>
  <c r="H147" i="45"/>
  <c r="H150" i="45"/>
  <c r="H146" i="45"/>
  <c r="H148" i="45"/>
  <c r="M161" i="44"/>
  <c r="M52" i="44"/>
  <c r="M162" i="44"/>
  <c r="M130" i="44"/>
  <c r="I163" i="44"/>
  <c r="I126" i="44"/>
  <c r="I125" i="44"/>
  <c r="I93" i="44"/>
  <c r="I94" i="44"/>
  <c r="Q163" i="44"/>
  <c r="Q126" i="44"/>
  <c r="Q125" i="44"/>
  <c r="Q93" i="44"/>
  <c r="Q94" i="44"/>
  <c r="M164" i="44"/>
  <c r="M134" i="44"/>
  <c r="I165" i="44"/>
  <c r="I119" i="44"/>
  <c r="I120" i="44"/>
  <c r="Q165" i="44"/>
  <c r="Q119" i="44"/>
  <c r="Q120" i="44"/>
  <c r="M168" i="44"/>
  <c r="M138" i="44"/>
  <c r="M131" i="44"/>
  <c r="M101" i="44"/>
  <c r="M102" i="44"/>
  <c r="M31" i="44"/>
  <c r="R154" i="44"/>
  <c r="R142" i="44"/>
  <c r="R141" i="44"/>
  <c r="R137" i="44"/>
  <c r="R136" i="44"/>
  <c r="R110" i="44"/>
  <c r="R46" i="44"/>
  <c r="R112" i="44"/>
  <c r="Q160" i="44"/>
  <c r="Q114" i="44"/>
  <c r="Q113" i="44"/>
  <c r="Q95" i="44"/>
  <c r="M106" i="44"/>
  <c r="R121" i="44"/>
  <c r="I160" i="44"/>
  <c r="I114" i="44"/>
  <c r="I113" i="44"/>
  <c r="I162" i="44"/>
  <c r="I130" i="44"/>
  <c r="I99" i="44"/>
  <c r="I100" i="44"/>
  <c r="Q162" i="44"/>
  <c r="Q130" i="44"/>
  <c r="Q99" i="44"/>
  <c r="Q100" i="44"/>
  <c r="M163" i="44"/>
  <c r="M126" i="44"/>
  <c r="M125" i="44"/>
  <c r="M93" i="44"/>
  <c r="M94" i="44"/>
  <c r="I164" i="44"/>
  <c r="I134" i="44"/>
  <c r="Q164" i="44"/>
  <c r="Q134" i="44"/>
  <c r="M165" i="44"/>
  <c r="M119" i="44"/>
  <c r="M120" i="44"/>
  <c r="I168" i="44"/>
  <c r="I138" i="44"/>
  <c r="I131" i="44"/>
  <c r="I101" i="44"/>
  <c r="I102" i="44"/>
  <c r="I103" i="44"/>
  <c r="Q168" i="44"/>
  <c r="Q138" i="44"/>
  <c r="Q131" i="44"/>
  <c r="Q101" i="44"/>
  <c r="Q102" i="44"/>
  <c r="Q103" i="44"/>
  <c r="J154" i="44"/>
  <c r="J142" i="44"/>
  <c r="J141" i="44"/>
  <c r="J137" i="44"/>
  <c r="J136" i="44"/>
  <c r="J112" i="44"/>
  <c r="J46" i="44"/>
  <c r="N154" i="44"/>
  <c r="N142" i="44"/>
  <c r="N141" i="44"/>
  <c r="N137" i="44"/>
  <c r="N136" i="44"/>
  <c r="N112" i="44"/>
  <c r="N110" i="44"/>
  <c r="N46" i="44"/>
  <c r="J159" i="44"/>
  <c r="J157" i="44"/>
  <c r="J143" i="44"/>
  <c r="J127" i="44"/>
  <c r="N159" i="44"/>
  <c r="N157" i="44"/>
  <c r="N143" i="44"/>
  <c r="N127" i="44"/>
  <c r="R159" i="44"/>
  <c r="R157" i="44"/>
  <c r="R143" i="44"/>
  <c r="R127" i="44"/>
  <c r="M160" i="44"/>
  <c r="M114" i="44"/>
  <c r="M113" i="44"/>
  <c r="M95" i="44"/>
  <c r="H117" i="44"/>
  <c r="H109" i="44"/>
  <c r="I48" i="44"/>
  <c r="Q52" i="44"/>
  <c r="L94" i="44"/>
  <c r="L97" i="44"/>
  <c r="J105" i="44"/>
  <c r="J57" i="44"/>
  <c r="J73" i="44"/>
  <c r="J92" i="44"/>
  <c r="K32" i="44"/>
  <c r="I95" i="44"/>
  <c r="J110" i="44"/>
  <c r="J164" i="44"/>
  <c r="J134" i="44"/>
  <c r="N164" i="44"/>
  <c r="N134" i="44"/>
  <c r="R164" i="44"/>
  <c r="R134" i="44"/>
  <c r="J168" i="44"/>
  <c r="J138" i="44"/>
  <c r="N168" i="44"/>
  <c r="N138" i="44"/>
  <c r="R168" i="44"/>
  <c r="R138" i="44"/>
  <c r="R131" i="44"/>
  <c r="J31" i="44"/>
  <c r="N31" i="44"/>
  <c r="R31" i="44"/>
  <c r="K154" i="44"/>
  <c r="K142" i="44"/>
  <c r="K141" i="44"/>
  <c r="K137" i="44"/>
  <c r="K136" i="44"/>
  <c r="K112" i="44"/>
  <c r="K110" i="44"/>
  <c r="O154" i="44"/>
  <c r="O142" i="44"/>
  <c r="O141" i="44"/>
  <c r="O137" i="44"/>
  <c r="O136" i="44"/>
  <c r="O112" i="44"/>
  <c r="O110" i="44"/>
  <c r="S154" i="44"/>
  <c r="S142" i="44"/>
  <c r="S141" i="44"/>
  <c r="S137" i="44"/>
  <c r="S136" i="44"/>
  <c r="S112" i="44"/>
  <c r="S110" i="44"/>
  <c r="K159" i="44"/>
  <c r="K157" i="44"/>
  <c r="K143" i="44"/>
  <c r="K127" i="44"/>
  <c r="O159" i="44"/>
  <c r="O157" i="44"/>
  <c r="O143" i="44"/>
  <c r="O127" i="44"/>
  <c r="S159" i="44"/>
  <c r="S157" i="44"/>
  <c r="S143" i="44"/>
  <c r="S127" i="44"/>
  <c r="J95" i="44"/>
  <c r="J96" i="44"/>
  <c r="N95" i="44"/>
  <c r="N96" i="44"/>
  <c r="R95" i="44"/>
  <c r="R96" i="44"/>
  <c r="J125" i="44"/>
  <c r="N126" i="44"/>
  <c r="J130" i="44"/>
  <c r="N131" i="44"/>
  <c r="P151" i="44"/>
  <c r="P147" i="44"/>
  <c r="P148" i="44"/>
  <c r="P149" i="44"/>
  <c r="K162" i="44"/>
  <c r="K130" i="44"/>
  <c r="O162" i="44"/>
  <c r="O130" i="44"/>
  <c r="S162" i="44"/>
  <c r="S130" i="44"/>
  <c r="K163" i="44"/>
  <c r="K126" i="44"/>
  <c r="K125" i="44"/>
  <c r="O163" i="44"/>
  <c r="O126" i="44"/>
  <c r="O125" i="44"/>
  <c r="S163" i="44"/>
  <c r="S126" i="44"/>
  <c r="S125" i="44"/>
  <c r="K164" i="44"/>
  <c r="K134" i="44"/>
  <c r="O164" i="44"/>
  <c r="O134" i="44"/>
  <c r="S164" i="44"/>
  <c r="S134" i="44"/>
  <c r="K165" i="44"/>
  <c r="K119" i="44"/>
  <c r="K120" i="44"/>
  <c r="O165" i="44"/>
  <c r="O119" i="44"/>
  <c r="O120" i="44"/>
  <c r="S165" i="44"/>
  <c r="S119" i="44"/>
  <c r="S120" i="44"/>
  <c r="K168" i="44"/>
  <c r="K138" i="44"/>
  <c r="K131" i="44"/>
  <c r="O168" i="44"/>
  <c r="O138" i="44"/>
  <c r="O131" i="44"/>
  <c r="S168" i="44"/>
  <c r="S138" i="44"/>
  <c r="S131" i="44"/>
  <c r="K31" i="44"/>
  <c r="O31" i="44"/>
  <c r="S31" i="44"/>
  <c r="H137" i="44"/>
  <c r="H136" i="44"/>
  <c r="H154" i="44"/>
  <c r="H141" i="44"/>
  <c r="H112" i="44"/>
  <c r="H110" i="44"/>
  <c r="H142" i="44"/>
  <c r="L137" i="44"/>
  <c r="L136" i="44"/>
  <c r="L141" i="44"/>
  <c r="L142" i="44"/>
  <c r="L112" i="44"/>
  <c r="L110" i="44"/>
  <c r="P137" i="44"/>
  <c r="P136" i="44"/>
  <c r="P142" i="44"/>
  <c r="P112" i="44"/>
  <c r="P110" i="44"/>
  <c r="P154" i="44"/>
  <c r="H157" i="44"/>
  <c r="H127" i="44"/>
  <c r="L157" i="44"/>
  <c r="L127" i="44"/>
  <c r="L159" i="44"/>
  <c r="L143" i="44"/>
  <c r="P159" i="44"/>
  <c r="P143" i="44"/>
  <c r="P127" i="44"/>
  <c r="K46" i="44"/>
  <c r="O46" i="44"/>
  <c r="S46" i="44"/>
  <c r="J93" i="44"/>
  <c r="J94" i="44"/>
  <c r="J97" i="44"/>
  <c r="N93" i="44"/>
  <c r="N94" i="44"/>
  <c r="N97" i="44"/>
  <c r="R93" i="44"/>
  <c r="R94" i="44"/>
  <c r="K95" i="44"/>
  <c r="K96" i="44"/>
  <c r="O95" i="44"/>
  <c r="O96" i="44"/>
  <c r="S95" i="44"/>
  <c r="S96" i="44"/>
  <c r="J101" i="44"/>
  <c r="N101" i="44"/>
  <c r="N102" i="44"/>
  <c r="R101" i="44"/>
  <c r="J119" i="44"/>
  <c r="J120" i="44"/>
  <c r="N125" i="44"/>
  <c r="R126" i="44"/>
  <c r="N130" i="44"/>
  <c r="P150" i="44"/>
  <c r="H159" i="44"/>
  <c r="H130" i="44"/>
  <c r="H162" i="44"/>
  <c r="L162" i="44"/>
  <c r="L130" i="44"/>
  <c r="P162" i="44"/>
  <c r="P130" i="44"/>
  <c r="H126" i="44"/>
  <c r="H125" i="44"/>
  <c r="L126" i="44"/>
  <c r="L125" i="44"/>
  <c r="L163" i="44"/>
  <c r="P163" i="44"/>
  <c r="P126" i="44"/>
  <c r="P125" i="44"/>
  <c r="H134" i="44"/>
  <c r="H164" i="44"/>
  <c r="L134" i="44"/>
  <c r="P134" i="44"/>
  <c r="P164" i="44"/>
  <c r="H165" i="44"/>
  <c r="H119" i="44"/>
  <c r="H120" i="44"/>
  <c r="L165" i="44"/>
  <c r="L119" i="44"/>
  <c r="L120" i="44"/>
  <c r="P122" i="44"/>
  <c r="P121" i="44"/>
  <c r="H131" i="44"/>
  <c r="H168" i="44"/>
  <c r="L168" i="44"/>
  <c r="L131" i="44"/>
  <c r="L138" i="44"/>
  <c r="P131" i="44"/>
  <c r="P168" i="44"/>
  <c r="P138" i="44"/>
  <c r="H31" i="44"/>
  <c r="L31" i="44"/>
  <c r="P31" i="44"/>
  <c r="I117" i="44"/>
  <c r="I109" i="44"/>
  <c r="I154" i="44"/>
  <c r="I142" i="44"/>
  <c r="I141" i="44"/>
  <c r="I112" i="44"/>
  <c r="I110" i="44"/>
  <c r="I136" i="44"/>
  <c r="M154" i="44"/>
  <c r="M142" i="44"/>
  <c r="M141" i="44"/>
  <c r="M112" i="44"/>
  <c r="M110" i="44"/>
  <c r="M136" i="44"/>
  <c r="M137" i="44"/>
  <c r="Q154" i="44"/>
  <c r="Q142" i="44"/>
  <c r="Q141" i="44"/>
  <c r="Q136" i="44"/>
  <c r="Q112" i="44"/>
  <c r="Q110" i="44"/>
  <c r="Q137" i="44"/>
  <c r="I159" i="44"/>
  <c r="I157" i="44"/>
  <c r="I143" i="44"/>
  <c r="I127" i="44"/>
  <c r="M159" i="44"/>
  <c r="M157" i="44"/>
  <c r="M143" i="44"/>
  <c r="M127" i="44"/>
  <c r="Q159" i="44"/>
  <c r="Q157" i="44"/>
  <c r="Q143" i="44"/>
  <c r="Q127" i="44"/>
  <c r="H46" i="44"/>
  <c r="L46" i="44"/>
  <c r="P46" i="44"/>
  <c r="K93" i="44"/>
  <c r="O93" i="44"/>
  <c r="S93" i="44"/>
  <c r="H95" i="44"/>
  <c r="L95" i="44"/>
  <c r="L96" i="44"/>
  <c r="P95" i="44"/>
  <c r="P96" i="44"/>
  <c r="J99" i="44"/>
  <c r="J100" i="44"/>
  <c r="R99" i="44"/>
  <c r="R100" i="44"/>
  <c r="K101" i="44"/>
  <c r="K102" i="44"/>
  <c r="O101" i="44"/>
  <c r="O102" i="44"/>
  <c r="S101" i="44"/>
  <c r="S102" i="44"/>
  <c r="N119" i="44"/>
  <c r="N120" i="44"/>
  <c r="R125" i="44"/>
  <c r="R130" i="44"/>
  <c r="P146" i="44"/>
  <c r="P165" i="44"/>
  <c r="O29" i="43"/>
  <c r="P29" i="43"/>
  <c r="Q29" i="43"/>
  <c r="R29" i="43"/>
  <c r="S29" i="43"/>
  <c r="S27" i="43"/>
  <c r="S168" i="43"/>
  <c r="R27" i="43"/>
  <c r="R168" i="43"/>
  <c r="Q27" i="43"/>
  <c r="Q168" i="43"/>
  <c r="P27" i="43"/>
  <c r="P168" i="43"/>
  <c r="O27" i="43"/>
  <c r="O168" i="43"/>
  <c r="N27" i="43"/>
  <c r="N168" i="43"/>
  <c r="M27" i="43"/>
  <c r="M168" i="43"/>
  <c r="L27" i="43"/>
  <c r="L168" i="43"/>
  <c r="K29" i="43"/>
  <c r="K27" i="43"/>
  <c r="K168" i="43"/>
  <c r="J27" i="43"/>
  <c r="J168" i="43"/>
  <c r="I27" i="43"/>
  <c r="I168" i="43"/>
  <c r="H27" i="43"/>
  <c r="H168" i="43"/>
  <c r="S167" i="43"/>
  <c r="R167" i="43"/>
  <c r="Q167" i="43"/>
  <c r="P167" i="43"/>
  <c r="O167" i="43"/>
  <c r="N167" i="43"/>
  <c r="M167" i="43"/>
  <c r="L167" i="43"/>
  <c r="K167" i="43"/>
  <c r="J24" i="43"/>
  <c r="J167" i="43"/>
  <c r="I24" i="43"/>
  <c r="I167" i="43"/>
  <c r="H24" i="43"/>
  <c r="H167" i="43"/>
  <c r="S166" i="43"/>
  <c r="R166" i="43"/>
  <c r="Q166" i="43"/>
  <c r="P166" i="43"/>
  <c r="O166" i="43"/>
  <c r="N20" i="43"/>
  <c r="N166" i="43"/>
  <c r="M166" i="43"/>
  <c r="L166" i="43"/>
  <c r="K166" i="43"/>
  <c r="J166" i="43"/>
  <c r="I166" i="43"/>
  <c r="H166" i="43"/>
  <c r="S19" i="43"/>
  <c r="S165" i="43"/>
  <c r="R19" i="43"/>
  <c r="R165" i="43"/>
  <c r="Q19" i="43"/>
  <c r="Q165" i="43"/>
  <c r="P19" i="43"/>
  <c r="P165" i="43"/>
  <c r="O19" i="43"/>
  <c r="O165" i="43"/>
  <c r="N21" i="43"/>
  <c r="N19" i="43"/>
  <c r="N165" i="43"/>
  <c r="M21" i="43"/>
  <c r="M19" i="43"/>
  <c r="M165" i="43"/>
  <c r="L21" i="43"/>
  <c r="L19" i="43"/>
  <c r="L165" i="43"/>
  <c r="K21" i="43"/>
  <c r="K19" i="43"/>
  <c r="K165" i="43"/>
  <c r="J21" i="43"/>
  <c r="J19" i="43"/>
  <c r="J165" i="43"/>
  <c r="I21" i="43"/>
  <c r="I19" i="43"/>
  <c r="I165" i="43"/>
  <c r="H21" i="43"/>
  <c r="H19" i="43"/>
  <c r="H165" i="43"/>
  <c r="S15" i="43"/>
  <c r="S10" i="43"/>
  <c r="S164" i="43"/>
  <c r="R15" i="43"/>
  <c r="R10" i="43"/>
  <c r="R164" i="43"/>
  <c r="Q15" i="43"/>
  <c r="Q10" i="43"/>
  <c r="Q164" i="43"/>
  <c r="P10" i="43"/>
  <c r="P164" i="43"/>
  <c r="O15" i="43"/>
  <c r="O10" i="43"/>
  <c r="O164" i="43"/>
  <c r="N10" i="43"/>
  <c r="N164" i="43"/>
  <c r="M10" i="43"/>
  <c r="M164" i="43"/>
  <c r="L10" i="43"/>
  <c r="L164" i="43"/>
  <c r="K10" i="43"/>
  <c r="K164" i="43"/>
  <c r="J10" i="43"/>
  <c r="J164" i="43"/>
  <c r="I10" i="43"/>
  <c r="I164" i="43"/>
  <c r="H10" i="43"/>
  <c r="H164" i="43"/>
  <c r="S5" i="43"/>
  <c r="S163" i="43"/>
  <c r="R5" i="43"/>
  <c r="R163" i="43"/>
  <c r="Q5" i="43"/>
  <c r="Q163" i="43"/>
  <c r="P5" i="43"/>
  <c r="P163" i="43"/>
  <c r="O5" i="43"/>
  <c r="O163" i="43"/>
  <c r="N5" i="43"/>
  <c r="N163" i="43"/>
  <c r="M5" i="43"/>
  <c r="M163" i="43"/>
  <c r="L5" i="43"/>
  <c r="L163" i="43"/>
  <c r="K5" i="43"/>
  <c r="K163" i="43"/>
  <c r="J5" i="43"/>
  <c r="J163" i="43"/>
  <c r="I5" i="43"/>
  <c r="I163" i="43"/>
  <c r="H5" i="43"/>
  <c r="H163" i="43"/>
  <c r="S4" i="43"/>
  <c r="S162" i="43"/>
  <c r="R4" i="43"/>
  <c r="R162" i="43"/>
  <c r="Q4" i="43"/>
  <c r="Q162" i="43"/>
  <c r="P4" i="43"/>
  <c r="P162" i="43"/>
  <c r="O4" i="43"/>
  <c r="O162" i="43"/>
  <c r="N4" i="43"/>
  <c r="N162" i="43"/>
  <c r="M4" i="43"/>
  <c r="M162" i="43"/>
  <c r="L4" i="43"/>
  <c r="L162" i="43"/>
  <c r="K4" i="43"/>
  <c r="K162" i="43"/>
  <c r="J4" i="43"/>
  <c r="J162" i="43"/>
  <c r="I4" i="43"/>
  <c r="I162" i="43"/>
  <c r="H4" i="43"/>
  <c r="H162" i="43"/>
  <c r="P35" i="43"/>
  <c r="Q35" i="43"/>
  <c r="R35" i="43"/>
  <c r="S35" i="43"/>
  <c r="S36" i="43"/>
  <c r="S33" i="43"/>
  <c r="S38" i="43"/>
  <c r="P42" i="43"/>
  <c r="Q42" i="43"/>
  <c r="R42" i="43"/>
  <c r="S42" i="43"/>
  <c r="P43" i="43"/>
  <c r="Q43" i="43"/>
  <c r="R43" i="43"/>
  <c r="S43" i="43"/>
  <c r="S41" i="43"/>
  <c r="S46" i="43"/>
  <c r="S48" i="43"/>
  <c r="S51" i="43"/>
  <c r="S161" i="43"/>
  <c r="R36" i="43"/>
  <c r="R33" i="43"/>
  <c r="R38" i="43"/>
  <c r="R41" i="43"/>
  <c r="R46" i="43"/>
  <c r="R48" i="43"/>
  <c r="R51" i="43"/>
  <c r="R161" i="43"/>
  <c r="Q36" i="43"/>
  <c r="Q33" i="43"/>
  <c r="Q38" i="43"/>
  <c r="Q41" i="43"/>
  <c r="Q46" i="43"/>
  <c r="Q48" i="43"/>
  <c r="Q51" i="43"/>
  <c r="Q161" i="43"/>
  <c r="P36" i="43"/>
  <c r="P33" i="43"/>
  <c r="P38" i="43"/>
  <c r="P41" i="43"/>
  <c r="P46" i="43"/>
  <c r="P48" i="43"/>
  <c r="P51" i="43"/>
  <c r="P161" i="43"/>
  <c r="O33" i="43"/>
  <c r="O38" i="43"/>
  <c r="O41" i="43"/>
  <c r="O46" i="43"/>
  <c r="O48" i="43"/>
  <c r="O51" i="43"/>
  <c r="O161" i="43"/>
  <c r="N33" i="43"/>
  <c r="N38" i="43"/>
  <c r="N41" i="43"/>
  <c r="N46" i="43"/>
  <c r="N48" i="43"/>
  <c r="N51" i="43"/>
  <c r="N161" i="43"/>
  <c r="M33" i="43"/>
  <c r="M38" i="43"/>
  <c r="M41" i="43"/>
  <c r="M46" i="43"/>
  <c r="M48" i="43"/>
  <c r="M51" i="43"/>
  <c r="M161" i="43"/>
  <c r="L33" i="43"/>
  <c r="L38" i="43"/>
  <c r="L41" i="43"/>
  <c r="L46" i="43"/>
  <c r="L48" i="43"/>
  <c r="L51" i="43"/>
  <c r="L161" i="43"/>
  <c r="K33" i="43"/>
  <c r="K38" i="43"/>
  <c r="K41" i="43"/>
  <c r="K46" i="43"/>
  <c r="K48" i="43"/>
  <c r="K51" i="43"/>
  <c r="K161" i="43"/>
  <c r="J33" i="43"/>
  <c r="J38" i="43"/>
  <c r="J41" i="43"/>
  <c r="J46" i="43"/>
  <c r="J48" i="43"/>
  <c r="J51" i="43"/>
  <c r="J161" i="43"/>
  <c r="I36" i="43"/>
  <c r="I33" i="43"/>
  <c r="I40" i="43"/>
  <c r="I38" i="43"/>
  <c r="I42" i="43"/>
  <c r="I43" i="43"/>
  <c r="I41" i="43"/>
  <c r="I46" i="43"/>
  <c r="I48" i="43"/>
  <c r="I51" i="43"/>
  <c r="I161" i="43"/>
  <c r="H33" i="43"/>
  <c r="H38" i="43"/>
  <c r="H41" i="43"/>
  <c r="H46" i="43"/>
  <c r="H48" i="43"/>
  <c r="H51" i="43"/>
  <c r="H161" i="43"/>
  <c r="S160" i="43"/>
  <c r="R160" i="43"/>
  <c r="Q160" i="43"/>
  <c r="P160" i="43"/>
  <c r="O160" i="43"/>
  <c r="N160" i="43"/>
  <c r="M160" i="43"/>
  <c r="L160" i="43"/>
  <c r="K160" i="43"/>
  <c r="J160" i="43"/>
  <c r="I160" i="43"/>
  <c r="H160" i="43"/>
  <c r="S159" i="43"/>
  <c r="R159" i="43"/>
  <c r="Q159" i="43"/>
  <c r="P159" i="43"/>
  <c r="O159" i="43"/>
  <c r="N159" i="43"/>
  <c r="M159" i="43"/>
  <c r="L159" i="43"/>
  <c r="K159" i="43"/>
  <c r="J159" i="43"/>
  <c r="I159" i="43"/>
  <c r="H159" i="43"/>
  <c r="S158" i="43"/>
  <c r="R158" i="43"/>
  <c r="Q158" i="43"/>
  <c r="P158" i="43"/>
  <c r="O158" i="43"/>
  <c r="N158" i="43"/>
  <c r="M158" i="43"/>
  <c r="L158" i="43"/>
  <c r="K158" i="43"/>
  <c r="J158" i="43"/>
  <c r="I158" i="43"/>
  <c r="H158" i="43"/>
  <c r="S157" i="43"/>
  <c r="R157" i="43"/>
  <c r="Q157" i="43"/>
  <c r="P157" i="43"/>
  <c r="O157" i="43"/>
  <c r="N157" i="43"/>
  <c r="M157" i="43"/>
  <c r="L157" i="43"/>
  <c r="K157" i="43"/>
  <c r="J157" i="43"/>
  <c r="I157" i="43"/>
  <c r="H157" i="43"/>
  <c r="S156" i="43"/>
  <c r="R156" i="43"/>
  <c r="Q156" i="43"/>
  <c r="P156" i="43"/>
  <c r="O156" i="43"/>
  <c r="N156" i="43"/>
  <c r="M156" i="43"/>
  <c r="L156" i="43"/>
  <c r="K156" i="43"/>
  <c r="J156" i="43"/>
  <c r="I156" i="43"/>
  <c r="H156" i="43"/>
  <c r="S155" i="43"/>
  <c r="R155" i="43"/>
  <c r="Q155" i="43"/>
  <c r="P155" i="43"/>
  <c r="O155" i="43"/>
  <c r="N155" i="43"/>
  <c r="M155" i="43"/>
  <c r="L155" i="43"/>
  <c r="K155" i="43"/>
  <c r="J155" i="43"/>
  <c r="I155" i="43"/>
  <c r="H155" i="43"/>
  <c r="S154" i="43"/>
  <c r="R154" i="43"/>
  <c r="Q154" i="43"/>
  <c r="P154" i="43"/>
  <c r="O154" i="43"/>
  <c r="N154" i="43"/>
  <c r="M154" i="43"/>
  <c r="L154" i="43"/>
  <c r="K154" i="43"/>
  <c r="J154" i="43"/>
  <c r="I154" i="43"/>
  <c r="H154" i="43"/>
  <c r="I32" i="43"/>
  <c r="J32" i="43"/>
  <c r="K32" i="43"/>
  <c r="L32" i="43"/>
  <c r="M32" i="43"/>
  <c r="N32" i="43"/>
  <c r="O32" i="43"/>
  <c r="P32" i="43"/>
  <c r="Q32" i="43"/>
  <c r="R32" i="43"/>
  <c r="S32" i="43"/>
  <c r="S105" i="43"/>
  <c r="S117" i="43"/>
  <c r="S133" i="43"/>
  <c r="S140" i="43"/>
  <c r="S145" i="43"/>
  <c r="S153" i="43"/>
  <c r="R105" i="43"/>
  <c r="R117" i="43"/>
  <c r="R133" i="43"/>
  <c r="R140" i="43"/>
  <c r="R145" i="43"/>
  <c r="R153" i="43"/>
  <c r="Q105" i="43"/>
  <c r="Q117" i="43"/>
  <c r="Q133" i="43"/>
  <c r="Q140" i="43"/>
  <c r="Q145" i="43"/>
  <c r="Q153" i="43"/>
  <c r="P105" i="43"/>
  <c r="P117" i="43"/>
  <c r="P133" i="43"/>
  <c r="P140" i="43"/>
  <c r="P145" i="43"/>
  <c r="P153" i="43"/>
  <c r="O105" i="43"/>
  <c r="O117" i="43"/>
  <c r="O133" i="43"/>
  <c r="O140" i="43"/>
  <c r="O145" i="43"/>
  <c r="O153" i="43"/>
  <c r="N105" i="43"/>
  <c r="N117" i="43"/>
  <c r="N133" i="43"/>
  <c r="N140" i="43"/>
  <c r="N145" i="43"/>
  <c r="N153" i="43"/>
  <c r="M105" i="43"/>
  <c r="M117" i="43"/>
  <c r="M133" i="43"/>
  <c r="M140" i="43"/>
  <c r="M145" i="43"/>
  <c r="M153" i="43"/>
  <c r="L105" i="43"/>
  <c r="L117" i="43"/>
  <c r="L133" i="43"/>
  <c r="L140" i="43"/>
  <c r="L145" i="43"/>
  <c r="L153" i="43"/>
  <c r="K105" i="43"/>
  <c r="K117" i="43"/>
  <c r="K133" i="43"/>
  <c r="K140" i="43"/>
  <c r="K145" i="43"/>
  <c r="K153" i="43"/>
  <c r="J105" i="43"/>
  <c r="J117" i="43"/>
  <c r="J133" i="43"/>
  <c r="J140" i="43"/>
  <c r="J145" i="43"/>
  <c r="J153" i="43"/>
  <c r="I105" i="43"/>
  <c r="I117" i="43"/>
  <c r="I133" i="43"/>
  <c r="I140" i="43"/>
  <c r="I145" i="43"/>
  <c r="I153" i="43"/>
  <c r="H105" i="43"/>
  <c r="H117" i="43"/>
  <c r="H133" i="43"/>
  <c r="H140" i="43"/>
  <c r="H145" i="43"/>
  <c r="H153" i="43"/>
  <c r="S141" i="43"/>
  <c r="S151" i="43"/>
  <c r="R141" i="43"/>
  <c r="R151" i="43"/>
  <c r="Q141" i="43"/>
  <c r="Q151" i="43"/>
  <c r="P141" i="43"/>
  <c r="P151" i="43"/>
  <c r="O141" i="43"/>
  <c r="O151" i="43"/>
  <c r="N141" i="43"/>
  <c r="N151" i="43"/>
  <c r="M141" i="43"/>
  <c r="M151" i="43"/>
  <c r="L141" i="43"/>
  <c r="L151" i="43"/>
  <c r="K141" i="43"/>
  <c r="K151" i="43"/>
  <c r="J141" i="43"/>
  <c r="J151" i="43"/>
  <c r="I141" i="43"/>
  <c r="I151" i="43"/>
  <c r="H141" i="43"/>
  <c r="H151" i="43"/>
  <c r="S150" i="43"/>
  <c r="R150" i="43"/>
  <c r="Q150" i="43"/>
  <c r="P150" i="43"/>
  <c r="O150" i="43"/>
  <c r="N150" i="43"/>
  <c r="M150" i="43"/>
  <c r="L150" i="43"/>
  <c r="K150" i="43"/>
  <c r="J150" i="43"/>
  <c r="I150" i="43"/>
  <c r="H150" i="43"/>
  <c r="S149" i="43"/>
  <c r="R149" i="43"/>
  <c r="Q149" i="43"/>
  <c r="P149" i="43"/>
  <c r="O149" i="43"/>
  <c r="N149" i="43"/>
  <c r="M149" i="43"/>
  <c r="L149" i="43"/>
  <c r="K149" i="43"/>
  <c r="J149" i="43"/>
  <c r="I149" i="43"/>
  <c r="H149" i="43"/>
  <c r="S148" i="43"/>
  <c r="R148" i="43"/>
  <c r="Q148" i="43"/>
  <c r="P148" i="43"/>
  <c r="O148" i="43"/>
  <c r="N148" i="43"/>
  <c r="M148" i="43"/>
  <c r="L148" i="43"/>
  <c r="K148" i="43"/>
  <c r="J148" i="43"/>
  <c r="I148" i="43"/>
  <c r="H148" i="43"/>
  <c r="S147" i="43"/>
  <c r="R147" i="43"/>
  <c r="Q147" i="43"/>
  <c r="P147" i="43"/>
  <c r="O147" i="43"/>
  <c r="N147" i="43"/>
  <c r="M147" i="43"/>
  <c r="L147" i="43"/>
  <c r="K147" i="43"/>
  <c r="J147" i="43"/>
  <c r="I147" i="43"/>
  <c r="H147" i="43"/>
  <c r="S146" i="43"/>
  <c r="R146" i="43"/>
  <c r="Q146" i="43"/>
  <c r="P146" i="43"/>
  <c r="O146" i="43"/>
  <c r="N146" i="43"/>
  <c r="M146" i="43"/>
  <c r="L146" i="43"/>
  <c r="K146" i="43"/>
  <c r="J146" i="43"/>
  <c r="I146" i="43"/>
  <c r="H146" i="43"/>
  <c r="S143" i="43"/>
  <c r="R143" i="43"/>
  <c r="Q143" i="43"/>
  <c r="P143" i="43"/>
  <c r="O143" i="43"/>
  <c r="N143" i="43"/>
  <c r="M143" i="43"/>
  <c r="L143" i="43"/>
  <c r="K143" i="43"/>
  <c r="J143" i="43"/>
  <c r="I143" i="43"/>
  <c r="H143" i="43"/>
  <c r="S142" i="43"/>
  <c r="R142" i="43"/>
  <c r="Q142" i="43"/>
  <c r="P142" i="43"/>
  <c r="O142" i="43"/>
  <c r="N142" i="43"/>
  <c r="M142" i="43"/>
  <c r="L142" i="43"/>
  <c r="K142" i="43"/>
  <c r="J142" i="43"/>
  <c r="I142" i="43"/>
  <c r="H142" i="43"/>
  <c r="S138" i="43"/>
  <c r="R138" i="43"/>
  <c r="Q138" i="43"/>
  <c r="P138" i="43"/>
  <c r="O138" i="43"/>
  <c r="N138" i="43"/>
  <c r="M138" i="43"/>
  <c r="L138" i="43"/>
  <c r="K138" i="43"/>
  <c r="J138" i="43"/>
  <c r="I138" i="43"/>
  <c r="H138" i="43"/>
  <c r="E138" i="43"/>
  <c r="S137" i="43"/>
  <c r="R137" i="43"/>
  <c r="Q137" i="43"/>
  <c r="P137" i="43"/>
  <c r="O137" i="43"/>
  <c r="N137" i="43"/>
  <c r="M137" i="43"/>
  <c r="L137" i="43"/>
  <c r="K137" i="43"/>
  <c r="J137" i="43"/>
  <c r="I137" i="43"/>
  <c r="H137" i="43"/>
  <c r="S136" i="43"/>
  <c r="R136" i="43"/>
  <c r="Q136" i="43"/>
  <c r="P136" i="43"/>
  <c r="O136" i="43"/>
  <c r="N136" i="43"/>
  <c r="M136" i="43"/>
  <c r="L136" i="43"/>
  <c r="K136" i="43"/>
  <c r="J136" i="43"/>
  <c r="I136" i="43"/>
  <c r="H136" i="43"/>
  <c r="S135" i="43"/>
  <c r="R135" i="43"/>
  <c r="Q135" i="43"/>
  <c r="P135" i="43"/>
  <c r="O135" i="43"/>
  <c r="N58" i="43"/>
  <c r="N135" i="43"/>
  <c r="M135" i="43"/>
  <c r="L135" i="43"/>
  <c r="K135" i="43"/>
  <c r="J135" i="43"/>
  <c r="I135" i="43"/>
  <c r="H135" i="43"/>
  <c r="S134" i="43"/>
  <c r="R134" i="43"/>
  <c r="Q134" i="43"/>
  <c r="P134" i="43"/>
  <c r="O134" i="43"/>
  <c r="N134" i="43"/>
  <c r="M134" i="43"/>
  <c r="L134" i="43"/>
  <c r="K134" i="43"/>
  <c r="J134" i="43"/>
  <c r="I134" i="43"/>
  <c r="H134" i="43"/>
  <c r="S131" i="43"/>
  <c r="R131" i="43"/>
  <c r="Q131" i="43"/>
  <c r="P131" i="43"/>
  <c r="O131" i="43"/>
  <c r="N131" i="43"/>
  <c r="M131" i="43"/>
  <c r="L131" i="43"/>
  <c r="K131" i="43"/>
  <c r="J131" i="43"/>
  <c r="I131" i="43"/>
  <c r="H131" i="43"/>
  <c r="S130" i="43"/>
  <c r="R130" i="43"/>
  <c r="Q130" i="43"/>
  <c r="P130" i="43"/>
  <c r="O130" i="43"/>
  <c r="N130" i="43"/>
  <c r="M130" i="43"/>
  <c r="L130" i="43"/>
  <c r="K130" i="43"/>
  <c r="J130" i="43"/>
  <c r="I130" i="43"/>
  <c r="H130" i="43"/>
  <c r="S129" i="43"/>
  <c r="R129" i="43"/>
  <c r="Q129" i="43"/>
  <c r="P129" i="43"/>
  <c r="O129" i="43"/>
  <c r="N129" i="43"/>
  <c r="M129" i="43"/>
  <c r="L129" i="43"/>
  <c r="K129" i="43"/>
  <c r="J129" i="43"/>
  <c r="I129" i="43"/>
  <c r="H129" i="43"/>
  <c r="S127" i="43"/>
  <c r="R127" i="43"/>
  <c r="Q127" i="43"/>
  <c r="P127" i="43"/>
  <c r="O127" i="43"/>
  <c r="N127" i="43"/>
  <c r="M127" i="43"/>
  <c r="L127" i="43"/>
  <c r="K127" i="43"/>
  <c r="J127" i="43"/>
  <c r="I127" i="43"/>
  <c r="H127" i="43"/>
  <c r="S126" i="43"/>
  <c r="R126" i="43"/>
  <c r="Q126" i="43"/>
  <c r="P126" i="43"/>
  <c r="O126" i="43"/>
  <c r="N126" i="43"/>
  <c r="M126" i="43"/>
  <c r="L126" i="43"/>
  <c r="K126" i="43"/>
  <c r="J126" i="43"/>
  <c r="I126" i="43"/>
  <c r="H126" i="43"/>
  <c r="S125" i="43"/>
  <c r="R125" i="43"/>
  <c r="Q125" i="43"/>
  <c r="P125" i="43"/>
  <c r="O125" i="43"/>
  <c r="N125" i="43"/>
  <c r="M125" i="43"/>
  <c r="L125" i="43"/>
  <c r="K125" i="43"/>
  <c r="J125" i="43"/>
  <c r="I125" i="43"/>
  <c r="H125" i="43"/>
  <c r="S110" i="43"/>
  <c r="S123" i="43"/>
  <c r="S124" i="43"/>
  <c r="R110" i="43"/>
  <c r="R123" i="43"/>
  <c r="R124" i="43"/>
  <c r="Q110" i="43"/>
  <c r="Q123" i="43"/>
  <c r="Q124" i="43"/>
  <c r="P110" i="43"/>
  <c r="P123" i="43"/>
  <c r="P124" i="43"/>
  <c r="O110" i="43"/>
  <c r="O123" i="43"/>
  <c r="O124" i="43"/>
  <c r="N110" i="43"/>
  <c r="N123" i="43"/>
  <c r="N124" i="43"/>
  <c r="M110" i="43"/>
  <c r="M123" i="43"/>
  <c r="M124" i="43"/>
  <c r="L110" i="43"/>
  <c r="L123" i="43"/>
  <c r="L124" i="43"/>
  <c r="K110" i="43"/>
  <c r="K123" i="43"/>
  <c r="K124" i="43"/>
  <c r="J110" i="43"/>
  <c r="J123" i="43"/>
  <c r="J124" i="43"/>
  <c r="I110" i="43"/>
  <c r="I78" i="43"/>
  <c r="I79" i="43"/>
  <c r="I80" i="43"/>
  <c r="I123" i="43"/>
  <c r="I124" i="43"/>
  <c r="H110" i="43"/>
  <c r="H123" i="43"/>
  <c r="H124" i="43"/>
  <c r="S119" i="43"/>
  <c r="S118" i="43"/>
  <c r="S120" i="43"/>
  <c r="S122" i="43"/>
  <c r="R119" i="43"/>
  <c r="R118" i="43"/>
  <c r="R120" i="43"/>
  <c r="R122" i="43"/>
  <c r="Q119" i="43"/>
  <c r="Q118" i="43"/>
  <c r="Q120" i="43"/>
  <c r="Q122" i="43"/>
  <c r="P119" i="43"/>
  <c r="P118" i="43"/>
  <c r="P120" i="43"/>
  <c r="P122" i="43"/>
  <c r="O119" i="43"/>
  <c r="O118" i="43"/>
  <c r="O120" i="43"/>
  <c r="O122" i="43"/>
  <c r="N119" i="43"/>
  <c r="N118" i="43"/>
  <c r="N120" i="43"/>
  <c r="N122" i="43"/>
  <c r="M119" i="43"/>
  <c r="M118" i="43"/>
  <c r="M120" i="43"/>
  <c r="M122" i="43"/>
  <c r="L119" i="43"/>
  <c r="L118" i="43"/>
  <c r="L120" i="43"/>
  <c r="L122" i="43"/>
  <c r="K119" i="43"/>
  <c r="K118" i="43"/>
  <c r="K120" i="43"/>
  <c r="K122" i="43"/>
  <c r="J119" i="43"/>
  <c r="J118" i="43"/>
  <c r="J120" i="43"/>
  <c r="J122" i="43"/>
  <c r="I119" i="43"/>
  <c r="I118" i="43"/>
  <c r="I120" i="43"/>
  <c r="I122" i="43"/>
  <c r="H119" i="43"/>
  <c r="H118" i="43"/>
  <c r="H120" i="43"/>
  <c r="H122" i="43"/>
  <c r="S121" i="43"/>
  <c r="R121" i="43"/>
  <c r="Q121" i="43"/>
  <c r="P121" i="43"/>
  <c r="O121" i="43"/>
  <c r="N121" i="43"/>
  <c r="M121" i="43"/>
  <c r="L121" i="43"/>
  <c r="K121" i="43"/>
  <c r="J121" i="43"/>
  <c r="I121" i="43"/>
  <c r="H121" i="43"/>
  <c r="S115" i="43"/>
  <c r="R115" i="43"/>
  <c r="Q115" i="43"/>
  <c r="P115" i="43"/>
  <c r="O115" i="43"/>
  <c r="N115" i="43"/>
  <c r="M115" i="43"/>
  <c r="L115" i="43"/>
  <c r="K115" i="43"/>
  <c r="J115" i="43"/>
  <c r="I115" i="43"/>
  <c r="H115" i="43"/>
  <c r="S114" i="43"/>
  <c r="R114" i="43"/>
  <c r="Q114" i="43"/>
  <c r="P114" i="43"/>
  <c r="O114" i="43"/>
  <c r="N114" i="43"/>
  <c r="M114" i="43"/>
  <c r="L114" i="43"/>
  <c r="K114" i="43"/>
  <c r="J114" i="43"/>
  <c r="I114" i="43"/>
  <c r="H114" i="43"/>
  <c r="S113" i="43"/>
  <c r="R113" i="43"/>
  <c r="Q113" i="43"/>
  <c r="P113" i="43"/>
  <c r="O113" i="43"/>
  <c r="N113" i="43"/>
  <c r="M113" i="43"/>
  <c r="L113" i="43"/>
  <c r="K113" i="43"/>
  <c r="J113" i="43"/>
  <c r="I113" i="43"/>
  <c r="H113" i="43"/>
  <c r="S112" i="43"/>
  <c r="R112" i="43"/>
  <c r="Q112" i="43"/>
  <c r="P112" i="43"/>
  <c r="O112" i="43"/>
  <c r="N112" i="43"/>
  <c r="M112" i="43"/>
  <c r="L112" i="43"/>
  <c r="K112" i="43"/>
  <c r="J112" i="43"/>
  <c r="I112" i="43"/>
  <c r="H112" i="43"/>
  <c r="S111" i="43"/>
  <c r="R111" i="43"/>
  <c r="Q111" i="43"/>
  <c r="P111" i="43"/>
  <c r="O111" i="43"/>
  <c r="N111" i="43"/>
  <c r="M111" i="43"/>
  <c r="L111" i="43"/>
  <c r="K111" i="43"/>
  <c r="J111" i="43"/>
  <c r="I111" i="43"/>
  <c r="H111" i="43"/>
  <c r="S109" i="43"/>
  <c r="R109" i="43"/>
  <c r="Q109" i="43"/>
  <c r="P109" i="43"/>
  <c r="O109" i="43"/>
  <c r="N109" i="43"/>
  <c r="M109" i="43"/>
  <c r="L109" i="43"/>
  <c r="K109" i="43"/>
  <c r="J109" i="43"/>
  <c r="I109" i="43"/>
  <c r="H109" i="43"/>
  <c r="S93" i="43"/>
  <c r="R93" i="43"/>
  <c r="S94" i="43"/>
  <c r="S95" i="43"/>
  <c r="R95" i="43"/>
  <c r="S96" i="43"/>
  <c r="S97" i="43"/>
  <c r="S106" i="43"/>
  <c r="S107" i="43"/>
  <c r="Q93" i="43"/>
  <c r="R94" i="43"/>
  <c r="Q95" i="43"/>
  <c r="R96" i="43"/>
  <c r="R97" i="43"/>
  <c r="R106" i="43"/>
  <c r="R107" i="43"/>
  <c r="P93" i="43"/>
  <c r="Q94" i="43"/>
  <c r="P95" i="43"/>
  <c r="Q96" i="43"/>
  <c r="Q97" i="43"/>
  <c r="Q106" i="43"/>
  <c r="Q107" i="43"/>
  <c r="O93" i="43"/>
  <c r="P94" i="43"/>
  <c r="O95" i="43"/>
  <c r="P96" i="43"/>
  <c r="P97" i="43"/>
  <c r="P106" i="43"/>
  <c r="P107" i="43"/>
  <c r="N93" i="43"/>
  <c r="O94" i="43"/>
  <c r="N95" i="43"/>
  <c r="O96" i="43"/>
  <c r="O97" i="43"/>
  <c r="O106" i="43"/>
  <c r="O107" i="43"/>
  <c r="M93" i="43"/>
  <c r="N94" i="43"/>
  <c r="M95" i="43"/>
  <c r="N96" i="43"/>
  <c r="N97" i="43"/>
  <c r="N106" i="43"/>
  <c r="N107" i="43"/>
  <c r="L93" i="43"/>
  <c r="M94" i="43"/>
  <c r="L95" i="43"/>
  <c r="M96" i="43"/>
  <c r="M97" i="43"/>
  <c r="M106" i="43"/>
  <c r="M107" i="43"/>
  <c r="K93" i="43"/>
  <c r="L94" i="43"/>
  <c r="K95" i="43"/>
  <c r="L96" i="43"/>
  <c r="L97" i="43"/>
  <c r="L106" i="43"/>
  <c r="L107" i="43"/>
  <c r="J93" i="43"/>
  <c r="K94" i="43"/>
  <c r="J95" i="43"/>
  <c r="K96" i="43"/>
  <c r="K97" i="43"/>
  <c r="K106" i="43"/>
  <c r="K107" i="43"/>
  <c r="I93" i="43"/>
  <c r="J94" i="43"/>
  <c r="I95" i="43"/>
  <c r="J96" i="43"/>
  <c r="J97" i="43"/>
  <c r="J106" i="43"/>
  <c r="J107" i="43"/>
  <c r="H93" i="43"/>
  <c r="I94" i="43"/>
  <c r="H95" i="43"/>
  <c r="I96" i="43"/>
  <c r="I97" i="43"/>
  <c r="I106" i="43"/>
  <c r="I107" i="43"/>
  <c r="S101" i="43"/>
  <c r="R101" i="43"/>
  <c r="S102" i="43"/>
  <c r="S99" i="43"/>
  <c r="R99" i="43"/>
  <c r="S100" i="43"/>
  <c r="S103" i="43"/>
  <c r="Q101" i="43"/>
  <c r="R102" i="43"/>
  <c r="Q99" i="43"/>
  <c r="R100" i="43"/>
  <c r="R103" i="43"/>
  <c r="P101" i="43"/>
  <c r="Q102" i="43"/>
  <c r="P99" i="43"/>
  <c r="Q100" i="43"/>
  <c r="Q103" i="43"/>
  <c r="O101" i="43"/>
  <c r="P102" i="43"/>
  <c r="O99" i="43"/>
  <c r="P100" i="43"/>
  <c r="P103" i="43"/>
  <c r="N101" i="43"/>
  <c r="O102" i="43"/>
  <c r="N99" i="43"/>
  <c r="O100" i="43"/>
  <c r="O103" i="43"/>
  <c r="M101" i="43"/>
  <c r="N102" i="43"/>
  <c r="M99" i="43"/>
  <c r="N100" i="43"/>
  <c r="N103" i="43"/>
  <c r="L101" i="43"/>
  <c r="M102" i="43"/>
  <c r="L99" i="43"/>
  <c r="M100" i="43"/>
  <c r="M103" i="43"/>
  <c r="K101" i="43"/>
  <c r="L102" i="43"/>
  <c r="K99" i="43"/>
  <c r="L100" i="43"/>
  <c r="L103" i="43"/>
  <c r="J101" i="43"/>
  <c r="K102" i="43"/>
  <c r="J99" i="43"/>
  <c r="K100" i="43"/>
  <c r="K103" i="43"/>
  <c r="I101" i="43"/>
  <c r="J102" i="43"/>
  <c r="I99" i="43"/>
  <c r="J100" i="43"/>
  <c r="J103" i="43"/>
  <c r="H101" i="43"/>
  <c r="I102" i="43"/>
  <c r="H99" i="43"/>
  <c r="I100" i="43"/>
  <c r="I103" i="43"/>
  <c r="S57" i="43"/>
  <c r="S73" i="43"/>
  <c r="S92" i="43"/>
  <c r="R57" i="43"/>
  <c r="R73" i="43"/>
  <c r="R92" i="43"/>
  <c r="Q57" i="43"/>
  <c r="Q73" i="43"/>
  <c r="Q92" i="43"/>
  <c r="P57" i="43"/>
  <c r="P73" i="43"/>
  <c r="P92" i="43"/>
  <c r="O57" i="43"/>
  <c r="O73" i="43"/>
  <c r="O92" i="43"/>
  <c r="N57" i="43"/>
  <c r="N73" i="43"/>
  <c r="N92" i="43"/>
  <c r="M57" i="43"/>
  <c r="M73" i="43"/>
  <c r="M92" i="43"/>
  <c r="L57" i="43"/>
  <c r="L73" i="43"/>
  <c r="L92" i="43"/>
  <c r="K57" i="43"/>
  <c r="K73" i="43"/>
  <c r="K92" i="43"/>
  <c r="J57" i="43"/>
  <c r="J73" i="43"/>
  <c r="J92" i="43"/>
  <c r="I57" i="43"/>
  <c r="I73" i="43"/>
  <c r="I92" i="43"/>
  <c r="H57" i="43"/>
  <c r="H73" i="43"/>
  <c r="H92" i="43"/>
  <c r="L90" i="43"/>
  <c r="L87" i="43"/>
  <c r="L91" i="43"/>
  <c r="S90" i="43"/>
  <c r="R90" i="43"/>
  <c r="Q90" i="43"/>
  <c r="P90" i="43"/>
  <c r="O90" i="43"/>
  <c r="N90" i="43"/>
  <c r="M90" i="43"/>
  <c r="K90" i="43"/>
  <c r="J90" i="43"/>
  <c r="I90" i="43"/>
  <c r="S89" i="43"/>
  <c r="R89" i="43"/>
  <c r="Q89" i="43"/>
  <c r="P89" i="43"/>
  <c r="O89" i="43"/>
  <c r="N89" i="43"/>
  <c r="M89" i="43"/>
  <c r="L89" i="43"/>
  <c r="K89" i="43"/>
  <c r="J89" i="43"/>
  <c r="I89" i="43"/>
  <c r="S88" i="43"/>
  <c r="R88" i="43"/>
  <c r="Q88" i="43"/>
  <c r="P88" i="43"/>
  <c r="O88" i="43"/>
  <c r="N88" i="43"/>
  <c r="M88" i="43"/>
  <c r="L88" i="43"/>
  <c r="K88" i="43"/>
  <c r="J88" i="43"/>
  <c r="I88" i="43"/>
  <c r="S87" i="43"/>
  <c r="R87" i="43"/>
  <c r="Q87" i="43"/>
  <c r="P87" i="43"/>
  <c r="O87" i="43"/>
  <c r="N87" i="43"/>
  <c r="M87" i="43"/>
  <c r="K87" i="43"/>
  <c r="J87" i="43"/>
  <c r="I87" i="43"/>
  <c r="S86" i="43"/>
  <c r="R86" i="43"/>
  <c r="Q86" i="43"/>
  <c r="P86" i="43"/>
  <c r="O86" i="43"/>
  <c r="N86" i="43"/>
  <c r="M86" i="43"/>
  <c r="L86" i="43"/>
  <c r="K86" i="43"/>
  <c r="J86" i="43"/>
  <c r="I86" i="43"/>
  <c r="H86" i="43"/>
  <c r="S71" i="43"/>
  <c r="R71" i="43"/>
  <c r="Q71" i="43"/>
  <c r="P71" i="43"/>
  <c r="O71" i="43"/>
  <c r="N71" i="43"/>
  <c r="M71" i="43"/>
  <c r="L71" i="43"/>
  <c r="K71" i="43"/>
  <c r="J71" i="43"/>
  <c r="I71" i="43"/>
  <c r="H71" i="43"/>
  <c r="S52" i="43"/>
  <c r="R52" i="43"/>
  <c r="Q52" i="43"/>
  <c r="P52" i="43"/>
  <c r="O52" i="43"/>
  <c r="N52" i="43"/>
  <c r="M52" i="43"/>
  <c r="L52" i="43"/>
  <c r="K52" i="43"/>
  <c r="J52" i="43"/>
  <c r="I52" i="43"/>
  <c r="H52" i="43"/>
  <c r="S18" i="43"/>
  <c r="S31" i="43"/>
  <c r="R18" i="43"/>
  <c r="R31" i="43"/>
  <c r="Q18" i="43"/>
  <c r="Q31" i="43"/>
  <c r="P18" i="43"/>
  <c r="P31" i="43"/>
  <c r="O18" i="43"/>
  <c r="O31" i="43"/>
  <c r="N18" i="43"/>
  <c r="N31" i="43"/>
  <c r="M18" i="43"/>
  <c r="M31" i="43"/>
  <c r="L18" i="43"/>
  <c r="L31" i="43"/>
  <c r="K18" i="43"/>
  <c r="K31" i="43"/>
  <c r="J18" i="43"/>
  <c r="J31" i="43"/>
  <c r="I18" i="43"/>
  <c r="I31" i="43"/>
  <c r="H18" i="43"/>
  <c r="H31" i="43"/>
  <c r="S141" i="42"/>
  <c r="R141" i="42"/>
  <c r="Q141" i="42"/>
  <c r="P141" i="42"/>
  <c r="O141" i="42"/>
  <c r="N141" i="42"/>
  <c r="M141" i="42"/>
  <c r="O140" i="42"/>
  <c r="N140" i="42"/>
  <c r="M140" i="42"/>
  <c r="L140" i="42"/>
  <c r="K140" i="42"/>
  <c r="J140" i="42"/>
  <c r="I140" i="42"/>
  <c r="H140" i="42"/>
  <c r="Q138" i="42"/>
  <c r="N138" i="42"/>
  <c r="I137" i="42"/>
  <c r="Q133" i="42"/>
  <c r="O133" i="42"/>
  <c r="N133" i="42"/>
  <c r="M133" i="42"/>
  <c r="Q132" i="42"/>
  <c r="I132" i="42"/>
  <c r="S130" i="42"/>
  <c r="R130" i="42"/>
  <c r="Q130" i="42"/>
  <c r="P130" i="42"/>
  <c r="O130" i="42"/>
  <c r="N130" i="42"/>
  <c r="M130" i="42"/>
  <c r="L130" i="42"/>
  <c r="K130" i="42"/>
  <c r="J130" i="42"/>
  <c r="I130" i="42"/>
  <c r="H130" i="42"/>
  <c r="S129" i="42"/>
  <c r="R129" i="42"/>
  <c r="Q129" i="42"/>
  <c r="P129" i="42"/>
  <c r="O129" i="42"/>
  <c r="N129" i="42"/>
  <c r="M129" i="42"/>
  <c r="L129" i="42"/>
  <c r="K129" i="42"/>
  <c r="J129" i="42"/>
  <c r="I129" i="42"/>
  <c r="H129" i="42"/>
  <c r="Q128" i="42"/>
  <c r="O116" i="42"/>
  <c r="E114" i="42"/>
  <c r="S111" i="42"/>
  <c r="R111" i="42"/>
  <c r="Q111" i="42"/>
  <c r="P111" i="42"/>
  <c r="O111" i="42"/>
  <c r="N111" i="42"/>
  <c r="M111" i="42"/>
  <c r="J111" i="42"/>
  <c r="I111" i="42"/>
  <c r="H111" i="42"/>
  <c r="L104" i="42"/>
  <c r="H103" i="42"/>
  <c r="S101" i="42"/>
  <c r="R101" i="42"/>
  <c r="Q101" i="42"/>
  <c r="P101" i="42"/>
  <c r="O101" i="42"/>
  <c r="N101" i="42"/>
  <c r="M101" i="42"/>
  <c r="J101" i="42"/>
  <c r="I101" i="42"/>
  <c r="H101" i="42"/>
  <c r="L97" i="42"/>
  <c r="L98" i="42"/>
  <c r="S96" i="42"/>
  <c r="R96" i="42"/>
  <c r="Q96" i="42"/>
  <c r="P96" i="42"/>
  <c r="O96" i="42"/>
  <c r="N96" i="42"/>
  <c r="M96" i="42"/>
  <c r="L96" i="42"/>
  <c r="K96" i="42"/>
  <c r="J96" i="42"/>
  <c r="I96" i="42"/>
  <c r="H96" i="42"/>
  <c r="Q95" i="42"/>
  <c r="N94" i="42"/>
  <c r="M94" i="42"/>
  <c r="L94" i="42"/>
  <c r="K94" i="42"/>
  <c r="J94" i="42"/>
  <c r="I94" i="42"/>
  <c r="H94" i="42"/>
  <c r="M91" i="42"/>
  <c r="M89" i="42"/>
  <c r="M102" i="42"/>
  <c r="Q87" i="42"/>
  <c r="P87" i="42"/>
  <c r="P95" i="42"/>
  <c r="H87" i="42"/>
  <c r="H95" i="42"/>
  <c r="H109" i="42"/>
  <c r="H115" i="42"/>
  <c r="H119" i="42"/>
  <c r="H127" i="42"/>
  <c r="S85" i="42"/>
  <c r="R85" i="42"/>
  <c r="Q85" i="42"/>
  <c r="P85" i="42"/>
  <c r="O85" i="42"/>
  <c r="N85" i="42"/>
  <c r="M85" i="42"/>
  <c r="K85" i="42"/>
  <c r="J85" i="42"/>
  <c r="I85" i="42"/>
  <c r="H85" i="42"/>
  <c r="L79" i="42"/>
  <c r="L101" i="42"/>
  <c r="K79" i="42"/>
  <c r="K101" i="42"/>
  <c r="H76" i="42"/>
  <c r="Q73" i="42"/>
  <c r="P73" i="42"/>
  <c r="S71" i="42"/>
  <c r="R71" i="42"/>
  <c r="Q71" i="42"/>
  <c r="P71" i="42"/>
  <c r="O71" i="42"/>
  <c r="N71" i="42"/>
  <c r="M71" i="42"/>
  <c r="L71" i="42"/>
  <c r="K71" i="42"/>
  <c r="J71" i="42"/>
  <c r="I71" i="42"/>
  <c r="H71" i="42"/>
  <c r="Q57" i="42"/>
  <c r="P57" i="42"/>
  <c r="H57" i="42"/>
  <c r="H73" i="42"/>
  <c r="S46" i="42"/>
  <c r="S134" i="42"/>
  <c r="S41" i="42"/>
  <c r="S132" i="42"/>
  <c r="R41" i="42"/>
  <c r="R132" i="42"/>
  <c r="Q41" i="42"/>
  <c r="P41" i="42"/>
  <c r="P132" i="42"/>
  <c r="O41" i="42"/>
  <c r="N41" i="42"/>
  <c r="M41" i="42"/>
  <c r="M132" i="42"/>
  <c r="L41" i="42"/>
  <c r="L132" i="42"/>
  <c r="K41" i="42"/>
  <c r="K132" i="42"/>
  <c r="J41" i="42"/>
  <c r="J132" i="42"/>
  <c r="I41" i="42"/>
  <c r="H41" i="42"/>
  <c r="H132" i="42"/>
  <c r="S38" i="42"/>
  <c r="R38" i="42"/>
  <c r="Q38" i="42"/>
  <c r="Q118" i="42"/>
  <c r="P38" i="42"/>
  <c r="M38" i="42"/>
  <c r="M131" i="42"/>
  <c r="L38" i="42"/>
  <c r="K38" i="42"/>
  <c r="J38" i="42"/>
  <c r="I38" i="42"/>
  <c r="H38" i="42"/>
  <c r="S33" i="42"/>
  <c r="R33" i="42"/>
  <c r="Q33" i="42"/>
  <c r="Q91" i="42"/>
  <c r="P33" i="42"/>
  <c r="O33" i="42"/>
  <c r="N33" i="42"/>
  <c r="M33" i="42"/>
  <c r="M112" i="42"/>
  <c r="L33" i="42"/>
  <c r="K33" i="42"/>
  <c r="J33" i="42"/>
  <c r="J46" i="42"/>
  <c r="I33" i="42"/>
  <c r="I113" i="42"/>
  <c r="H33" i="42"/>
  <c r="R32" i="42"/>
  <c r="R87" i="42"/>
  <c r="R95" i="42"/>
  <c r="I32" i="42"/>
  <c r="I87" i="42"/>
  <c r="I95" i="42"/>
  <c r="H31" i="42"/>
  <c r="P29" i="42"/>
  <c r="P94" i="42"/>
  <c r="O29" i="42"/>
  <c r="O94" i="42"/>
  <c r="O27" i="42"/>
  <c r="N27" i="42"/>
  <c r="M27" i="42"/>
  <c r="L27" i="42"/>
  <c r="L108" i="42"/>
  <c r="K27" i="42"/>
  <c r="J27" i="42"/>
  <c r="I27" i="42"/>
  <c r="H27" i="42"/>
  <c r="H108" i="42"/>
  <c r="L24" i="42"/>
  <c r="L141" i="42"/>
  <c r="K24" i="42"/>
  <c r="K141" i="42"/>
  <c r="J24" i="42"/>
  <c r="J141" i="42"/>
  <c r="I24" i="42"/>
  <c r="I141" i="42"/>
  <c r="H24" i="42"/>
  <c r="H141" i="42"/>
  <c r="L21" i="42"/>
  <c r="K21" i="42"/>
  <c r="J21" i="42"/>
  <c r="I21" i="42"/>
  <c r="H21" i="42"/>
  <c r="S20" i="42"/>
  <c r="S140" i="42"/>
  <c r="R20" i="42"/>
  <c r="R140" i="42"/>
  <c r="Q20" i="42"/>
  <c r="Q140" i="42"/>
  <c r="P20" i="42"/>
  <c r="P140" i="42"/>
  <c r="S19" i="42"/>
  <c r="R19" i="42"/>
  <c r="R139" i="42"/>
  <c r="Q19" i="42"/>
  <c r="P19" i="42"/>
  <c r="P139" i="42"/>
  <c r="O19" i="42"/>
  <c r="N19" i="42"/>
  <c r="N139" i="42"/>
  <c r="M19" i="42"/>
  <c r="L19" i="42"/>
  <c r="L139" i="42"/>
  <c r="K19" i="42"/>
  <c r="I19" i="42"/>
  <c r="H19" i="42"/>
  <c r="H97" i="42"/>
  <c r="H98" i="42"/>
  <c r="O18" i="42"/>
  <c r="L18" i="42"/>
  <c r="K18" i="42"/>
  <c r="H18" i="42"/>
  <c r="L15" i="42"/>
  <c r="L111" i="42"/>
  <c r="K15" i="42"/>
  <c r="K111" i="42"/>
  <c r="S10" i="42"/>
  <c r="R10" i="42"/>
  <c r="P10" i="42"/>
  <c r="P138" i="42"/>
  <c r="O10" i="42"/>
  <c r="M10" i="42"/>
  <c r="K10" i="42"/>
  <c r="J10" i="42"/>
  <c r="I10" i="42"/>
  <c r="H10" i="42"/>
  <c r="H138" i="42"/>
  <c r="S5" i="42"/>
  <c r="R5" i="42"/>
  <c r="Q5" i="42"/>
  <c r="Q137" i="42"/>
  <c r="P5" i="42"/>
  <c r="P137" i="42"/>
  <c r="O5" i="42"/>
  <c r="N5" i="42"/>
  <c r="M5" i="42"/>
  <c r="L5" i="42"/>
  <c r="L137" i="42"/>
  <c r="K5" i="42"/>
  <c r="J5" i="42"/>
  <c r="I5" i="42"/>
  <c r="H5" i="42"/>
  <c r="H137" i="42"/>
  <c r="S4" i="42"/>
  <c r="R4" i="42"/>
  <c r="Q4" i="42"/>
  <c r="O4" i="42"/>
  <c r="O136" i="42"/>
  <c r="N4" i="42"/>
  <c r="M4" i="42"/>
  <c r="M107" i="42"/>
  <c r="K4" i="42"/>
  <c r="K136" i="42"/>
  <c r="J4" i="42"/>
  <c r="I4" i="42"/>
  <c r="H4" i="42"/>
  <c r="H99" i="42"/>
  <c r="I106" i="42"/>
  <c r="I109" i="42"/>
  <c r="I115" i="42"/>
  <c r="I119" i="42"/>
  <c r="I127" i="42"/>
  <c r="J134" i="42"/>
  <c r="J93" i="42"/>
  <c r="J92" i="42"/>
  <c r="J48" i="42"/>
  <c r="J51" i="42"/>
  <c r="J88" i="42"/>
  <c r="R109" i="42"/>
  <c r="R115" i="42"/>
  <c r="R119" i="42"/>
  <c r="R127" i="42"/>
  <c r="R106" i="42"/>
  <c r="L99" i="42"/>
  <c r="N136" i="42"/>
  <c r="N110" i="42"/>
  <c r="N107" i="42"/>
  <c r="J137" i="42"/>
  <c r="J104" i="42"/>
  <c r="J103" i="42"/>
  <c r="S136" i="42"/>
  <c r="S107" i="42"/>
  <c r="O137" i="42"/>
  <c r="O104" i="42"/>
  <c r="O103" i="42"/>
  <c r="K138" i="42"/>
  <c r="K110" i="42"/>
  <c r="O139" i="42"/>
  <c r="O97" i="42"/>
  <c r="O98" i="42"/>
  <c r="I114" i="42"/>
  <c r="I142" i="42"/>
  <c r="I108" i="42"/>
  <c r="N128" i="42"/>
  <c r="N113" i="42"/>
  <c r="N112" i="42"/>
  <c r="N116" i="42"/>
  <c r="N117" i="42"/>
  <c r="N91" i="42"/>
  <c r="J133" i="42"/>
  <c r="J131" i="42"/>
  <c r="J105" i="42"/>
  <c r="J118" i="42"/>
  <c r="P118" i="42"/>
  <c r="P133" i="42"/>
  <c r="P131" i="42"/>
  <c r="H46" i="42"/>
  <c r="N46" i="42"/>
  <c r="S88" i="42"/>
  <c r="P105" i="42"/>
  <c r="K107" i="42"/>
  <c r="O125" i="42"/>
  <c r="O124" i="42"/>
  <c r="O123" i="42"/>
  <c r="O122" i="42"/>
  <c r="O121" i="42"/>
  <c r="O120" i="42"/>
  <c r="H136" i="42"/>
  <c r="H107" i="42"/>
  <c r="P4" i="42"/>
  <c r="L10" i="42"/>
  <c r="R138" i="42"/>
  <c r="R110" i="42"/>
  <c r="J114" i="42"/>
  <c r="J142" i="42"/>
  <c r="J108" i="42"/>
  <c r="N114" i="42"/>
  <c r="N142" i="42"/>
  <c r="N108" i="42"/>
  <c r="Q29" i="42"/>
  <c r="J32" i="42"/>
  <c r="K128" i="42"/>
  <c r="K113" i="42"/>
  <c r="K112" i="42"/>
  <c r="K116" i="42"/>
  <c r="O128" i="42"/>
  <c r="O113" i="42"/>
  <c r="O112" i="42"/>
  <c r="O117" i="42"/>
  <c r="S128" i="42"/>
  <c r="S113" i="42"/>
  <c r="S112" i="42"/>
  <c r="S116" i="42"/>
  <c r="K133" i="42"/>
  <c r="K131" i="42"/>
  <c r="K105" i="42"/>
  <c r="K118" i="42"/>
  <c r="O46" i="42"/>
  <c r="S48" i="42"/>
  <c r="S51" i="42"/>
  <c r="L85" i="42"/>
  <c r="P109" i="42"/>
  <c r="P115" i="42"/>
  <c r="P119" i="42"/>
  <c r="P127" i="42"/>
  <c r="P106" i="42"/>
  <c r="I89" i="42"/>
  <c r="N89" i="42"/>
  <c r="S89" i="42"/>
  <c r="M90" i="42"/>
  <c r="O91" i="42"/>
  <c r="S92" i="42"/>
  <c r="Q109" i="42"/>
  <c r="Q115" i="42"/>
  <c r="Q119" i="42"/>
  <c r="Q127" i="42"/>
  <c r="Q106" i="42"/>
  <c r="N97" i="42"/>
  <c r="N98" i="42"/>
  <c r="L103" i="42"/>
  <c r="P104" i="42"/>
  <c r="H106" i="42"/>
  <c r="O107" i="42"/>
  <c r="H110" i="42"/>
  <c r="K117" i="42"/>
  <c r="H139" i="42"/>
  <c r="J136" i="42"/>
  <c r="J107" i="42"/>
  <c r="R136" i="42"/>
  <c r="R107" i="42"/>
  <c r="K137" i="42"/>
  <c r="K104" i="42"/>
  <c r="K103" i="42"/>
  <c r="S137" i="42"/>
  <c r="S104" i="42"/>
  <c r="S103" i="42"/>
  <c r="K139" i="42"/>
  <c r="K97" i="42"/>
  <c r="K98" i="42"/>
  <c r="S139" i="42"/>
  <c r="S97" i="42"/>
  <c r="S98" i="42"/>
  <c r="M114" i="42"/>
  <c r="M142" i="42"/>
  <c r="J128" i="42"/>
  <c r="J113" i="42"/>
  <c r="J112" i="42"/>
  <c r="J117" i="42"/>
  <c r="J116" i="42"/>
  <c r="J91" i="42"/>
  <c r="R128" i="42"/>
  <c r="R113" i="42"/>
  <c r="R112" i="42"/>
  <c r="R117" i="42"/>
  <c r="R116" i="42"/>
  <c r="R91" i="42"/>
  <c r="I57" i="42"/>
  <c r="I73" i="42"/>
  <c r="R89" i="42"/>
  <c r="I136" i="42"/>
  <c r="I107" i="42"/>
  <c r="Q136" i="42"/>
  <c r="Q107" i="42"/>
  <c r="Q110" i="42"/>
  <c r="I104" i="42"/>
  <c r="I103" i="42"/>
  <c r="M137" i="42"/>
  <c r="M104" i="42"/>
  <c r="M103" i="42"/>
  <c r="Q104" i="42"/>
  <c r="Q103" i="42"/>
  <c r="I138" i="42"/>
  <c r="I110" i="42"/>
  <c r="M110" i="42"/>
  <c r="S138" i="42"/>
  <c r="S110" i="42"/>
  <c r="I18" i="42"/>
  <c r="I31" i="42"/>
  <c r="M18" i="42"/>
  <c r="M31" i="42"/>
  <c r="I139" i="42"/>
  <c r="I97" i="42"/>
  <c r="I98" i="42"/>
  <c r="M139" i="42"/>
  <c r="M97" i="42"/>
  <c r="M98" i="42"/>
  <c r="Q139" i="42"/>
  <c r="Q97" i="42"/>
  <c r="Q98" i="42"/>
  <c r="K142" i="42"/>
  <c r="K108" i="42"/>
  <c r="K114" i="42"/>
  <c r="O142" i="42"/>
  <c r="O108" i="42"/>
  <c r="O114" i="42"/>
  <c r="H117" i="42"/>
  <c r="H116" i="42"/>
  <c r="H128" i="42"/>
  <c r="H113" i="42"/>
  <c r="H91" i="42"/>
  <c r="H89" i="42"/>
  <c r="H112" i="42"/>
  <c r="L117" i="42"/>
  <c r="L116" i="42"/>
  <c r="L91" i="42"/>
  <c r="L89" i="42"/>
  <c r="L128" i="42"/>
  <c r="L113" i="42"/>
  <c r="P117" i="42"/>
  <c r="P116" i="42"/>
  <c r="P128" i="42"/>
  <c r="P113" i="42"/>
  <c r="P91" i="42"/>
  <c r="P89" i="42"/>
  <c r="H118" i="42"/>
  <c r="H133" i="42"/>
  <c r="H131" i="42"/>
  <c r="L118" i="42"/>
  <c r="L133" i="42"/>
  <c r="L131" i="42"/>
  <c r="R133" i="42"/>
  <c r="R131" i="42"/>
  <c r="R105" i="42"/>
  <c r="R118" i="42"/>
  <c r="N132" i="42"/>
  <c r="N131" i="42"/>
  <c r="N118" i="42"/>
  <c r="N105" i="42"/>
  <c r="K46" i="42"/>
  <c r="P46" i="42"/>
  <c r="R57" i="42"/>
  <c r="R73" i="42"/>
  <c r="J89" i="42"/>
  <c r="O89" i="42"/>
  <c r="I91" i="42"/>
  <c r="P97" i="42"/>
  <c r="P98" i="42"/>
  <c r="P103" i="42"/>
  <c r="H105" i="42"/>
  <c r="S117" i="42"/>
  <c r="M138" i="42"/>
  <c r="N137" i="42"/>
  <c r="N104" i="42"/>
  <c r="N103" i="42"/>
  <c r="R137" i="42"/>
  <c r="R104" i="42"/>
  <c r="R103" i="42"/>
  <c r="J138" i="42"/>
  <c r="J110" i="42"/>
  <c r="O138" i="42"/>
  <c r="O110" i="42"/>
  <c r="N18" i="42"/>
  <c r="N31" i="42"/>
  <c r="J19" i="42"/>
  <c r="H142" i="42"/>
  <c r="H114" i="42"/>
  <c r="P27" i="42"/>
  <c r="K31" i="42"/>
  <c r="O31" i="42"/>
  <c r="I117" i="42"/>
  <c r="I116" i="42"/>
  <c r="I46" i="42"/>
  <c r="I112" i="42"/>
  <c r="M117" i="42"/>
  <c r="M116" i="42"/>
  <c r="M46" i="42"/>
  <c r="M128" i="42"/>
  <c r="M113" i="42"/>
  <c r="Q117" i="42"/>
  <c r="Q116" i="42"/>
  <c r="Q46" i="42"/>
  <c r="Q112" i="42"/>
  <c r="I118" i="42"/>
  <c r="I133" i="42"/>
  <c r="I131" i="42"/>
  <c r="I105" i="42"/>
  <c r="M118" i="42"/>
  <c r="M105" i="42"/>
  <c r="S133" i="42"/>
  <c r="S131" i="42"/>
  <c r="S105" i="42"/>
  <c r="S118" i="42"/>
  <c r="O132" i="42"/>
  <c r="O131" i="42"/>
  <c r="O105" i="42"/>
  <c r="L46" i="42"/>
  <c r="R46" i="42"/>
  <c r="K89" i="42"/>
  <c r="Q89" i="42"/>
  <c r="K91" i="42"/>
  <c r="S91" i="42"/>
  <c r="S93" i="42"/>
  <c r="R97" i="42"/>
  <c r="R98" i="42"/>
  <c r="H104" i="42"/>
  <c r="L105" i="42"/>
  <c r="M108" i="42"/>
  <c r="Q113" i="42"/>
  <c r="O118" i="42"/>
  <c r="I128" i="42"/>
  <c r="M136" i="42"/>
  <c r="L142" i="42"/>
  <c r="Q105" i="42"/>
  <c r="Q131" i="42"/>
  <c r="S167" i="41"/>
  <c r="R167" i="41"/>
  <c r="Q167" i="41"/>
  <c r="P167" i="41"/>
  <c r="O167" i="41"/>
  <c r="N167" i="41"/>
  <c r="J167" i="41"/>
  <c r="I167" i="41"/>
  <c r="H167" i="41"/>
  <c r="S166" i="41"/>
  <c r="R166" i="41"/>
  <c r="Q166" i="41"/>
  <c r="P166" i="41"/>
  <c r="O166" i="41"/>
  <c r="N166" i="41"/>
  <c r="M166" i="41"/>
  <c r="L166" i="41"/>
  <c r="K166" i="41"/>
  <c r="J166" i="41"/>
  <c r="I166" i="41"/>
  <c r="H166" i="41"/>
  <c r="I164" i="41"/>
  <c r="Q158" i="41"/>
  <c r="M157" i="41"/>
  <c r="N156" i="41"/>
  <c r="M156" i="41"/>
  <c r="L156" i="41"/>
  <c r="K156" i="41"/>
  <c r="I156" i="41"/>
  <c r="H156" i="41"/>
  <c r="S155" i="41"/>
  <c r="R155" i="41"/>
  <c r="Q155" i="41"/>
  <c r="P155" i="41"/>
  <c r="O155" i="41"/>
  <c r="N155" i="41"/>
  <c r="M155" i="41"/>
  <c r="L155" i="41"/>
  <c r="K155" i="41"/>
  <c r="J155" i="41"/>
  <c r="I155" i="41"/>
  <c r="H155" i="41"/>
  <c r="L142" i="41"/>
  <c r="H141" i="41"/>
  <c r="E138" i="41"/>
  <c r="M135" i="41"/>
  <c r="S131" i="41"/>
  <c r="P131" i="41"/>
  <c r="K131" i="41"/>
  <c r="H131" i="41"/>
  <c r="P126" i="41"/>
  <c r="S123" i="41"/>
  <c r="R123" i="41"/>
  <c r="Q123" i="41"/>
  <c r="P123" i="41"/>
  <c r="O123" i="41"/>
  <c r="N123" i="41"/>
  <c r="M123" i="41"/>
  <c r="L123" i="41"/>
  <c r="K123" i="41"/>
  <c r="J123" i="41"/>
  <c r="I123" i="41"/>
  <c r="H123" i="41"/>
  <c r="S119" i="41"/>
  <c r="S120" i="41"/>
  <c r="S118" i="41"/>
  <c r="R118" i="41"/>
  <c r="Q118" i="41"/>
  <c r="P118" i="41"/>
  <c r="O118" i="41"/>
  <c r="N118" i="41"/>
  <c r="M118" i="41"/>
  <c r="L118" i="41"/>
  <c r="K118" i="41"/>
  <c r="J118" i="41"/>
  <c r="I118" i="41"/>
  <c r="H118" i="41"/>
  <c r="S115" i="41"/>
  <c r="Q115" i="41"/>
  <c r="P115" i="41"/>
  <c r="O115" i="41"/>
  <c r="N115" i="41"/>
  <c r="L115" i="41"/>
  <c r="K115" i="41"/>
  <c r="J115" i="41"/>
  <c r="I115" i="41"/>
  <c r="H115" i="41"/>
  <c r="R112" i="41"/>
  <c r="J112" i="41"/>
  <c r="R110" i="41"/>
  <c r="R124" i="41"/>
  <c r="J110" i="41"/>
  <c r="J124" i="41"/>
  <c r="H105" i="41"/>
  <c r="S101" i="41"/>
  <c r="S102" i="41"/>
  <c r="R101" i="41"/>
  <c r="O101" i="41"/>
  <c r="K101" i="41"/>
  <c r="S95" i="41"/>
  <c r="R93" i="41"/>
  <c r="N93" i="41"/>
  <c r="J93" i="41"/>
  <c r="R90" i="41"/>
  <c r="Q90" i="41"/>
  <c r="P90" i="41"/>
  <c r="O90" i="41"/>
  <c r="L90" i="41"/>
  <c r="K90" i="41"/>
  <c r="J90" i="41"/>
  <c r="I90" i="41"/>
  <c r="S89" i="41"/>
  <c r="R89" i="41"/>
  <c r="Q89" i="41"/>
  <c r="P89" i="41"/>
  <c r="O89" i="41"/>
  <c r="N89" i="41"/>
  <c r="M89" i="41"/>
  <c r="L89" i="41"/>
  <c r="S88" i="41"/>
  <c r="R88" i="41"/>
  <c r="Q88" i="41"/>
  <c r="P88" i="41"/>
  <c r="O88" i="41"/>
  <c r="N88" i="41"/>
  <c r="J88" i="41"/>
  <c r="I88" i="41"/>
  <c r="R87" i="41"/>
  <c r="J87" i="41"/>
  <c r="S86" i="41"/>
  <c r="R86" i="41"/>
  <c r="Q86" i="41"/>
  <c r="P86" i="41"/>
  <c r="O86" i="41"/>
  <c r="N86" i="41"/>
  <c r="M86" i="41"/>
  <c r="L86" i="41"/>
  <c r="K86" i="41"/>
  <c r="J86" i="41"/>
  <c r="I86" i="41"/>
  <c r="H86" i="41"/>
  <c r="H73" i="41"/>
  <c r="H92" i="41"/>
  <c r="R71" i="41"/>
  <c r="Q71" i="41"/>
  <c r="P71" i="41"/>
  <c r="M71" i="41"/>
  <c r="L71" i="41"/>
  <c r="K71" i="41"/>
  <c r="J71" i="41"/>
  <c r="I71" i="41"/>
  <c r="H71" i="41"/>
  <c r="S60" i="41"/>
  <c r="S58" i="41"/>
  <c r="O58" i="41"/>
  <c r="N58" i="41"/>
  <c r="H57" i="41"/>
  <c r="S54" i="41"/>
  <c r="R54" i="41"/>
  <c r="R46" i="41"/>
  <c r="R113" i="41"/>
  <c r="K46" i="41"/>
  <c r="J46" i="41"/>
  <c r="J160" i="41"/>
  <c r="S41" i="41"/>
  <c r="S158" i="41"/>
  <c r="R41" i="41"/>
  <c r="R158" i="41"/>
  <c r="Q41" i="41"/>
  <c r="P41" i="41"/>
  <c r="P158" i="41"/>
  <c r="O41" i="41"/>
  <c r="O158" i="41"/>
  <c r="N41" i="41"/>
  <c r="N158" i="41"/>
  <c r="M41" i="41"/>
  <c r="M158" i="41"/>
  <c r="L41" i="41"/>
  <c r="L158" i="41"/>
  <c r="K41" i="41"/>
  <c r="K158" i="41"/>
  <c r="J41" i="41"/>
  <c r="J158" i="41"/>
  <c r="I41" i="41"/>
  <c r="I158" i="41"/>
  <c r="H41" i="41"/>
  <c r="H158" i="41"/>
  <c r="J40" i="41"/>
  <c r="J38" i="41"/>
  <c r="S38" i="41"/>
  <c r="R38" i="41"/>
  <c r="Q38" i="41"/>
  <c r="P38" i="41"/>
  <c r="O38" i="41"/>
  <c r="N38" i="41"/>
  <c r="M38" i="41"/>
  <c r="M127" i="41"/>
  <c r="L38" i="41"/>
  <c r="L127" i="41"/>
  <c r="K38" i="41"/>
  <c r="K112" i="41"/>
  <c r="I38" i="41"/>
  <c r="H38" i="41"/>
  <c r="S36" i="41"/>
  <c r="R36" i="41"/>
  <c r="Q36" i="41"/>
  <c r="Q156" i="41"/>
  <c r="P36" i="41"/>
  <c r="O36" i="41"/>
  <c r="J36" i="41"/>
  <c r="R33" i="41"/>
  <c r="Q33" i="41"/>
  <c r="N33" i="41"/>
  <c r="N137" i="41"/>
  <c r="M33" i="41"/>
  <c r="L33" i="41"/>
  <c r="L154" i="41"/>
  <c r="K33" i="41"/>
  <c r="J33" i="41"/>
  <c r="J136" i="41"/>
  <c r="I33" i="41"/>
  <c r="H33" i="41"/>
  <c r="J32" i="41"/>
  <c r="I32" i="41"/>
  <c r="I57" i="41"/>
  <c r="I73" i="41"/>
  <c r="I92" i="41"/>
  <c r="S30" i="41"/>
  <c r="R30" i="41"/>
  <c r="R115" i="41"/>
  <c r="M29" i="41"/>
  <c r="J28" i="41"/>
  <c r="J89" i="41"/>
  <c r="H28" i="41"/>
  <c r="I89" i="41"/>
  <c r="S27" i="41"/>
  <c r="R27" i="41"/>
  <c r="Q27" i="41"/>
  <c r="P27" i="41"/>
  <c r="P168" i="41"/>
  <c r="O27" i="41"/>
  <c r="N27" i="41"/>
  <c r="M27" i="41"/>
  <c r="L27" i="41"/>
  <c r="L131" i="41"/>
  <c r="K27" i="41"/>
  <c r="I27" i="41"/>
  <c r="H27" i="41"/>
  <c r="H168" i="41"/>
  <c r="M24" i="41"/>
  <c r="M167" i="41"/>
  <c r="L24" i="41"/>
  <c r="K24" i="41"/>
  <c r="K167" i="41"/>
  <c r="S21" i="41"/>
  <c r="Q21" i="41"/>
  <c r="P21" i="41"/>
  <c r="O21" i="41"/>
  <c r="O19" i="41"/>
  <c r="M21" i="41"/>
  <c r="L21" i="41"/>
  <c r="K21" i="41"/>
  <c r="I21" i="41"/>
  <c r="S19" i="41"/>
  <c r="S165" i="41"/>
  <c r="R19" i="41"/>
  <c r="Q19" i="41"/>
  <c r="P19" i="41"/>
  <c r="P165" i="41"/>
  <c r="N19" i="41"/>
  <c r="M19" i="41"/>
  <c r="M165" i="41"/>
  <c r="L19" i="41"/>
  <c r="L95" i="41"/>
  <c r="J19" i="41"/>
  <c r="I19" i="41"/>
  <c r="I18" i="41"/>
  <c r="I31" i="41"/>
  <c r="H19" i="41"/>
  <c r="H165" i="41"/>
  <c r="S18" i="41"/>
  <c r="Q18" i="41"/>
  <c r="P18" i="41"/>
  <c r="L18" i="41"/>
  <c r="H18" i="41"/>
  <c r="S15" i="41"/>
  <c r="S87" i="41"/>
  <c r="R15" i="41"/>
  <c r="R135" i="41"/>
  <c r="Q15" i="41"/>
  <c r="P15" i="41"/>
  <c r="O15" i="41"/>
  <c r="O87" i="41"/>
  <c r="M15" i="41"/>
  <c r="L15" i="41"/>
  <c r="M87" i="41"/>
  <c r="K15" i="41"/>
  <c r="K10" i="41"/>
  <c r="J15" i="41"/>
  <c r="J135" i="41"/>
  <c r="I15" i="41"/>
  <c r="I135" i="41"/>
  <c r="H15" i="41"/>
  <c r="H135" i="41"/>
  <c r="S10" i="41"/>
  <c r="O10" i="41"/>
  <c r="N10" i="41"/>
  <c r="M10" i="41"/>
  <c r="J10" i="41"/>
  <c r="I10" i="41"/>
  <c r="S5" i="41"/>
  <c r="S93" i="41"/>
  <c r="S94" i="41"/>
  <c r="R5" i="41"/>
  <c r="Q5" i="41"/>
  <c r="P5" i="41"/>
  <c r="O5" i="41"/>
  <c r="N5" i="41"/>
  <c r="M5" i="41"/>
  <c r="L5" i="41"/>
  <c r="L125" i="41"/>
  <c r="K5" i="41"/>
  <c r="K93" i="41"/>
  <c r="K94" i="41"/>
  <c r="J5" i="41"/>
  <c r="I5" i="41"/>
  <c r="H5" i="41"/>
  <c r="O4" i="41"/>
  <c r="N4" i="41"/>
  <c r="M4" i="41"/>
  <c r="J4" i="41"/>
  <c r="I4" i="41"/>
  <c r="I130" i="41"/>
  <c r="R99" i="42"/>
  <c r="R100" i="42"/>
  <c r="Q102" i="42"/>
  <c r="Q90" i="42"/>
  <c r="M125" i="42"/>
  <c r="M123" i="42"/>
  <c r="M121" i="42"/>
  <c r="M124" i="42"/>
  <c r="M122" i="42"/>
  <c r="M120" i="42"/>
  <c r="I124" i="42"/>
  <c r="I122" i="42"/>
  <c r="I120" i="42"/>
  <c r="I125" i="42"/>
  <c r="I123" i="42"/>
  <c r="I121" i="42"/>
  <c r="J139" i="42"/>
  <c r="J97" i="42"/>
  <c r="J98" i="42"/>
  <c r="J18" i="42"/>
  <c r="J31" i="42"/>
  <c r="J102" i="42"/>
  <c r="J90" i="42"/>
  <c r="K102" i="42"/>
  <c r="K90" i="42"/>
  <c r="P108" i="42"/>
  <c r="P142" i="42"/>
  <c r="P114" i="42"/>
  <c r="P18" i="42"/>
  <c r="P31" i="42"/>
  <c r="P99" i="42"/>
  <c r="P100" i="42"/>
  <c r="H90" i="42"/>
  <c r="H102" i="42"/>
  <c r="H125" i="42"/>
  <c r="H124" i="42"/>
  <c r="H123" i="42"/>
  <c r="H122" i="42"/>
  <c r="H121" i="42"/>
  <c r="H120" i="42"/>
  <c r="R102" i="42"/>
  <c r="R90" i="42"/>
  <c r="S100" i="42"/>
  <c r="S99" i="42"/>
  <c r="S102" i="42"/>
  <c r="S90" i="42"/>
  <c r="S125" i="42"/>
  <c r="S124" i="42"/>
  <c r="S123" i="42"/>
  <c r="S122" i="42"/>
  <c r="S121" i="42"/>
  <c r="S120" i="42"/>
  <c r="K123" i="42"/>
  <c r="K122" i="42"/>
  <c r="K121" i="42"/>
  <c r="K120" i="42"/>
  <c r="J57" i="42"/>
  <c r="J73" i="42"/>
  <c r="J87" i="42"/>
  <c r="J95" i="42"/>
  <c r="K32" i="42"/>
  <c r="P136" i="42"/>
  <c r="P107" i="42"/>
  <c r="N134" i="42"/>
  <c r="N93" i="42"/>
  <c r="N92" i="42"/>
  <c r="N48" i="42"/>
  <c r="N51" i="42"/>
  <c r="N88" i="42"/>
  <c r="R134" i="42"/>
  <c r="R93" i="42"/>
  <c r="R92" i="42"/>
  <c r="R88" i="42"/>
  <c r="R48" i="42"/>
  <c r="R51" i="42"/>
  <c r="Q48" i="42"/>
  <c r="Q51" i="42"/>
  <c r="Q134" i="42"/>
  <c r="Q93" i="42"/>
  <c r="Q88" i="42"/>
  <c r="Q92" i="42"/>
  <c r="P110" i="42"/>
  <c r="P93" i="42"/>
  <c r="P92" i="42"/>
  <c r="P88" i="42"/>
  <c r="P134" i="42"/>
  <c r="P48" i="42"/>
  <c r="P51" i="42"/>
  <c r="P112" i="42"/>
  <c r="L125" i="42"/>
  <c r="L124" i="42"/>
  <c r="L123" i="42"/>
  <c r="L122" i="42"/>
  <c r="L121" i="42"/>
  <c r="L120" i="42"/>
  <c r="M100" i="42"/>
  <c r="M99" i="42"/>
  <c r="J125" i="42"/>
  <c r="J123" i="42"/>
  <c r="J121" i="42"/>
  <c r="J124" i="42"/>
  <c r="J120" i="42"/>
  <c r="J122" i="42"/>
  <c r="N102" i="42"/>
  <c r="N90" i="42"/>
  <c r="H93" i="42"/>
  <c r="H92" i="42"/>
  <c r="H88" i="42"/>
  <c r="H134" i="42"/>
  <c r="H48" i="42"/>
  <c r="H51" i="42"/>
  <c r="H100" i="42"/>
  <c r="L134" i="42"/>
  <c r="L93" i="42"/>
  <c r="L92" i="42"/>
  <c r="L88" i="42"/>
  <c r="L48" i="42"/>
  <c r="L51" i="42"/>
  <c r="Q124" i="42"/>
  <c r="Q122" i="42"/>
  <c r="Q120" i="42"/>
  <c r="Q125" i="42"/>
  <c r="Q123" i="42"/>
  <c r="Q121" i="42"/>
  <c r="M48" i="42"/>
  <c r="M51" i="42"/>
  <c r="M88" i="42"/>
  <c r="M92" i="42"/>
  <c r="M93" i="42"/>
  <c r="M134" i="42"/>
  <c r="I48" i="42"/>
  <c r="I51" i="42"/>
  <c r="I134" i="42"/>
  <c r="I93" i="42"/>
  <c r="I92" i="42"/>
  <c r="I88" i="42"/>
  <c r="O102" i="42"/>
  <c r="O90" i="42"/>
  <c r="K134" i="42"/>
  <c r="K93" i="42"/>
  <c r="K48" i="42"/>
  <c r="K51" i="42"/>
  <c r="K88" i="42"/>
  <c r="K92" i="42"/>
  <c r="P90" i="42"/>
  <c r="P102" i="42"/>
  <c r="P125" i="42"/>
  <c r="P124" i="42"/>
  <c r="P123" i="42"/>
  <c r="P122" i="42"/>
  <c r="P121" i="42"/>
  <c r="P120" i="42"/>
  <c r="L90" i="42"/>
  <c r="L102" i="42"/>
  <c r="K100" i="42"/>
  <c r="K99" i="42"/>
  <c r="N100" i="42"/>
  <c r="N99" i="42"/>
  <c r="I102" i="42"/>
  <c r="I90" i="42"/>
  <c r="S135" i="42"/>
  <c r="S52" i="42"/>
  <c r="R29" i="42"/>
  <c r="Q94" i="42"/>
  <c r="Q27" i="42"/>
  <c r="O100" i="42"/>
  <c r="O99" i="42"/>
  <c r="Q100" i="42"/>
  <c r="Q99" i="42"/>
  <c r="I100" i="42"/>
  <c r="I99" i="42"/>
  <c r="R125" i="42"/>
  <c r="R123" i="42"/>
  <c r="R121" i="42"/>
  <c r="R120" i="42"/>
  <c r="R122" i="42"/>
  <c r="R124" i="42"/>
  <c r="O134" i="42"/>
  <c r="O92" i="42"/>
  <c r="O48" i="42"/>
  <c r="O51" i="42"/>
  <c r="O135" i="42"/>
  <c r="O93" i="42"/>
  <c r="O88" i="42"/>
  <c r="L138" i="42"/>
  <c r="L110" i="42"/>
  <c r="L4" i="42"/>
  <c r="N124" i="42"/>
  <c r="N122" i="42"/>
  <c r="N120" i="42"/>
  <c r="N121" i="42"/>
  <c r="N123" i="42"/>
  <c r="N125" i="42"/>
  <c r="L100" i="42"/>
  <c r="J135" i="42"/>
  <c r="J52" i="42"/>
  <c r="K164" i="41"/>
  <c r="K134" i="41"/>
  <c r="K4" i="41"/>
  <c r="P135" i="41"/>
  <c r="P87" i="41"/>
  <c r="Q141" i="41"/>
  <c r="Q137" i="41"/>
  <c r="Q154" i="41"/>
  <c r="Q112" i="41"/>
  <c r="Q110" i="41"/>
  <c r="Q46" i="41"/>
  <c r="Q142" i="41"/>
  <c r="N135" i="41"/>
  <c r="N71" i="41"/>
  <c r="H117" i="41"/>
  <c r="H109" i="41"/>
  <c r="Q135" i="41"/>
  <c r="Q10" i="41"/>
  <c r="O165" i="41"/>
  <c r="O119" i="41"/>
  <c r="O120" i="41"/>
  <c r="O18" i="41"/>
  <c r="O31" i="41"/>
  <c r="I168" i="41"/>
  <c r="I138" i="41"/>
  <c r="I131" i="41"/>
  <c r="I101" i="41"/>
  <c r="I102" i="41"/>
  <c r="M168" i="41"/>
  <c r="M131" i="41"/>
  <c r="M138" i="41"/>
  <c r="M101" i="41"/>
  <c r="M102" i="41"/>
  <c r="Q168" i="41"/>
  <c r="Q131" i="41"/>
  <c r="Q101" i="41"/>
  <c r="H112" i="41"/>
  <c r="R154" i="41"/>
  <c r="R141" i="41"/>
  <c r="R137" i="41"/>
  <c r="K160" i="41"/>
  <c r="K114" i="41"/>
  <c r="O135" i="41"/>
  <c r="O71" i="41"/>
  <c r="J99" i="41"/>
  <c r="I105" i="41"/>
  <c r="K110" i="41"/>
  <c r="H119" i="41"/>
  <c r="H120" i="41"/>
  <c r="H147" i="41"/>
  <c r="O162" i="41"/>
  <c r="O130" i="41"/>
  <c r="S164" i="41"/>
  <c r="S134" i="41"/>
  <c r="J105" i="41"/>
  <c r="J57" i="41"/>
  <c r="J73" i="41"/>
  <c r="J92" i="41"/>
  <c r="K32" i="41"/>
  <c r="P156" i="41"/>
  <c r="P142" i="41"/>
  <c r="P33" i="41"/>
  <c r="J114" i="41"/>
  <c r="L135" i="41"/>
  <c r="L87" i="41"/>
  <c r="L91" i="41"/>
  <c r="S4" i="41"/>
  <c r="K163" i="41"/>
  <c r="K125" i="41"/>
  <c r="K126" i="41"/>
  <c r="O163" i="41"/>
  <c r="O126" i="41"/>
  <c r="O125" i="41"/>
  <c r="S163" i="41"/>
  <c r="S125" i="41"/>
  <c r="S126" i="41"/>
  <c r="O164" i="41"/>
  <c r="O134" i="41"/>
  <c r="L165" i="41"/>
  <c r="L119" i="41"/>
  <c r="L120" i="41"/>
  <c r="Q165" i="41"/>
  <c r="Q119" i="41"/>
  <c r="Q120" i="41"/>
  <c r="Q95" i="41"/>
  <c r="K19" i="41"/>
  <c r="L167" i="41"/>
  <c r="L88" i="41"/>
  <c r="J27" i="41"/>
  <c r="N168" i="41"/>
  <c r="N138" i="41"/>
  <c r="N131" i="41"/>
  <c r="N18" i="41"/>
  <c r="R168" i="41"/>
  <c r="R131" i="41"/>
  <c r="R18" i="41"/>
  <c r="M115" i="41"/>
  <c r="N90" i="41"/>
  <c r="I141" i="41"/>
  <c r="I137" i="41"/>
  <c r="I142" i="41"/>
  <c r="I136" i="41"/>
  <c r="I112" i="41"/>
  <c r="I110" i="41"/>
  <c r="I46" i="41"/>
  <c r="I154" i="41"/>
  <c r="M154" i="41"/>
  <c r="M142" i="41"/>
  <c r="M136" i="41"/>
  <c r="M137" i="41"/>
  <c r="M112" i="41"/>
  <c r="M110" i="41"/>
  <c r="M46" i="41"/>
  <c r="M141" i="41"/>
  <c r="K159" i="41"/>
  <c r="K157" i="41"/>
  <c r="K143" i="41"/>
  <c r="K127" i="41"/>
  <c r="O159" i="41"/>
  <c r="O157" i="41"/>
  <c r="O143" i="41"/>
  <c r="O127" i="41"/>
  <c r="S159" i="41"/>
  <c r="S157" i="41"/>
  <c r="S143" i="41"/>
  <c r="S127" i="41"/>
  <c r="N46" i="41"/>
  <c r="J48" i="41"/>
  <c r="R48" i="41"/>
  <c r="N87" i="41"/>
  <c r="K89" i="41"/>
  <c r="O95" i="41"/>
  <c r="N101" i="41"/>
  <c r="N110" i="41"/>
  <c r="J111" i="41"/>
  <c r="R111" i="41"/>
  <c r="N112" i="41"/>
  <c r="J113" i="41"/>
  <c r="P119" i="41"/>
  <c r="P120" i="41"/>
  <c r="K135" i="41"/>
  <c r="K87" i="41"/>
  <c r="K91" i="41"/>
  <c r="I165" i="41"/>
  <c r="I119" i="41"/>
  <c r="I120" i="41"/>
  <c r="I95" i="41"/>
  <c r="H157" i="41"/>
  <c r="H143" i="41"/>
  <c r="H127" i="41"/>
  <c r="H159" i="41"/>
  <c r="R160" i="41"/>
  <c r="R114" i="41"/>
  <c r="N31" i="41"/>
  <c r="H125" i="41"/>
  <c r="H93" i="41"/>
  <c r="H163" i="41"/>
  <c r="L163" i="41"/>
  <c r="L126" i="41"/>
  <c r="L93" i="41"/>
  <c r="L94" i="41"/>
  <c r="P163" i="41"/>
  <c r="P125" i="41"/>
  <c r="P93" i="41"/>
  <c r="H10" i="41"/>
  <c r="L10" i="41"/>
  <c r="P10" i="41"/>
  <c r="M18" i="41"/>
  <c r="M31" i="41"/>
  <c r="M119" i="41"/>
  <c r="M120" i="41"/>
  <c r="M95" i="41"/>
  <c r="M96" i="41"/>
  <c r="J154" i="41"/>
  <c r="J141" i="41"/>
  <c r="J137" i="41"/>
  <c r="N154" i="41"/>
  <c r="N142" i="41"/>
  <c r="N141" i="41"/>
  <c r="N136" i="41"/>
  <c r="O156" i="41"/>
  <c r="O142" i="41"/>
  <c r="O33" i="41"/>
  <c r="S156" i="41"/>
  <c r="S142" i="41"/>
  <c r="S33" i="41"/>
  <c r="L159" i="41"/>
  <c r="L157" i="41"/>
  <c r="L143" i="41"/>
  <c r="P159" i="41"/>
  <c r="P127" i="41"/>
  <c r="P157" i="41"/>
  <c r="J159" i="41"/>
  <c r="J157" i="41"/>
  <c r="J143" i="41"/>
  <c r="J127" i="41"/>
  <c r="K48" i="41"/>
  <c r="I87" i="41"/>
  <c r="Q87" i="41"/>
  <c r="K88" i="41"/>
  <c r="M90" i="41"/>
  <c r="O93" i="41"/>
  <c r="O94" i="41"/>
  <c r="H95" i="41"/>
  <c r="P95" i="41"/>
  <c r="P96" i="41"/>
  <c r="N99" i="41"/>
  <c r="K113" i="41"/>
  <c r="S121" i="41"/>
  <c r="H126" i="41"/>
  <c r="P143" i="41"/>
  <c r="M162" i="41"/>
  <c r="M130" i="41"/>
  <c r="M126" i="41"/>
  <c r="M125" i="41"/>
  <c r="I134" i="41"/>
  <c r="M164" i="41"/>
  <c r="M134" i="41"/>
  <c r="J165" i="41"/>
  <c r="J119" i="41"/>
  <c r="J120" i="41"/>
  <c r="N165" i="41"/>
  <c r="N119" i="41"/>
  <c r="N120" i="41"/>
  <c r="R165" i="41"/>
  <c r="R119" i="41"/>
  <c r="R120" i="41"/>
  <c r="K168" i="41"/>
  <c r="K138" i="41"/>
  <c r="O168" i="41"/>
  <c r="O138" i="41"/>
  <c r="S168" i="41"/>
  <c r="S138" i="41"/>
  <c r="K154" i="41"/>
  <c r="K142" i="41"/>
  <c r="K141" i="41"/>
  <c r="K137" i="41"/>
  <c r="K136" i="41"/>
  <c r="I159" i="41"/>
  <c r="I157" i="41"/>
  <c r="I143" i="41"/>
  <c r="I127" i="41"/>
  <c r="Q159" i="41"/>
  <c r="Q157" i="41"/>
  <c r="Q143" i="41"/>
  <c r="Q127" i="41"/>
  <c r="H46" i="41"/>
  <c r="L46" i="41"/>
  <c r="S135" i="41"/>
  <c r="H101" i="41"/>
  <c r="L101" i="41"/>
  <c r="L102" i="41"/>
  <c r="P101" i="41"/>
  <c r="P102" i="41"/>
  <c r="H110" i="41"/>
  <c r="L110" i="41"/>
  <c r="L112" i="41"/>
  <c r="M159" i="41"/>
  <c r="I162" i="41"/>
  <c r="M163" i="41"/>
  <c r="I163" i="41"/>
  <c r="I126" i="41"/>
  <c r="I125" i="41"/>
  <c r="Q163" i="41"/>
  <c r="Q126" i="41"/>
  <c r="Q125" i="41"/>
  <c r="J162" i="41"/>
  <c r="J130" i="41"/>
  <c r="N162" i="41"/>
  <c r="N130" i="41"/>
  <c r="J163" i="41"/>
  <c r="J126" i="41"/>
  <c r="J125" i="41"/>
  <c r="N163" i="41"/>
  <c r="N126" i="41"/>
  <c r="N125" i="41"/>
  <c r="R163" i="41"/>
  <c r="R126" i="41"/>
  <c r="R125" i="41"/>
  <c r="J164" i="41"/>
  <c r="J134" i="41"/>
  <c r="N164" i="41"/>
  <c r="N134" i="41"/>
  <c r="R10" i="41"/>
  <c r="L168" i="41"/>
  <c r="H137" i="41"/>
  <c r="H154" i="41"/>
  <c r="H142" i="41"/>
  <c r="L137" i="41"/>
  <c r="L141" i="41"/>
  <c r="J156" i="41"/>
  <c r="J142" i="41"/>
  <c r="R156" i="41"/>
  <c r="R142" i="41"/>
  <c r="N159" i="41"/>
  <c r="N157" i="41"/>
  <c r="N143" i="41"/>
  <c r="N127" i="41"/>
  <c r="R159" i="41"/>
  <c r="R157" i="41"/>
  <c r="R143" i="41"/>
  <c r="R127" i="41"/>
  <c r="S71" i="41"/>
  <c r="M88" i="41"/>
  <c r="S90" i="41"/>
  <c r="I93" i="41"/>
  <c r="M93" i="41"/>
  <c r="N94" i="41"/>
  <c r="N97" i="41"/>
  <c r="Q93" i="41"/>
  <c r="Q94" i="41"/>
  <c r="J95" i="41"/>
  <c r="J96" i="41"/>
  <c r="N95" i="41"/>
  <c r="N96" i="41"/>
  <c r="R95" i="41"/>
  <c r="R96" i="41"/>
  <c r="O131" i="41"/>
  <c r="M143" i="41"/>
  <c r="S167" i="40"/>
  <c r="R167" i="40"/>
  <c r="Q167" i="40"/>
  <c r="P167" i="40"/>
  <c r="O167" i="40"/>
  <c r="N167" i="40"/>
  <c r="M167" i="40"/>
  <c r="L167" i="40"/>
  <c r="K167" i="40"/>
  <c r="J167" i="40"/>
  <c r="I167" i="40"/>
  <c r="H167" i="40"/>
  <c r="S166" i="40"/>
  <c r="R166" i="40"/>
  <c r="Q166" i="40"/>
  <c r="P166" i="40"/>
  <c r="O166" i="40"/>
  <c r="N166" i="40"/>
  <c r="M166" i="40"/>
  <c r="L166" i="40"/>
  <c r="K166" i="40"/>
  <c r="J166" i="40"/>
  <c r="I166" i="40"/>
  <c r="H166" i="40"/>
  <c r="S156" i="40"/>
  <c r="R156" i="40"/>
  <c r="P156" i="40"/>
  <c r="N156" i="40"/>
  <c r="M156" i="40"/>
  <c r="L156" i="40"/>
  <c r="K156" i="40"/>
  <c r="J156" i="40"/>
  <c r="I156" i="40"/>
  <c r="H156" i="40"/>
  <c r="O155" i="40"/>
  <c r="N155" i="40"/>
  <c r="M155" i="40"/>
  <c r="L155" i="40"/>
  <c r="K155" i="40"/>
  <c r="J155" i="40"/>
  <c r="I155" i="40"/>
  <c r="H155" i="40"/>
  <c r="E138" i="40"/>
  <c r="M137" i="40"/>
  <c r="S135" i="40"/>
  <c r="R135" i="40"/>
  <c r="Q135" i="40"/>
  <c r="P135" i="40"/>
  <c r="O135" i="40"/>
  <c r="N135" i="40"/>
  <c r="M135" i="40"/>
  <c r="L135" i="40"/>
  <c r="K135" i="40"/>
  <c r="J135" i="40"/>
  <c r="I135" i="40"/>
  <c r="H135" i="40"/>
  <c r="I131" i="40"/>
  <c r="S123" i="40"/>
  <c r="R123" i="40"/>
  <c r="Q123" i="40"/>
  <c r="P123" i="40"/>
  <c r="O123" i="40"/>
  <c r="N123" i="40"/>
  <c r="M123" i="40"/>
  <c r="L123" i="40"/>
  <c r="K123" i="40"/>
  <c r="J123" i="40"/>
  <c r="I123" i="40"/>
  <c r="H123" i="40"/>
  <c r="Q119" i="40"/>
  <c r="Q120" i="40"/>
  <c r="Q118" i="40"/>
  <c r="P118" i="40"/>
  <c r="O118" i="40"/>
  <c r="N118" i="40"/>
  <c r="M118" i="40"/>
  <c r="L118" i="40"/>
  <c r="K118" i="40"/>
  <c r="J118" i="40"/>
  <c r="I118" i="40"/>
  <c r="H118" i="40"/>
  <c r="S115" i="40"/>
  <c r="R115" i="40"/>
  <c r="Q115" i="40"/>
  <c r="P115" i="40"/>
  <c r="O115" i="40"/>
  <c r="N115" i="40"/>
  <c r="M115" i="40"/>
  <c r="L115" i="40"/>
  <c r="K115" i="40"/>
  <c r="J115" i="40"/>
  <c r="I115" i="40"/>
  <c r="H115" i="40"/>
  <c r="M109" i="40"/>
  <c r="I109" i="40"/>
  <c r="S105" i="40"/>
  <c r="M105" i="40"/>
  <c r="M117" i="40"/>
  <c r="L105" i="40"/>
  <c r="L117" i="40"/>
  <c r="K105" i="40"/>
  <c r="J105" i="40"/>
  <c r="J117" i="40"/>
  <c r="I105" i="40"/>
  <c r="I117" i="40"/>
  <c r="H105" i="40"/>
  <c r="H117" i="40"/>
  <c r="N102" i="40"/>
  <c r="Q101" i="40"/>
  <c r="M101" i="40"/>
  <c r="I101" i="40"/>
  <c r="R95" i="40"/>
  <c r="N95" i="40"/>
  <c r="J95" i="40"/>
  <c r="Q93" i="40"/>
  <c r="M93" i="40"/>
  <c r="I93" i="40"/>
  <c r="M92" i="40"/>
  <c r="I92" i="40"/>
  <c r="S90" i="40"/>
  <c r="R90" i="40"/>
  <c r="Q90" i="40"/>
  <c r="P90" i="40"/>
  <c r="O90" i="40"/>
  <c r="N90" i="40"/>
  <c r="M90" i="40"/>
  <c r="L90" i="40"/>
  <c r="L91" i="40"/>
  <c r="K90" i="40"/>
  <c r="J90" i="40"/>
  <c r="I90" i="40"/>
  <c r="S89" i="40"/>
  <c r="R89" i="40"/>
  <c r="Q89" i="40"/>
  <c r="P89" i="40"/>
  <c r="O89" i="40"/>
  <c r="N89" i="40"/>
  <c r="M89" i="40"/>
  <c r="L89" i="40"/>
  <c r="K89" i="40"/>
  <c r="J89" i="40"/>
  <c r="I89" i="40"/>
  <c r="S88" i="40"/>
  <c r="R88" i="40"/>
  <c r="Q88" i="40"/>
  <c r="P88" i="40"/>
  <c r="O88" i="40"/>
  <c r="N88" i="40"/>
  <c r="M88" i="40"/>
  <c r="L88" i="40"/>
  <c r="K88" i="40"/>
  <c r="J88" i="40"/>
  <c r="I88" i="40"/>
  <c r="S87" i="40"/>
  <c r="R87" i="40"/>
  <c r="Q87" i="40"/>
  <c r="P87" i="40"/>
  <c r="O87" i="40"/>
  <c r="N87" i="40"/>
  <c r="M87" i="40"/>
  <c r="L87" i="40"/>
  <c r="K87" i="40"/>
  <c r="J87" i="40"/>
  <c r="I87" i="40"/>
  <c r="S86" i="40"/>
  <c r="R86" i="40"/>
  <c r="Q86" i="40"/>
  <c r="P86" i="40"/>
  <c r="O86" i="40"/>
  <c r="N86" i="40"/>
  <c r="M86" i="40"/>
  <c r="L86" i="40"/>
  <c r="K86" i="40"/>
  <c r="J86" i="40"/>
  <c r="I86" i="40"/>
  <c r="H86" i="40"/>
  <c r="S73" i="40"/>
  <c r="S92" i="40"/>
  <c r="M73" i="40"/>
  <c r="L73" i="40"/>
  <c r="L92" i="40"/>
  <c r="K73" i="40"/>
  <c r="K92" i="40"/>
  <c r="J73" i="40"/>
  <c r="J92" i="40"/>
  <c r="I73" i="40"/>
  <c r="H73" i="40"/>
  <c r="H92" i="40"/>
  <c r="S71" i="40"/>
  <c r="R71" i="40"/>
  <c r="Q71" i="40"/>
  <c r="P71" i="40"/>
  <c r="O71" i="40"/>
  <c r="N71" i="40"/>
  <c r="M71" i="40"/>
  <c r="L71" i="40"/>
  <c r="K71" i="40"/>
  <c r="J71" i="40"/>
  <c r="I71" i="40"/>
  <c r="H71" i="40"/>
  <c r="Q54" i="40"/>
  <c r="P54" i="40"/>
  <c r="O54" i="40"/>
  <c r="N48" i="40"/>
  <c r="N106" i="40"/>
  <c r="N46" i="40"/>
  <c r="J46" i="40"/>
  <c r="Q43" i="40"/>
  <c r="P43" i="40"/>
  <c r="P41" i="40"/>
  <c r="P158" i="40"/>
  <c r="M43" i="40"/>
  <c r="S41" i="40"/>
  <c r="S158" i="40"/>
  <c r="R41" i="40"/>
  <c r="R158" i="40"/>
  <c r="Q41" i="40"/>
  <c r="Q158" i="40"/>
  <c r="O41" i="40"/>
  <c r="O158" i="40"/>
  <c r="N41" i="40"/>
  <c r="N158" i="40"/>
  <c r="M41" i="40"/>
  <c r="M158" i="40"/>
  <c r="L41" i="40"/>
  <c r="L158" i="40"/>
  <c r="K41" i="40"/>
  <c r="K158" i="40"/>
  <c r="J41" i="40"/>
  <c r="J158" i="40"/>
  <c r="I41" i="40"/>
  <c r="I158" i="40"/>
  <c r="H41" i="40"/>
  <c r="H158" i="40"/>
  <c r="S38" i="40"/>
  <c r="R38" i="40"/>
  <c r="Q38" i="40"/>
  <c r="P38" i="40"/>
  <c r="P157" i="40"/>
  <c r="O38" i="40"/>
  <c r="N38" i="40"/>
  <c r="M38" i="40"/>
  <c r="M143" i="40"/>
  <c r="L38" i="40"/>
  <c r="K38" i="40"/>
  <c r="J38" i="40"/>
  <c r="I38" i="40"/>
  <c r="I112" i="40"/>
  <c r="H38" i="40"/>
  <c r="H159" i="40"/>
  <c r="Q36" i="40"/>
  <c r="Q156" i="40"/>
  <c r="O36" i="40"/>
  <c r="P35" i="40"/>
  <c r="P33" i="40"/>
  <c r="O33" i="40"/>
  <c r="N33" i="40"/>
  <c r="M33" i="40"/>
  <c r="M141" i="40"/>
  <c r="L33" i="40"/>
  <c r="K33" i="40"/>
  <c r="J33" i="40"/>
  <c r="I33" i="40"/>
  <c r="H33" i="40"/>
  <c r="N32" i="40"/>
  <c r="S27" i="40"/>
  <c r="S101" i="40"/>
  <c r="S102" i="40"/>
  <c r="R27" i="40"/>
  <c r="R101" i="40"/>
  <c r="R102" i="40"/>
  <c r="Q27" i="40"/>
  <c r="P27" i="40"/>
  <c r="O27" i="40"/>
  <c r="O101" i="40"/>
  <c r="O102" i="40"/>
  <c r="N27" i="40"/>
  <c r="N101" i="40"/>
  <c r="M27" i="40"/>
  <c r="M168" i="40"/>
  <c r="L27" i="40"/>
  <c r="K27" i="40"/>
  <c r="K101" i="40"/>
  <c r="K102" i="40"/>
  <c r="J27" i="40"/>
  <c r="J101" i="40"/>
  <c r="J102" i="40"/>
  <c r="I27" i="40"/>
  <c r="H27" i="40"/>
  <c r="S19" i="40"/>
  <c r="S95" i="40"/>
  <c r="S96" i="40"/>
  <c r="R19" i="40"/>
  <c r="Q19" i="40"/>
  <c r="Q165" i="40"/>
  <c r="P19" i="40"/>
  <c r="O19" i="40"/>
  <c r="O95" i="40"/>
  <c r="O96" i="40"/>
  <c r="N19" i="40"/>
  <c r="M19" i="40"/>
  <c r="M165" i="40"/>
  <c r="L19" i="40"/>
  <c r="K19" i="40"/>
  <c r="K95" i="40"/>
  <c r="K96" i="40"/>
  <c r="J19" i="40"/>
  <c r="I19" i="40"/>
  <c r="I165" i="40"/>
  <c r="H19" i="40"/>
  <c r="S18" i="40"/>
  <c r="R18" i="40"/>
  <c r="Q18" i="40"/>
  <c r="P18" i="40"/>
  <c r="O18" i="40"/>
  <c r="N18" i="40"/>
  <c r="M18" i="40"/>
  <c r="L18" i="40"/>
  <c r="K18" i="40"/>
  <c r="J18" i="40"/>
  <c r="I18" i="40"/>
  <c r="H18" i="40"/>
  <c r="S10" i="40"/>
  <c r="R10" i="40"/>
  <c r="Q10" i="40"/>
  <c r="P10" i="40"/>
  <c r="O10" i="40"/>
  <c r="N10" i="40"/>
  <c r="M10" i="40"/>
  <c r="M164" i="40"/>
  <c r="L10" i="40"/>
  <c r="K10" i="40"/>
  <c r="J10" i="40"/>
  <c r="I10" i="40"/>
  <c r="H10" i="40"/>
  <c r="S6" i="40"/>
  <c r="S5" i="40"/>
  <c r="R6" i="40"/>
  <c r="R5" i="40"/>
  <c r="R4" i="40"/>
  <c r="Q5" i="40"/>
  <c r="Q163" i="40"/>
  <c r="P5" i="40"/>
  <c r="O5" i="40"/>
  <c r="N5" i="40"/>
  <c r="M5" i="40"/>
  <c r="M163" i="40"/>
  <c r="L5" i="40"/>
  <c r="K5" i="40"/>
  <c r="J5" i="40"/>
  <c r="I5" i="40"/>
  <c r="I126" i="40"/>
  <c r="H5" i="40"/>
  <c r="H163" i="40"/>
  <c r="Q4" i="40"/>
  <c r="O4" i="40"/>
  <c r="M4" i="40"/>
  <c r="L4" i="40"/>
  <c r="K4" i="40"/>
  <c r="H4" i="40"/>
  <c r="K135" i="42"/>
  <c r="K52" i="42"/>
  <c r="K124" i="42"/>
  <c r="L136" i="42"/>
  <c r="L107" i="42"/>
  <c r="L31" i="42"/>
  <c r="L114" i="42"/>
  <c r="L112" i="42"/>
  <c r="Q114" i="42"/>
  <c r="Q142" i="42"/>
  <c r="Q108" i="42"/>
  <c r="Q18" i="42"/>
  <c r="Q31" i="42"/>
  <c r="I52" i="42"/>
  <c r="I135" i="42"/>
  <c r="L135" i="42"/>
  <c r="L52" i="42"/>
  <c r="P135" i="42"/>
  <c r="P52" i="42"/>
  <c r="K87" i="42"/>
  <c r="K95" i="42"/>
  <c r="L32" i="42"/>
  <c r="K57" i="42"/>
  <c r="K73" i="42"/>
  <c r="K125" i="42"/>
  <c r="J99" i="42"/>
  <c r="J100" i="42"/>
  <c r="R94" i="42"/>
  <c r="S29" i="42"/>
  <c r="R27" i="42"/>
  <c r="H135" i="42"/>
  <c r="H52" i="42"/>
  <c r="Q135" i="42"/>
  <c r="Q52" i="42"/>
  <c r="R135" i="42"/>
  <c r="R52" i="42"/>
  <c r="M52" i="42"/>
  <c r="M135" i="42"/>
  <c r="N135" i="42"/>
  <c r="N52" i="42"/>
  <c r="J106" i="42"/>
  <c r="J109" i="42"/>
  <c r="J115" i="42"/>
  <c r="J119" i="42"/>
  <c r="J127" i="42"/>
  <c r="I94" i="41"/>
  <c r="I99" i="41"/>
  <c r="Q102" i="41"/>
  <c r="R164" i="41"/>
  <c r="R4" i="41"/>
  <c r="R134" i="41"/>
  <c r="H160" i="41"/>
  <c r="H114" i="41"/>
  <c r="H113" i="41"/>
  <c r="H48" i="41"/>
  <c r="H51" i="41"/>
  <c r="R122" i="41"/>
  <c r="R121" i="41"/>
  <c r="J122" i="41"/>
  <c r="J121" i="41"/>
  <c r="M122" i="41"/>
  <c r="M121" i="41"/>
  <c r="H164" i="41"/>
  <c r="H4" i="41"/>
  <c r="R102" i="41"/>
  <c r="I96" i="41"/>
  <c r="O96" i="41"/>
  <c r="R106" i="41"/>
  <c r="R51" i="41"/>
  <c r="M160" i="41"/>
  <c r="M114" i="41"/>
  <c r="M113" i="41"/>
  <c r="M48" i="41"/>
  <c r="I114" i="41"/>
  <c r="I113" i="41"/>
  <c r="I48" i="41"/>
  <c r="I160" i="41"/>
  <c r="K165" i="41"/>
  <c r="K18" i="41"/>
  <c r="K119" i="41"/>
  <c r="K120" i="41"/>
  <c r="K95" i="41"/>
  <c r="L121" i="41"/>
  <c r="L122" i="41"/>
  <c r="I117" i="41"/>
  <c r="I109" i="41"/>
  <c r="R151" i="41"/>
  <c r="R150" i="41"/>
  <c r="R149" i="41"/>
  <c r="R148" i="41"/>
  <c r="R147" i="41"/>
  <c r="R146" i="41"/>
  <c r="O121" i="41"/>
  <c r="Q124" i="41"/>
  <c r="Q111" i="41"/>
  <c r="Q150" i="41"/>
  <c r="Q148" i="41"/>
  <c r="Q146" i="41"/>
  <c r="Q149" i="41"/>
  <c r="Q151" i="41"/>
  <c r="Q147" i="41"/>
  <c r="L114" i="41"/>
  <c r="L113" i="41"/>
  <c r="L48" i="41"/>
  <c r="L160" i="41"/>
  <c r="L164" i="41"/>
  <c r="L4" i="41"/>
  <c r="N102" i="41"/>
  <c r="O102" i="41"/>
  <c r="Q114" i="41"/>
  <c r="Q113" i="41"/>
  <c r="Q48" i="41"/>
  <c r="Q160" i="41"/>
  <c r="Q97" i="41"/>
  <c r="L124" i="41"/>
  <c r="L111" i="41"/>
  <c r="O154" i="41"/>
  <c r="O141" i="41"/>
  <c r="O137" i="41"/>
  <c r="O136" i="41"/>
  <c r="O112" i="41"/>
  <c r="O110" i="41"/>
  <c r="O122" i="41"/>
  <c r="O46" i="41"/>
  <c r="N151" i="41"/>
  <c r="N150" i="41"/>
  <c r="N149" i="41"/>
  <c r="N148" i="41"/>
  <c r="N147" i="41"/>
  <c r="N146" i="41"/>
  <c r="J151" i="41"/>
  <c r="J148" i="41"/>
  <c r="J147" i="41"/>
  <c r="J146" i="41"/>
  <c r="P94" i="41"/>
  <c r="P97" i="41"/>
  <c r="R94" i="41"/>
  <c r="R97" i="41"/>
  <c r="R107" i="41"/>
  <c r="I122" i="41"/>
  <c r="I121" i="41"/>
  <c r="P121" i="41"/>
  <c r="J106" i="41"/>
  <c r="J51" i="41"/>
  <c r="J149" i="41"/>
  <c r="M124" i="41"/>
  <c r="M111" i="41"/>
  <c r="I124" i="41"/>
  <c r="I111" i="41"/>
  <c r="J168" i="41"/>
  <c r="J138" i="41"/>
  <c r="J131" i="41"/>
  <c r="J18" i="41"/>
  <c r="J31" i="41"/>
  <c r="J101" i="41"/>
  <c r="Q96" i="41"/>
  <c r="S162" i="41"/>
  <c r="S130" i="41"/>
  <c r="S31" i="41"/>
  <c r="S99" i="41"/>
  <c r="S96" i="41"/>
  <c r="S97" i="41"/>
  <c r="K105" i="41"/>
  <c r="K57" i="41"/>
  <c r="K73" i="41"/>
  <c r="K92" i="41"/>
  <c r="L32" i="41"/>
  <c r="J100" i="41"/>
  <c r="H133" i="41"/>
  <c r="H140" i="41"/>
  <c r="H145" i="41"/>
  <c r="H153" i="41"/>
  <c r="H129" i="41"/>
  <c r="L150" i="41"/>
  <c r="L148" i="41"/>
  <c r="L146" i="41"/>
  <c r="L149" i="41"/>
  <c r="L147" i="41"/>
  <c r="L151" i="41"/>
  <c r="K151" i="41"/>
  <c r="K150" i="41"/>
  <c r="K149" i="41"/>
  <c r="K148" i="41"/>
  <c r="K147" i="41"/>
  <c r="K146" i="41"/>
  <c r="K106" i="41"/>
  <c r="K51" i="41"/>
  <c r="M151" i="41"/>
  <c r="M149" i="41"/>
  <c r="M147" i="41"/>
  <c r="M148" i="41"/>
  <c r="M150" i="41"/>
  <c r="M146" i="41"/>
  <c r="J117" i="41"/>
  <c r="J109" i="41"/>
  <c r="K124" i="41"/>
  <c r="K111" i="41"/>
  <c r="M94" i="41"/>
  <c r="M97" i="41"/>
  <c r="M99" i="41"/>
  <c r="H111" i="41"/>
  <c r="H124" i="41"/>
  <c r="N122" i="41"/>
  <c r="N121" i="41"/>
  <c r="O97" i="41"/>
  <c r="S154" i="41"/>
  <c r="S141" i="41"/>
  <c r="S137" i="41"/>
  <c r="S136" i="41"/>
  <c r="S112" i="41"/>
  <c r="S110" i="41"/>
  <c r="S46" i="41"/>
  <c r="P164" i="41"/>
  <c r="P4" i="41"/>
  <c r="P134" i="41"/>
  <c r="N124" i="41"/>
  <c r="N111" i="41"/>
  <c r="N160" i="41"/>
  <c r="N114" i="41"/>
  <c r="N113" i="41"/>
  <c r="N48" i="41"/>
  <c r="I148" i="41"/>
  <c r="I146" i="41"/>
  <c r="I147" i="41"/>
  <c r="Q122" i="41"/>
  <c r="Q121" i="41"/>
  <c r="P137" i="41"/>
  <c r="P136" i="41"/>
  <c r="P154" i="41"/>
  <c r="P141" i="41"/>
  <c r="P112" i="41"/>
  <c r="P110" i="41"/>
  <c r="P122" i="41"/>
  <c r="P46" i="41"/>
  <c r="O99" i="41"/>
  <c r="O100" i="41"/>
  <c r="H148" i="41"/>
  <c r="H122" i="41"/>
  <c r="H121" i="41"/>
  <c r="Q4" i="41"/>
  <c r="Q164" i="41"/>
  <c r="J94" i="41"/>
  <c r="J97" i="41"/>
  <c r="K162" i="41"/>
  <c r="K130" i="41"/>
  <c r="K31" i="41"/>
  <c r="K99" i="41"/>
  <c r="K100" i="41"/>
  <c r="R162" i="40"/>
  <c r="R130" i="40"/>
  <c r="R31" i="40"/>
  <c r="L130" i="40"/>
  <c r="L162" i="40"/>
  <c r="N163" i="40"/>
  <c r="N126" i="40"/>
  <c r="N125" i="40"/>
  <c r="N93" i="40"/>
  <c r="N94" i="40"/>
  <c r="I102" i="40"/>
  <c r="S117" i="40"/>
  <c r="S109" i="40"/>
  <c r="I4" i="40"/>
  <c r="M162" i="40"/>
  <c r="M130" i="40"/>
  <c r="M99" i="40"/>
  <c r="M31" i="40"/>
  <c r="M151" i="40"/>
  <c r="M150" i="40"/>
  <c r="M149" i="40"/>
  <c r="M147" i="40"/>
  <c r="M146" i="40"/>
  <c r="M148" i="40"/>
  <c r="N160" i="40"/>
  <c r="N114" i="40"/>
  <c r="N113" i="40"/>
  <c r="H130" i="40"/>
  <c r="H162" i="40"/>
  <c r="Q162" i="40"/>
  <c r="Q130" i="40"/>
  <c r="Q99" i="40"/>
  <c r="Q31" i="40"/>
  <c r="J163" i="40"/>
  <c r="J126" i="40"/>
  <c r="J125" i="40"/>
  <c r="J93" i="40"/>
  <c r="J94" i="40"/>
  <c r="R163" i="40"/>
  <c r="R126" i="40"/>
  <c r="R125" i="40"/>
  <c r="R93" i="40"/>
  <c r="R94" i="40"/>
  <c r="L31" i="40"/>
  <c r="J160" i="40"/>
  <c r="J114" i="40"/>
  <c r="J113" i="40"/>
  <c r="K117" i="40"/>
  <c r="K109" i="40"/>
  <c r="J4" i="40"/>
  <c r="N4" i="40"/>
  <c r="S163" i="40"/>
  <c r="S126" i="40"/>
  <c r="S125" i="40"/>
  <c r="S93" i="40"/>
  <c r="S4" i="40"/>
  <c r="N105" i="40"/>
  <c r="N57" i="40"/>
  <c r="N73" i="40"/>
  <c r="N92" i="40"/>
  <c r="O32" i="40"/>
  <c r="J96" i="40"/>
  <c r="I133" i="40"/>
  <c r="I140" i="40"/>
  <c r="I145" i="40"/>
  <c r="I153" i="40"/>
  <c r="I129" i="40"/>
  <c r="M133" i="40"/>
  <c r="M140" i="40"/>
  <c r="M145" i="40"/>
  <c r="M153" i="40"/>
  <c r="M129" i="40"/>
  <c r="K162" i="40"/>
  <c r="K130" i="40"/>
  <c r="K31" i="40"/>
  <c r="O162" i="40"/>
  <c r="O130" i="40"/>
  <c r="O31" i="40"/>
  <c r="I163" i="40"/>
  <c r="I125" i="40"/>
  <c r="H134" i="40"/>
  <c r="H164" i="40"/>
  <c r="L134" i="40"/>
  <c r="L164" i="40"/>
  <c r="P164" i="40"/>
  <c r="P4" i="40"/>
  <c r="P134" i="40"/>
  <c r="H119" i="40"/>
  <c r="H120" i="40"/>
  <c r="H165" i="40"/>
  <c r="H95" i="40"/>
  <c r="L165" i="40"/>
  <c r="L119" i="40"/>
  <c r="L120" i="40"/>
  <c r="L95" i="40"/>
  <c r="L96" i="40"/>
  <c r="P119" i="40"/>
  <c r="P120" i="40"/>
  <c r="P165" i="40"/>
  <c r="P95" i="40"/>
  <c r="P96" i="40"/>
  <c r="H131" i="40"/>
  <c r="H168" i="40"/>
  <c r="H138" i="40"/>
  <c r="H101" i="40"/>
  <c r="L138" i="40"/>
  <c r="L131" i="40"/>
  <c r="L168" i="40"/>
  <c r="L101" i="40"/>
  <c r="L102" i="40"/>
  <c r="P168" i="40"/>
  <c r="P131" i="40"/>
  <c r="P138" i="40"/>
  <c r="P101" i="40"/>
  <c r="P102" i="40"/>
  <c r="H31" i="40"/>
  <c r="K154" i="40"/>
  <c r="K142" i="40"/>
  <c r="K141" i="40"/>
  <c r="K137" i="40"/>
  <c r="K136" i="40"/>
  <c r="K112" i="40"/>
  <c r="K110" i="40"/>
  <c r="K46" i="40"/>
  <c r="O154" i="40"/>
  <c r="O141" i="40"/>
  <c r="O137" i="40"/>
  <c r="O136" i="40"/>
  <c r="O112" i="40"/>
  <c r="O110" i="40"/>
  <c r="O46" i="40"/>
  <c r="I159" i="40"/>
  <c r="I157" i="40"/>
  <c r="I143" i="40"/>
  <c r="I127" i="40"/>
  <c r="M159" i="40"/>
  <c r="M157" i="40"/>
  <c r="Q159" i="40"/>
  <c r="Q157" i="40"/>
  <c r="Q143" i="40"/>
  <c r="Q127" i="40"/>
  <c r="J48" i="40"/>
  <c r="N51" i="40"/>
  <c r="M127" i="40"/>
  <c r="K163" i="40"/>
  <c r="K126" i="40"/>
  <c r="K125" i="40"/>
  <c r="O163" i="40"/>
  <c r="O126" i="40"/>
  <c r="O125" i="40"/>
  <c r="I164" i="40"/>
  <c r="I134" i="40"/>
  <c r="Q164" i="40"/>
  <c r="Q134" i="40"/>
  <c r="I168" i="40"/>
  <c r="I138" i="40"/>
  <c r="Q168" i="40"/>
  <c r="Q138" i="40"/>
  <c r="H137" i="40"/>
  <c r="H136" i="40"/>
  <c r="H142" i="40"/>
  <c r="H112" i="40"/>
  <c r="H110" i="40"/>
  <c r="H141" i="40"/>
  <c r="L137" i="40"/>
  <c r="L136" i="40"/>
  <c r="L141" i="40"/>
  <c r="L112" i="40"/>
  <c r="L110" i="40"/>
  <c r="L154" i="40"/>
  <c r="L142" i="40"/>
  <c r="P137" i="40"/>
  <c r="P136" i="40"/>
  <c r="P142" i="40"/>
  <c r="P112" i="40"/>
  <c r="P110" i="40"/>
  <c r="P154" i="40"/>
  <c r="P155" i="40"/>
  <c r="P141" i="40"/>
  <c r="O156" i="40"/>
  <c r="O142" i="40"/>
  <c r="J159" i="40"/>
  <c r="J157" i="40"/>
  <c r="J143" i="40"/>
  <c r="J127" i="40"/>
  <c r="N159" i="40"/>
  <c r="N157" i="40"/>
  <c r="N143" i="40"/>
  <c r="N127" i="40"/>
  <c r="R159" i="40"/>
  <c r="R157" i="40"/>
  <c r="R143" i="40"/>
  <c r="H133" i="40"/>
  <c r="H140" i="40"/>
  <c r="H145" i="40"/>
  <c r="H153" i="40"/>
  <c r="H129" i="40"/>
  <c r="L133" i="40"/>
  <c r="L140" i="40"/>
  <c r="L145" i="40"/>
  <c r="L153" i="40"/>
  <c r="L129" i="40"/>
  <c r="J109" i="40"/>
  <c r="M112" i="40"/>
  <c r="M126" i="40"/>
  <c r="M131" i="40"/>
  <c r="M134" i="40"/>
  <c r="H126" i="40"/>
  <c r="H125" i="40"/>
  <c r="L126" i="40"/>
  <c r="L125" i="40"/>
  <c r="L163" i="40"/>
  <c r="P126" i="40"/>
  <c r="P125" i="40"/>
  <c r="P163" i="40"/>
  <c r="R127" i="40"/>
  <c r="R118" i="40"/>
  <c r="J164" i="40"/>
  <c r="J134" i="40"/>
  <c r="N164" i="40"/>
  <c r="N134" i="40"/>
  <c r="R164" i="40"/>
  <c r="R134" i="40"/>
  <c r="J165" i="40"/>
  <c r="J119" i="40"/>
  <c r="J120" i="40"/>
  <c r="N165" i="40"/>
  <c r="N119" i="40"/>
  <c r="N120" i="40"/>
  <c r="R165" i="40"/>
  <c r="R119" i="40"/>
  <c r="R120" i="40"/>
  <c r="J168" i="40"/>
  <c r="J138" i="40"/>
  <c r="J131" i="40"/>
  <c r="N168" i="40"/>
  <c r="N138" i="40"/>
  <c r="N131" i="40"/>
  <c r="R168" i="40"/>
  <c r="R138" i="40"/>
  <c r="R131" i="40"/>
  <c r="I154" i="40"/>
  <c r="I141" i="40"/>
  <c r="I137" i="40"/>
  <c r="M154" i="40"/>
  <c r="M142" i="40"/>
  <c r="M136" i="40"/>
  <c r="Q35" i="40"/>
  <c r="K159" i="40"/>
  <c r="K157" i="40"/>
  <c r="K143" i="40"/>
  <c r="K127" i="40"/>
  <c r="O159" i="40"/>
  <c r="O157" i="40"/>
  <c r="O143" i="40"/>
  <c r="O127" i="40"/>
  <c r="S159" i="40"/>
  <c r="S157" i="40"/>
  <c r="S143" i="40"/>
  <c r="H46" i="40"/>
  <c r="L46" i="40"/>
  <c r="P46" i="40"/>
  <c r="K93" i="40"/>
  <c r="O93" i="40"/>
  <c r="O94" i="40"/>
  <c r="O97" i="40"/>
  <c r="I110" i="40"/>
  <c r="I119" i="40"/>
  <c r="I120" i="40"/>
  <c r="M125" i="40"/>
  <c r="Q126" i="40"/>
  <c r="Q131" i="40"/>
  <c r="I136" i="40"/>
  <c r="M138" i="40"/>
  <c r="I142" i="40"/>
  <c r="H154" i="40"/>
  <c r="S127" i="40"/>
  <c r="S118" i="40"/>
  <c r="K164" i="40"/>
  <c r="K134" i="40"/>
  <c r="O164" i="40"/>
  <c r="O134" i="40"/>
  <c r="S164" i="40"/>
  <c r="S134" i="40"/>
  <c r="K165" i="40"/>
  <c r="K119" i="40"/>
  <c r="K120" i="40"/>
  <c r="O165" i="40"/>
  <c r="O119" i="40"/>
  <c r="O120" i="40"/>
  <c r="S165" i="40"/>
  <c r="S119" i="40"/>
  <c r="S120" i="40"/>
  <c r="K168" i="40"/>
  <c r="K138" i="40"/>
  <c r="K131" i="40"/>
  <c r="O168" i="40"/>
  <c r="O138" i="40"/>
  <c r="O131" i="40"/>
  <c r="S168" i="40"/>
  <c r="S138" i="40"/>
  <c r="S131" i="40"/>
  <c r="J154" i="40"/>
  <c r="J142" i="40"/>
  <c r="J141" i="40"/>
  <c r="J137" i="40"/>
  <c r="J136" i="40"/>
  <c r="J112" i="40"/>
  <c r="J110" i="40"/>
  <c r="N154" i="40"/>
  <c r="N142" i="40"/>
  <c r="N141" i="40"/>
  <c r="N136" i="40"/>
  <c r="N137" i="40"/>
  <c r="N112" i="40"/>
  <c r="N110" i="40"/>
  <c r="H127" i="40"/>
  <c r="H157" i="40"/>
  <c r="H143" i="40"/>
  <c r="L157" i="40"/>
  <c r="L143" i="40"/>
  <c r="L127" i="40"/>
  <c r="L159" i="40"/>
  <c r="P127" i="40"/>
  <c r="P159" i="40"/>
  <c r="P143" i="40"/>
  <c r="I46" i="40"/>
  <c r="M46" i="40"/>
  <c r="H93" i="40"/>
  <c r="I94" i="40"/>
  <c r="L93" i="40"/>
  <c r="L94" i="40"/>
  <c r="L97" i="40"/>
  <c r="P93" i="40"/>
  <c r="Q94" i="40"/>
  <c r="Q97" i="40"/>
  <c r="I95" i="40"/>
  <c r="M95" i="40"/>
  <c r="M96" i="40"/>
  <c r="Q95" i="40"/>
  <c r="Q96" i="40"/>
  <c r="J133" i="40"/>
  <c r="J140" i="40"/>
  <c r="J145" i="40"/>
  <c r="J153" i="40"/>
  <c r="J129" i="40"/>
  <c r="H109" i="40"/>
  <c r="L109" i="40"/>
  <c r="M110" i="40"/>
  <c r="M119" i="40"/>
  <c r="M120" i="40"/>
  <c r="Q125" i="40"/>
  <c r="S167" i="39"/>
  <c r="R167" i="39"/>
  <c r="Q167" i="39"/>
  <c r="P167" i="39"/>
  <c r="O167" i="39"/>
  <c r="N167" i="39"/>
  <c r="M167" i="39"/>
  <c r="L167" i="39"/>
  <c r="K167" i="39"/>
  <c r="J167" i="39"/>
  <c r="I167" i="39"/>
  <c r="H167" i="39"/>
  <c r="S166" i="39"/>
  <c r="R166" i="39"/>
  <c r="Q166" i="39"/>
  <c r="P166" i="39"/>
  <c r="O166" i="39"/>
  <c r="N166" i="39"/>
  <c r="M166" i="39"/>
  <c r="L166" i="39"/>
  <c r="K166" i="39"/>
  <c r="J166" i="39"/>
  <c r="I166" i="39"/>
  <c r="H166" i="39"/>
  <c r="O156" i="39"/>
  <c r="N156" i="39"/>
  <c r="M156" i="39"/>
  <c r="L156" i="39"/>
  <c r="K156" i="39"/>
  <c r="J156" i="39"/>
  <c r="I156" i="39"/>
  <c r="H156" i="39"/>
  <c r="S155" i="39"/>
  <c r="R155" i="39"/>
  <c r="Q155" i="39"/>
  <c r="P155" i="39"/>
  <c r="O155" i="39"/>
  <c r="N155" i="39"/>
  <c r="M155" i="39"/>
  <c r="L155" i="39"/>
  <c r="K155" i="39"/>
  <c r="J155" i="39"/>
  <c r="I155" i="39"/>
  <c r="H155" i="39"/>
  <c r="E138" i="39"/>
  <c r="N135" i="39"/>
  <c r="M135" i="39"/>
  <c r="L135" i="39"/>
  <c r="K135" i="39"/>
  <c r="J135" i="39"/>
  <c r="I135" i="39"/>
  <c r="H135" i="39"/>
  <c r="S123" i="39"/>
  <c r="R123" i="39"/>
  <c r="Q123" i="39"/>
  <c r="P123" i="39"/>
  <c r="O123" i="39"/>
  <c r="N123" i="39"/>
  <c r="M123" i="39"/>
  <c r="L123" i="39"/>
  <c r="K123" i="39"/>
  <c r="J123" i="39"/>
  <c r="I123" i="39"/>
  <c r="H123" i="39"/>
  <c r="N118" i="39"/>
  <c r="M118" i="39"/>
  <c r="L118" i="39"/>
  <c r="K118" i="39"/>
  <c r="J118" i="39"/>
  <c r="I118" i="39"/>
  <c r="H118" i="39"/>
  <c r="N115" i="39"/>
  <c r="M115" i="39"/>
  <c r="L115" i="39"/>
  <c r="K115" i="39"/>
  <c r="J115" i="39"/>
  <c r="I115" i="39"/>
  <c r="H115" i="39"/>
  <c r="N110" i="39"/>
  <c r="N124" i="39"/>
  <c r="H105" i="39"/>
  <c r="N90" i="39"/>
  <c r="M90" i="39"/>
  <c r="L90" i="39"/>
  <c r="K90" i="39"/>
  <c r="J90" i="39"/>
  <c r="I90" i="39"/>
  <c r="N89" i="39"/>
  <c r="M89" i="39"/>
  <c r="L89" i="39"/>
  <c r="K89" i="39"/>
  <c r="J89" i="39"/>
  <c r="I89" i="39"/>
  <c r="S88" i="39"/>
  <c r="R88" i="39"/>
  <c r="Q88" i="39"/>
  <c r="P88" i="39"/>
  <c r="O88" i="39"/>
  <c r="N88" i="39"/>
  <c r="M88" i="39"/>
  <c r="L88" i="39"/>
  <c r="K88" i="39"/>
  <c r="J88" i="39"/>
  <c r="I88" i="39"/>
  <c r="N87" i="39"/>
  <c r="M87" i="39"/>
  <c r="L87" i="39"/>
  <c r="K87" i="39"/>
  <c r="J87" i="39"/>
  <c r="I87" i="39"/>
  <c r="S86" i="39"/>
  <c r="R86" i="39"/>
  <c r="Q86" i="39"/>
  <c r="P86" i="39"/>
  <c r="O86" i="39"/>
  <c r="N86" i="39"/>
  <c r="M86" i="39"/>
  <c r="L86" i="39"/>
  <c r="K86" i="39"/>
  <c r="J86" i="39"/>
  <c r="I86" i="39"/>
  <c r="H86" i="39"/>
  <c r="S71" i="39"/>
  <c r="R71" i="39"/>
  <c r="Q71" i="39"/>
  <c r="P71" i="39"/>
  <c r="O71" i="39"/>
  <c r="N71" i="39"/>
  <c r="M71" i="39"/>
  <c r="L71" i="39"/>
  <c r="K71" i="39"/>
  <c r="J71" i="39"/>
  <c r="I71" i="39"/>
  <c r="H71" i="39"/>
  <c r="H57" i="39"/>
  <c r="H73" i="39"/>
  <c r="H92" i="39"/>
  <c r="Q45" i="39"/>
  <c r="R45" i="39"/>
  <c r="S45" i="39"/>
  <c r="P45" i="39"/>
  <c r="S44" i="39"/>
  <c r="Q44" i="39"/>
  <c r="R44" i="39"/>
  <c r="R43" i="39"/>
  <c r="S43" i="39"/>
  <c r="P43" i="39"/>
  <c r="Q43" i="39"/>
  <c r="R42" i="39"/>
  <c r="S42" i="39"/>
  <c r="P42" i="39"/>
  <c r="Q42" i="39"/>
  <c r="P41" i="39"/>
  <c r="P158" i="39"/>
  <c r="O41" i="39"/>
  <c r="O158" i="39"/>
  <c r="N41" i="39"/>
  <c r="N158" i="39"/>
  <c r="M41" i="39"/>
  <c r="M158" i="39"/>
  <c r="L41" i="39"/>
  <c r="L158" i="39"/>
  <c r="K41" i="39"/>
  <c r="K158" i="39"/>
  <c r="J41" i="39"/>
  <c r="J158" i="39"/>
  <c r="I41" i="39"/>
  <c r="I158" i="39"/>
  <c r="H41" i="39"/>
  <c r="H158" i="39"/>
  <c r="Q40" i="39"/>
  <c r="R40" i="39"/>
  <c r="P40" i="39"/>
  <c r="Q38" i="39"/>
  <c r="P38" i="39"/>
  <c r="O38" i="39"/>
  <c r="N38" i="39"/>
  <c r="M38" i="39"/>
  <c r="L38" i="39"/>
  <c r="K38" i="39"/>
  <c r="J38" i="39"/>
  <c r="I38" i="39"/>
  <c r="H38" i="39"/>
  <c r="Q36" i="39"/>
  <c r="R36" i="39"/>
  <c r="P36" i="39"/>
  <c r="P33" i="39"/>
  <c r="O33" i="39"/>
  <c r="O46" i="39"/>
  <c r="N33" i="39"/>
  <c r="M33" i="39"/>
  <c r="M46" i="39"/>
  <c r="L33" i="39"/>
  <c r="K33" i="39"/>
  <c r="J33" i="39"/>
  <c r="I33" i="39"/>
  <c r="H33" i="39"/>
  <c r="I32" i="39"/>
  <c r="J32" i="39"/>
  <c r="P29" i="39"/>
  <c r="O29" i="39"/>
  <c r="O115" i="39"/>
  <c r="O28" i="39"/>
  <c r="O89" i="39"/>
  <c r="N27" i="39"/>
  <c r="M27" i="39"/>
  <c r="L27" i="39"/>
  <c r="L18" i="39"/>
  <c r="K27" i="39"/>
  <c r="J27" i="39"/>
  <c r="J138" i="39"/>
  <c r="I27" i="39"/>
  <c r="H27" i="39"/>
  <c r="H18" i="39"/>
  <c r="O21" i="39"/>
  <c r="S19" i="39"/>
  <c r="R19" i="39"/>
  <c r="Q19" i="39"/>
  <c r="P19" i="39"/>
  <c r="O19" i="39"/>
  <c r="N19" i="39"/>
  <c r="M19" i="39"/>
  <c r="L19" i="39"/>
  <c r="K19" i="39"/>
  <c r="K95" i="39"/>
  <c r="J19" i="39"/>
  <c r="J119" i="39"/>
  <c r="J120" i="39"/>
  <c r="I19" i="39"/>
  <c r="H19" i="39"/>
  <c r="M18" i="39"/>
  <c r="K18" i="39"/>
  <c r="I18" i="39"/>
  <c r="O15" i="39"/>
  <c r="P15" i="39"/>
  <c r="N10" i="39"/>
  <c r="M10" i="39"/>
  <c r="L10" i="39"/>
  <c r="K10" i="39"/>
  <c r="J10" i="39"/>
  <c r="I10" i="39"/>
  <c r="H10" i="39"/>
  <c r="P7" i="39"/>
  <c r="Q7" i="39"/>
  <c r="R7" i="39"/>
  <c r="S7" i="39"/>
  <c r="O7" i="39"/>
  <c r="O6" i="39"/>
  <c r="O5" i="39"/>
  <c r="N5" i="39"/>
  <c r="M5" i="39"/>
  <c r="L5" i="39"/>
  <c r="K5" i="39"/>
  <c r="J5" i="39"/>
  <c r="I5" i="39"/>
  <c r="H5" i="39"/>
  <c r="N4" i="39"/>
  <c r="M4" i="39"/>
  <c r="K4" i="39"/>
  <c r="J4" i="39"/>
  <c r="I4" i="39"/>
  <c r="R114" i="42"/>
  <c r="R142" i="42"/>
  <c r="R108" i="42"/>
  <c r="R18" i="42"/>
  <c r="R31" i="42"/>
  <c r="K109" i="42"/>
  <c r="K115" i="42"/>
  <c r="K119" i="42"/>
  <c r="K127" i="42"/>
  <c r="K106" i="42"/>
  <c r="S27" i="42"/>
  <c r="S94" i="42"/>
  <c r="L57" i="42"/>
  <c r="L73" i="42"/>
  <c r="L87" i="42"/>
  <c r="L95" i="42"/>
  <c r="M32" i="42"/>
  <c r="K161" i="41"/>
  <c r="K52" i="41"/>
  <c r="Q107" i="41"/>
  <c r="M51" i="41"/>
  <c r="M106" i="41"/>
  <c r="M107" i="41"/>
  <c r="Q130" i="41"/>
  <c r="Q31" i="41"/>
  <c r="Q162" i="41"/>
  <c r="Q99" i="41"/>
  <c r="Q136" i="41"/>
  <c r="Q138" i="41"/>
  <c r="J133" i="41"/>
  <c r="J140" i="41"/>
  <c r="J145" i="41"/>
  <c r="J153" i="41"/>
  <c r="J129" i="41"/>
  <c r="L105" i="41"/>
  <c r="M32" i="41"/>
  <c r="L57" i="41"/>
  <c r="L73" i="41"/>
  <c r="L92" i="41"/>
  <c r="L106" i="41"/>
  <c r="L51" i="41"/>
  <c r="I133" i="41"/>
  <c r="I140" i="41"/>
  <c r="I145" i="41"/>
  <c r="I153" i="41"/>
  <c r="I129" i="41"/>
  <c r="K122" i="41"/>
  <c r="K121" i="41"/>
  <c r="I51" i="41"/>
  <c r="I106" i="41"/>
  <c r="R162" i="41"/>
  <c r="R130" i="41"/>
  <c r="R31" i="41"/>
  <c r="R99" i="41"/>
  <c r="R100" i="41"/>
  <c r="R136" i="41"/>
  <c r="R138" i="41"/>
  <c r="S124" i="41"/>
  <c r="S111" i="41"/>
  <c r="S122" i="41"/>
  <c r="O151" i="41"/>
  <c r="O150" i="41"/>
  <c r="O149" i="41"/>
  <c r="O148" i="41"/>
  <c r="O147" i="41"/>
  <c r="O146" i="41"/>
  <c r="L162" i="41"/>
  <c r="L99" i="41"/>
  <c r="L100" i="41"/>
  <c r="L103" i="41"/>
  <c r="L31" i="41"/>
  <c r="L130" i="41"/>
  <c r="L138" i="41"/>
  <c r="L136" i="41"/>
  <c r="R103" i="41"/>
  <c r="Q134" i="41"/>
  <c r="P151" i="41"/>
  <c r="P149" i="41"/>
  <c r="P147" i="41"/>
  <c r="P150" i="41"/>
  <c r="P146" i="41"/>
  <c r="P148" i="41"/>
  <c r="N51" i="41"/>
  <c r="N106" i="41"/>
  <c r="N107" i="41"/>
  <c r="J102" i="41"/>
  <c r="J103" i="41"/>
  <c r="K102" i="41"/>
  <c r="K103" i="41"/>
  <c r="Q51" i="41"/>
  <c r="Q106" i="41"/>
  <c r="O103" i="41"/>
  <c r="L134" i="41"/>
  <c r="H162" i="41"/>
  <c r="H99" i="41"/>
  <c r="I100" i="41"/>
  <c r="I103" i="41"/>
  <c r="H130" i="41"/>
  <c r="H146" i="41"/>
  <c r="H31" i="41"/>
  <c r="H138" i="41"/>
  <c r="H136" i="41"/>
  <c r="I97" i="41"/>
  <c r="I107" i="41"/>
  <c r="P111" i="41"/>
  <c r="P124" i="41"/>
  <c r="P162" i="41"/>
  <c r="P99" i="41"/>
  <c r="P100" i="41"/>
  <c r="P103" i="41"/>
  <c r="P130" i="41"/>
  <c r="P138" i="41"/>
  <c r="P31" i="41"/>
  <c r="S151" i="41"/>
  <c r="S150" i="41"/>
  <c r="S149" i="41"/>
  <c r="S148" i="41"/>
  <c r="S147" i="41"/>
  <c r="S146" i="41"/>
  <c r="O124" i="41"/>
  <c r="O111" i="41"/>
  <c r="K96" i="41"/>
  <c r="K97" i="41"/>
  <c r="K107" i="41"/>
  <c r="L96" i="41"/>
  <c r="L97" i="41"/>
  <c r="L107" i="41"/>
  <c r="R161" i="41"/>
  <c r="R52" i="41"/>
  <c r="J107" i="41"/>
  <c r="P160" i="41"/>
  <c r="P114" i="41"/>
  <c r="P113" i="41"/>
  <c r="P48" i="41"/>
  <c r="S160" i="41"/>
  <c r="S114" i="41"/>
  <c r="S113" i="41"/>
  <c r="S48" i="41"/>
  <c r="M100" i="41"/>
  <c r="M103" i="41"/>
  <c r="K117" i="41"/>
  <c r="K109" i="41"/>
  <c r="J161" i="41"/>
  <c r="J52" i="41"/>
  <c r="J150" i="41"/>
  <c r="O160" i="41"/>
  <c r="O114" i="41"/>
  <c r="O113" i="41"/>
  <c r="O48" i="41"/>
  <c r="N100" i="41"/>
  <c r="N103" i="41"/>
  <c r="H134" i="41"/>
  <c r="H161" i="41"/>
  <c r="H52" i="41"/>
  <c r="H151" i="41"/>
  <c r="H150" i="41"/>
  <c r="H149" i="41"/>
  <c r="P147" i="40"/>
  <c r="P149" i="40"/>
  <c r="P150" i="40"/>
  <c r="P148" i="40"/>
  <c r="P146" i="40"/>
  <c r="P151" i="40"/>
  <c r="H124" i="40"/>
  <c r="H111" i="40"/>
  <c r="J97" i="40"/>
  <c r="J107" i="40"/>
  <c r="J124" i="40"/>
  <c r="J111" i="40"/>
  <c r="J151" i="40"/>
  <c r="J150" i="40"/>
  <c r="J149" i="40"/>
  <c r="J148" i="40"/>
  <c r="J147" i="40"/>
  <c r="J146" i="40"/>
  <c r="K122" i="40"/>
  <c r="K121" i="40"/>
  <c r="K94" i="40"/>
  <c r="K97" i="40"/>
  <c r="I151" i="40"/>
  <c r="I150" i="40"/>
  <c r="I148" i="40"/>
  <c r="I146" i="40"/>
  <c r="I149" i="40"/>
  <c r="I147" i="40"/>
  <c r="N96" i="40"/>
  <c r="N97" i="40"/>
  <c r="N107" i="40"/>
  <c r="K160" i="40"/>
  <c r="K114" i="40"/>
  <c r="K113" i="40"/>
  <c r="K48" i="40"/>
  <c r="O99" i="40"/>
  <c r="K99" i="40"/>
  <c r="S162" i="40"/>
  <c r="S130" i="40"/>
  <c r="S99" i="40"/>
  <c r="S31" i="40"/>
  <c r="K133" i="40"/>
  <c r="K140" i="40"/>
  <c r="K145" i="40"/>
  <c r="K153" i="40"/>
  <c r="K129" i="40"/>
  <c r="I162" i="40"/>
  <c r="I130" i="40"/>
  <c r="I99" i="40"/>
  <c r="I31" i="40"/>
  <c r="R96" i="40"/>
  <c r="R99" i="40"/>
  <c r="R100" i="40"/>
  <c r="R103" i="40"/>
  <c r="Q155" i="40"/>
  <c r="R35" i="40"/>
  <c r="Q33" i="40"/>
  <c r="L99" i="40"/>
  <c r="L100" i="40"/>
  <c r="P122" i="40"/>
  <c r="P121" i="40"/>
  <c r="N117" i="40"/>
  <c r="N109" i="40"/>
  <c r="R97" i="40"/>
  <c r="M121" i="40"/>
  <c r="M122" i="40"/>
  <c r="I96" i="40"/>
  <c r="I97" i="40"/>
  <c r="M160" i="40"/>
  <c r="M114" i="40"/>
  <c r="M48" i="40"/>
  <c r="M113" i="40"/>
  <c r="N124" i="40"/>
  <c r="N111" i="40"/>
  <c r="N151" i="40"/>
  <c r="N150" i="40"/>
  <c r="N149" i="40"/>
  <c r="N148" i="40"/>
  <c r="N147" i="40"/>
  <c r="N146" i="40"/>
  <c r="I122" i="40"/>
  <c r="I121" i="40"/>
  <c r="P114" i="40"/>
  <c r="P113" i="40"/>
  <c r="P160" i="40"/>
  <c r="P48" i="40"/>
  <c r="N122" i="40"/>
  <c r="N121" i="40"/>
  <c r="L124" i="40"/>
  <c r="L111" i="40"/>
  <c r="N161" i="40"/>
  <c r="N52" i="40"/>
  <c r="O160" i="40"/>
  <c r="O114" i="40"/>
  <c r="O113" i="40"/>
  <c r="O48" i="40"/>
  <c r="K124" i="40"/>
  <c r="K111" i="40"/>
  <c r="K151" i="40"/>
  <c r="K150" i="40"/>
  <c r="K149" i="40"/>
  <c r="K148" i="40"/>
  <c r="K147" i="40"/>
  <c r="K146" i="40"/>
  <c r="P103" i="40"/>
  <c r="L103" i="40"/>
  <c r="L122" i="40"/>
  <c r="L121" i="40"/>
  <c r="H122" i="40"/>
  <c r="H121" i="40"/>
  <c r="Q102" i="40"/>
  <c r="O57" i="40"/>
  <c r="O73" i="40"/>
  <c r="O92" i="40"/>
  <c r="P32" i="40"/>
  <c r="O105" i="40"/>
  <c r="S94" i="40"/>
  <c r="S97" i="40"/>
  <c r="N162" i="40"/>
  <c r="N130" i="40"/>
  <c r="N99" i="40"/>
  <c r="N100" i="40"/>
  <c r="N103" i="40"/>
  <c r="N31" i="40"/>
  <c r="M102" i="40"/>
  <c r="M100" i="40"/>
  <c r="H160" i="40"/>
  <c r="H114" i="40"/>
  <c r="H113" i="40"/>
  <c r="H48" i="40"/>
  <c r="H51" i="40"/>
  <c r="J122" i="40"/>
  <c r="J121" i="40"/>
  <c r="L151" i="40"/>
  <c r="L148" i="40"/>
  <c r="L146" i="40"/>
  <c r="L149" i="40"/>
  <c r="L147" i="40"/>
  <c r="L150" i="40"/>
  <c r="M124" i="40"/>
  <c r="M111" i="40"/>
  <c r="P94" i="40"/>
  <c r="P97" i="40"/>
  <c r="I160" i="40"/>
  <c r="I113" i="40"/>
  <c r="I48" i="40"/>
  <c r="I114" i="40"/>
  <c r="O122" i="40"/>
  <c r="O121" i="40"/>
  <c r="I124" i="40"/>
  <c r="I111" i="40"/>
  <c r="L114" i="40"/>
  <c r="L113" i="40"/>
  <c r="L160" i="40"/>
  <c r="L48" i="40"/>
  <c r="P124" i="40"/>
  <c r="P111" i="40"/>
  <c r="H150" i="40"/>
  <c r="H149" i="40"/>
  <c r="H147" i="40"/>
  <c r="H151" i="40"/>
  <c r="H148" i="40"/>
  <c r="H146" i="40"/>
  <c r="J106" i="40"/>
  <c r="J51" i="40"/>
  <c r="O124" i="40"/>
  <c r="O111" i="40"/>
  <c r="O151" i="40"/>
  <c r="O150" i="40"/>
  <c r="O149" i="40"/>
  <c r="O148" i="40"/>
  <c r="O147" i="40"/>
  <c r="O146" i="40"/>
  <c r="P162" i="40"/>
  <c r="P130" i="40"/>
  <c r="P99" i="40"/>
  <c r="P100" i="40"/>
  <c r="P31" i="40"/>
  <c r="H99" i="40"/>
  <c r="J162" i="40"/>
  <c r="J130" i="40"/>
  <c r="J99" i="40"/>
  <c r="J31" i="40"/>
  <c r="M94" i="40"/>
  <c r="M97" i="40"/>
  <c r="S133" i="40"/>
  <c r="S140" i="40"/>
  <c r="S145" i="40"/>
  <c r="S153" i="40"/>
  <c r="S129" i="40"/>
  <c r="S40" i="39"/>
  <c r="S38" i="39"/>
  <c r="R38" i="39"/>
  <c r="K96" i="39"/>
  <c r="J57" i="39"/>
  <c r="J73" i="39"/>
  <c r="J92" i="39"/>
  <c r="J105" i="39"/>
  <c r="K32" i="39"/>
  <c r="O160" i="39"/>
  <c r="O114" i="39"/>
  <c r="O113" i="39"/>
  <c r="O48" i="39"/>
  <c r="J121" i="39"/>
  <c r="O163" i="39"/>
  <c r="O126" i="39"/>
  <c r="O125" i="39"/>
  <c r="O93" i="39"/>
  <c r="R156" i="39"/>
  <c r="S36" i="39"/>
  <c r="R33" i="39"/>
  <c r="R142" i="39"/>
  <c r="P135" i="39"/>
  <c r="Q15" i="39"/>
  <c r="P87" i="39"/>
  <c r="P10" i="39"/>
  <c r="M160" i="39"/>
  <c r="M114" i="39"/>
  <c r="M113" i="39"/>
  <c r="M48" i="39"/>
  <c r="N162" i="39"/>
  <c r="N163" i="39"/>
  <c r="N126" i="39"/>
  <c r="O165" i="39"/>
  <c r="O119" i="39"/>
  <c r="N168" i="39"/>
  <c r="N138" i="39"/>
  <c r="N131" i="39"/>
  <c r="P115" i="39"/>
  <c r="P90" i="39"/>
  <c r="I154" i="39"/>
  <c r="I142" i="39"/>
  <c r="I141" i="39"/>
  <c r="I136" i="39"/>
  <c r="I112" i="39"/>
  <c r="I110" i="39"/>
  <c r="I137" i="39"/>
  <c r="Q33" i="39"/>
  <c r="M159" i="39"/>
  <c r="M157" i="39"/>
  <c r="M143" i="39"/>
  <c r="M127" i="39"/>
  <c r="R41" i="39"/>
  <c r="R158" i="39"/>
  <c r="N101" i="39"/>
  <c r="K162" i="39"/>
  <c r="K130" i="39"/>
  <c r="K163" i="39"/>
  <c r="K126" i="39"/>
  <c r="K125" i="39"/>
  <c r="K93" i="39"/>
  <c r="I164" i="39"/>
  <c r="I134" i="39"/>
  <c r="M164" i="39"/>
  <c r="M134" i="39"/>
  <c r="H165" i="39"/>
  <c r="H119" i="39"/>
  <c r="H120" i="39"/>
  <c r="H95" i="39"/>
  <c r="L165" i="39"/>
  <c r="L119" i="39"/>
  <c r="L120" i="39"/>
  <c r="L95" i="39"/>
  <c r="L96" i="39"/>
  <c r="P119" i="39"/>
  <c r="P165" i="39"/>
  <c r="P95" i="39"/>
  <c r="P96" i="39"/>
  <c r="K168" i="39"/>
  <c r="K138" i="39"/>
  <c r="K131" i="39"/>
  <c r="K101" i="39"/>
  <c r="K102" i="39"/>
  <c r="O27" i="39"/>
  <c r="Q29" i="39"/>
  <c r="I31" i="39"/>
  <c r="M31" i="39"/>
  <c r="J137" i="39"/>
  <c r="J136" i="39"/>
  <c r="J154" i="39"/>
  <c r="J142" i="39"/>
  <c r="J141" i="39"/>
  <c r="J46" i="39"/>
  <c r="N137" i="39"/>
  <c r="N136" i="39"/>
  <c r="N141" i="39"/>
  <c r="N46" i="39"/>
  <c r="N142" i="39"/>
  <c r="J159" i="39"/>
  <c r="J157" i="39"/>
  <c r="J143" i="39"/>
  <c r="J127" i="39"/>
  <c r="N143" i="39"/>
  <c r="N157" i="39"/>
  <c r="N127" i="39"/>
  <c r="N159" i="39"/>
  <c r="Q41" i="39"/>
  <c r="Q158" i="39"/>
  <c r="J112" i="39"/>
  <c r="N130" i="39"/>
  <c r="N154" i="39"/>
  <c r="J162" i="39"/>
  <c r="J130" i="39"/>
  <c r="J163" i="39"/>
  <c r="J125" i="39"/>
  <c r="J126" i="39"/>
  <c r="L164" i="39"/>
  <c r="S165" i="39"/>
  <c r="S119" i="39"/>
  <c r="I57" i="39"/>
  <c r="I73" i="39"/>
  <c r="I92" i="39"/>
  <c r="I105" i="39"/>
  <c r="M154" i="39"/>
  <c r="M142" i="39"/>
  <c r="M141" i="39"/>
  <c r="M137" i="39"/>
  <c r="M112" i="39"/>
  <c r="M110" i="39"/>
  <c r="I159" i="39"/>
  <c r="I157" i="39"/>
  <c r="I143" i="39"/>
  <c r="I127" i="39"/>
  <c r="N93" i="39"/>
  <c r="H126" i="39"/>
  <c r="H125" i="39"/>
  <c r="H93" i="39"/>
  <c r="H163" i="39"/>
  <c r="O127" i="39"/>
  <c r="O118" i="39"/>
  <c r="N164" i="39"/>
  <c r="N134" i="39"/>
  <c r="I165" i="39"/>
  <c r="I119" i="39"/>
  <c r="I120" i="39"/>
  <c r="I95" i="39"/>
  <c r="I96" i="39"/>
  <c r="M165" i="39"/>
  <c r="M119" i="39"/>
  <c r="M120" i="39"/>
  <c r="M95" i="39"/>
  <c r="M96" i="39"/>
  <c r="H131" i="39"/>
  <c r="H168" i="39"/>
  <c r="H101" i="39"/>
  <c r="L168" i="39"/>
  <c r="L131" i="39"/>
  <c r="L101" i="39"/>
  <c r="L102" i="39"/>
  <c r="O154" i="39"/>
  <c r="O142" i="39"/>
  <c r="O141" i="39"/>
  <c r="O137" i="39"/>
  <c r="O112" i="39"/>
  <c r="O110" i="39"/>
  <c r="K159" i="39"/>
  <c r="K157" i="39"/>
  <c r="K143" i="39"/>
  <c r="K127" i="39"/>
  <c r="O159" i="39"/>
  <c r="O157" i="39"/>
  <c r="O143" i="39"/>
  <c r="S41" i="39"/>
  <c r="S158" i="39"/>
  <c r="I46" i="39"/>
  <c r="O90" i="39"/>
  <c r="O95" i="39"/>
  <c r="N112" i="39"/>
  <c r="N125" i="39"/>
  <c r="M136" i="39"/>
  <c r="H164" i="39"/>
  <c r="O135" i="39"/>
  <c r="O87" i="39"/>
  <c r="K165" i="39"/>
  <c r="K119" i="39"/>
  <c r="K120" i="39"/>
  <c r="J168" i="39"/>
  <c r="J131" i="39"/>
  <c r="Q156" i="39"/>
  <c r="Q142" i="39"/>
  <c r="Q159" i="39"/>
  <c r="H4" i="39"/>
  <c r="H134" i="39"/>
  <c r="L4" i="39"/>
  <c r="L134" i="39"/>
  <c r="L126" i="39"/>
  <c r="L125" i="39"/>
  <c r="L163" i="39"/>
  <c r="L93" i="39"/>
  <c r="L94" i="39"/>
  <c r="L97" i="39"/>
  <c r="J164" i="39"/>
  <c r="J134" i="39"/>
  <c r="Q165" i="39"/>
  <c r="Q119" i="39"/>
  <c r="Q95" i="39"/>
  <c r="K154" i="39"/>
  <c r="K142" i="39"/>
  <c r="K141" i="39"/>
  <c r="K136" i="39"/>
  <c r="K137" i="39"/>
  <c r="K112" i="39"/>
  <c r="K110" i="39"/>
  <c r="I162" i="39"/>
  <c r="I130" i="39"/>
  <c r="M162" i="39"/>
  <c r="M130" i="39"/>
  <c r="I163" i="39"/>
  <c r="I126" i="39"/>
  <c r="I125" i="39"/>
  <c r="I93" i="39"/>
  <c r="I94" i="39"/>
  <c r="I97" i="39"/>
  <c r="M163" i="39"/>
  <c r="M126" i="39"/>
  <c r="M125" i="39"/>
  <c r="M93" i="39"/>
  <c r="M94" i="39"/>
  <c r="P6" i="39"/>
  <c r="K164" i="39"/>
  <c r="K134" i="39"/>
  <c r="O10" i="39"/>
  <c r="J18" i="39"/>
  <c r="J31" i="39"/>
  <c r="N18" i="39"/>
  <c r="N31" i="39"/>
  <c r="J165" i="39"/>
  <c r="J95" i="39"/>
  <c r="J96" i="39"/>
  <c r="N165" i="39"/>
  <c r="N95" i="39"/>
  <c r="N96" i="39"/>
  <c r="N119" i="39"/>
  <c r="N120" i="39"/>
  <c r="R165" i="39"/>
  <c r="R95" i="39"/>
  <c r="R119" i="39"/>
  <c r="I168" i="39"/>
  <c r="I138" i="39"/>
  <c r="I131" i="39"/>
  <c r="I101" i="39"/>
  <c r="I102" i="39"/>
  <c r="M168" i="39"/>
  <c r="M138" i="39"/>
  <c r="M131" i="39"/>
  <c r="M101" i="39"/>
  <c r="M102" i="39"/>
  <c r="P28" i="39"/>
  <c r="K31" i="39"/>
  <c r="H137" i="39"/>
  <c r="H136" i="39"/>
  <c r="H141" i="39"/>
  <c r="H154" i="39"/>
  <c r="H142" i="39"/>
  <c r="H112" i="39"/>
  <c r="H110" i="39"/>
  <c r="H46" i="39"/>
  <c r="L137" i="39"/>
  <c r="L136" i="39"/>
  <c r="L154" i="39"/>
  <c r="L142" i="39"/>
  <c r="L141" i="39"/>
  <c r="L112" i="39"/>
  <c r="L110" i="39"/>
  <c r="L46" i="39"/>
  <c r="P137" i="39"/>
  <c r="P141" i="39"/>
  <c r="P154" i="39"/>
  <c r="P112" i="39"/>
  <c r="P110" i="39"/>
  <c r="P46" i="39"/>
  <c r="P156" i="39"/>
  <c r="P142" i="39"/>
  <c r="H143" i="39"/>
  <c r="H127" i="39"/>
  <c r="H159" i="39"/>
  <c r="H157" i="39"/>
  <c r="L159" i="39"/>
  <c r="L157" i="39"/>
  <c r="L127" i="39"/>
  <c r="L143" i="39"/>
  <c r="P143" i="39"/>
  <c r="P159" i="39"/>
  <c r="P157" i="39"/>
  <c r="K46" i="39"/>
  <c r="L91" i="39"/>
  <c r="J93" i="39"/>
  <c r="J99" i="39"/>
  <c r="S95" i="39"/>
  <c r="S96" i="39"/>
  <c r="J101" i="39"/>
  <c r="H117" i="39"/>
  <c r="H109" i="39"/>
  <c r="J110" i="39"/>
  <c r="N111" i="39"/>
  <c r="S167" i="38"/>
  <c r="R167" i="38"/>
  <c r="Q167" i="38"/>
  <c r="P167" i="38"/>
  <c r="O167" i="38"/>
  <c r="N167" i="38"/>
  <c r="M167" i="38"/>
  <c r="L167" i="38"/>
  <c r="K167" i="38"/>
  <c r="J167" i="38"/>
  <c r="I167" i="38"/>
  <c r="H167" i="38"/>
  <c r="S166" i="38"/>
  <c r="R166" i="38"/>
  <c r="Q166" i="38"/>
  <c r="P166" i="38"/>
  <c r="O166" i="38"/>
  <c r="N166" i="38"/>
  <c r="M166" i="38"/>
  <c r="L166" i="38"/>
  <c r="K166" i="38"/>
  <c r="J166" i="38"/>
  <c r="I166" i="38"/>
  <c r="H166" i="38"/>
  <c r="S156" i="38"/>
  <c r="R156" i="38"/>
  <c r="Q156" i="38"/>
  <c r="P156" i="38"/>
  <c r="O156" i="38"/>
  <c r="N156" i="38"/>
  <c r="M156" i="38"/>
  <c r="L156" i="38"/>
  <c r="K156" i="38"/>
  <c r="J156" i="38"/>
  <c r="I156" i="38"/>
  <c r="H156" i="38"/>
  <c r="S155" i="38"/>
  <c r="R155" i="38"/>
  <c r="Q155" i="38"/>
  <c r="P155" i="38"/>
  <c r="O155" i="38"/>
  <c r="N155" i="38"/>
  <c r="M155" i="38"/>
  <c r="L155" i="38"/>
  <c r="K155" i="38"/>
  <c r="J155" i="38"/>
  <c r="I155" i="38"/>
  <c r="H155" i="38"/>
  <c r="L154" i="38"/>
  <c r="P141" i="38"/>
  <c r="E138" i="38"/>
  <c r="I137" i="38"/>
  <c r="S135" i="38"/>
  <c r="R135" i="38"/>
  <c r="Q135" i="38"/>
  <c r="P135" i="38"/>
  <c r="O135" i="38"/>
  <c r="N135" i="38"/>
  <c r="M135" i="38"/>
  <c r="L135" i="38"/>
  <c r="K135" i="38"/>
  <c r="J135" i="38"/>
  <c r="I135" i="38"/>
  <c r="H135" i="38"/>
  <c r="O127" i="38"/>
  <c r="S123" i="38"/>
  <c r="R123" i="38"/>
  <c r="Q123" i="38"/>
  <c r="P123" i="38"/>
  <c r="O123" i="38"/>
  <c r="N123" i="38"/>
  <c r="M123" i="38"/>
  <c r="L123" i="38"/>
  <c r="K123" i="38"/>
  <c r="J123" i="38"/>
  <c r="I123" i="38"/>
  <c r="H123" i="38"/>
  <c r="S119" i="38"/>
  <c r="S120" i="38"/>
  <c r="S118" i="38"/>
  <c r="R118" i="38"/>
  <c r="Q118" i="38"/>
  <c r="P118" i="38"/>
  <c r="O118" i="38"/>
  <c r="N118" i="38"/>
  <c r="M118" i="38"/>
  <c r="L118" i="38"/>
  <c r="K118" i="38"/>
  <c r="J118" i="38"/>
  <c r="I118" i="38"/>
  <c r="H118" i="38"/>
  <c r="S115" i="38"/>
  <c r="R115" i="38"/>
  <c r="Q115" i="38"/>
  <c r="P115" i="38"/>
  <c r="O115" i="38"/>
  <c r="N115" i="38"/>
  <c r="M115" i="38"/>
  <c r="H115" i="38"/>
  <c r="O110" i="38"/>
  <c r="H105" i="38"/>
  <c r="N95" i="38"/>
  <c r="S90" i="38"/>
  <c r="R90" i="38"/>
  <c r="Q90" i="38"/>
  <c r="P90" i="38"/>
  <c r="O90" i="38"/>
  <c r="N90" i="38"/>
  <c r="S89" i="38"/>
  <c r="R89" i="38"/>
  <c r="Q89" i="38"/>
  <c r="P89" i="38"/>
  <c r="O89" i="38"/>
  <c r="N89" i="38"/>
  <c r="M89" i="38"/>
  <c r="L89" i="38"/>
  <c r="K89" i="38"/>
  <c r="J89" i="38"/>
  <c r="I89" i="38"/>
  <c r="S88" i="38"/>
  <c r="R88" i="38"/>
  <c r="Q88" i="38"/>
  <c r="P88" i="38"/>
  <c r="O88" i="38"/>
  <c r="N88" i="38"/>
  <c r="M88" i="38"/>
  <c r="L88" i="38"/>
  <c r="K88" i="38"/>
  <c r="J88" i="38"/>
  <c r="I88" i="38"/>
  <c r="S87" i="38"/>
  <c r="R87" i="38"/>
  <c r="Q87" i="38"/>
  <c r="P87" i="38"/>
  <c r="O87" i="38"/>
  <c r="N87" i="38"/>
  <c r="M87" i="38"/>
  <c r="L87" i="38"/>
  <c r="K87" i="38"/>
  <c r="J87" i="38"/>
  <c r="I87" i="38"/>
  <c r="S86" i="38"/>
  <c r="R86" i="38"/>
  <c r="Q86" i="38"/>
  <c r="P86" i="38"/>
  <c r="O86" i="38"/>
  <c r="N86" i="38"/>
  <c r="M86" i="38"/>
  <c r="L86" i="38"/>
  <c r="K86" i="38"/>
  <c r="J86" i="38"/>
  <c r="I86" i="38"/>
  <c r="H86" i="38"/>
  <c r="S71" i="38"/>
  <c r="R71" i="38"/>
  <c r="Q71" i="38"/>
  <c r="P71" i="38"/>
  <c r="O71" i="38"/>
  <c r="N71" i="38"/>
  <c r="M71" i="38"/>
  <c r="L71" i="38"/>
  <c r="K71" i="38"/>
  <c r="J71" i="38"/>
  <c r="I71" i="38"/>
  <c r="H71" i="38"/>
  <c r="H57" i="38"/>
  <c r="H73" i="38"/>
  <c r="H92" i="38"/>
  <c r="N46" i="38"/>
  <c r="S41" i="38"/>
  <c r="S158" i="38"/>
  <c r="R41" i="38"/>
  <c r="R158" i="38"/>
  <c r="Q41" i="38"/>
  <c r="Q158" i="38"/>
  <c r="P41" i="38"/>
  <c r="P158" i="38"/>
  <c r="O41" i="38"/>
  <c r="O158" i="38"/>
  <c r="N41" i="38"/>
  <c r="N158" i="38"/>
  <c r="M41" i="38"/>
  <c r="M158" i="38"/>
  <c r="L41" i="38"/>
  <c r="L158" i="38"/>
  <c r="K41" i="38"/>
  <c r="K158" i="38"/>
  <c r="J41" i="38"/>
  <c r="J158" i="38"/>
  <c r="I41" i="38"/>
  <c r="I158" i="38"/>
  <c r="H41" i="38"/>
  <c r="H158" i="38"/>
  <c r="S38" i="38"/>
  <c r="R38" i="38"/>
  <c r="Q38" i="38"/>
  <c r="P38" i="38"/>
  <c r="P157" i="38"/>
  <c r="O38" i="38"/>
  <c r="N38" i="38"/>
  <c r="M38" i="38"/>
  <c r="L38" i="38"/>
  <c r="K38" i="38"/>
  <c r="J38" i="38"/>
  <c r="I38" i="38"/>
  <c r="H38" i="38"/>
  <c r="H143" i="38"/>
  <c r="S33" i="38"/>
  <c r="R33" i="38"/>
  <c r="Q33" i="38"/>
  <c r="P33" i="38"/>
  <c r="O33" i="38"/>
  <c r="N33" i="38"/>
  <c r="M33" i="38"/>
  <c r="L33" i="38"/>
  <c r="K33" i="38"/>
  <c r="J33" i="38"/>
  <c r="I33" i="38"/>
  <c r="H33" i="38"/>
  <c r="J32" i="38"/>
  <c r="I32" i="38"/>
  <c r="I105" i="38"/>
  <c r="J29" i="38"/>
  <c r="I29" i="38"/>
  <c r="I115" i="38"/>
  <c r="S27" i="38"/>
  <c r="R27" i="38"/>
  <c r="Q27" i="38"/>
  <c r="P27" i="38"/>
  <c r="O27" i="38"/>
  <c r="O131" i="38"/>
  <c r="N27" i="38"/>
  <c r="M27" i="38"/>
  <c r="M101" i="38"/>
  <c r="I27" i="38"/>
  <c r="I101" i="38"/>
  <c r="H27" i="38"/>
  <c r="H21" i="38"/>
  <c r="S19" i="38"/>
  <c r="S165" i="38"/>
  <c r="R19" i="38"/>
  <c r="R95" i="38"/>
  <c r="Q19" i="38"/>
  <c r="P19" i="38"/>
  <c r="P119" i="38"/>
  <c r="P120" i="38"/>
  <c r="O19" i="38"/>
  <c r="O165" i="38"/>
  <c r="N19" i="38"/>
  <c r="M19" i="38"/>
  <c r="L19" i="38"/>
  <c r="K19" i="38"/>
  <c r="K165" i="38"/>
  <c r="J19" i="38"/>
  <c r="I19" i="38"/>
  <c r="H19" i="38"/>
  <c r="S18" i="38"/>
  <c r="R18" i="38"/>
  <c r="P18" i="38"/>
  <c r="O18" i="38"/>
  <c r="N18" i="38"/>
  <c r="I18" i="38"/>
  <c r="H18" i="38"/>
  <c r="S10" i="38"/>
  <c r="R10" i="38"/>
  <c r="Q10" i="38"/>
  <c r="P10" i="38"/>
  <c r="O10" i="38"/>
  <c r="N10" i="38"/>
  <c r="M10" i="38"/>
  <c r="L10" i="38"/>
  <c r="K10" i="38"/>
  <c r="J10" i="38"/>
  <c r="I10" i="38"/>
  <c r="H10" i="38"/>
  <c r="S5" i="38"/>
  <c r="R5" i="38"/>
  <c r="Q5" i="38"/>
  <c r="P5" i="38"/>
  <c r="O5" i="38"/>
  <c r="N5" i="38"/>
  <c r="M5" i="38"/>
  <c r="L5" i="38"/>
  <c r="K5" i="38"/>
  <c r="J5" i="38"/>
  <c r="I5" i="38"/>
  <c r="I93" i="38"/>
  <c r="H5" i="38"/>
  <c r="S4" i="38"/>
  <c r="R4" i="38"/>
  <c r="Q4" i="38"/>
  <c r="P4" i="38"/>
  <c r="O4" i="38"/>
  <c r="N4" i="38"/>
  <c r="M4" i="38"/>
  <c r="L4" i="38"/>
  <c r="K4" i="38"/>
  <c r="J4" i="38"/>
  <c r="I4" i="38"/>
  <c r="I31" i="38"/>
  <c r="H4" i="38"/>
  <c r="L109" i="42"/>
  <c r="L115" i="42"/>
  <c r="L119" i="42"/>
  <c r="L127" i="42"/>
  <c r="L106" i="42"/>
  <c r="M87" i="42"/>
  <c r="M95" i="42"/>
  <c r="M57" i="42"/>
  <c r="M73" i="42"/>
  <c r="S142" i="42"/>
  <c r="S108" i="42"/>
  <c r="S114" i="42"/>
  <c r="S18" i="42"/>
  <c r="S31" i="42"/>
  <c r="M105" i="41"/>
  <c r="N32" i="41"/>
  <c r="M57" i="41"/>
  <c r="M73" i="41"/>
  <c r="M92" i="41"/>
  <c r="S106" i="41"/>
  <c r="S107" i="41"/>
  <c r="S51" i="41"/>
  <c r="P106" i="41"/>
  <c r="P107" i="41"/>
  <c r="P51" i="41"/>
  <c r="L109" i="41"/>
  <c r="L117" i="41"/>
  <c r="Q161" i="41"/>
  <c r="Q52" i="41"/>
  <c r="N161" i="41"/>
  <c r="N52" i="41"/>
  <c r="S100" i="41"/>
  <c r="S103" i="41"/>
  <c r="Q100" i="41"/>
  <c r="Q103" i="41"/>
  <c r="L161" i="41"/>
  <c r="L52" i="41"/>
  <c r="O106" i="41"/>
  <c r="O107" i="41"/>
  <c r="O51" i="41"/>
  <c r="K133" i="41"/>
  <c r="K140" i="41"/>
  <c r="K145" i="41"/>
  <c r="K153" i="41"/>
  <c r="K129" i="41"/>
  <c r="I161" i="41"/>
  <c r="I52" i="41"/>
  <c r="I151" i="41"/>
  <c r="I149" i="41"/>
  <c r="I150" i="41"/>
  <c r="M52" i="41"/>
  <c r="M161" i="41"/>
  <c r="P57" i="40"/>
  <c r="P73" i="40"/>
  <c r="P92" i="40"/>
  <c r="Q32" i="40"/>
  <c r="P105" i="40"/>
  <c r="I100" i="40"/>
  <c r="I103" i="40"/>
  <c r="J100" i="40"/>
  <c r="J103" i="40"/>
  <c r="J161" i="40"/>
  <c r="J52" i="40"/>
  <c r="M103" i="40"/>
  <c r="O106" i="40"/>
  <c r="O107" i="40"/>
  <c r="O51" i="40"/>
  <c r="Q154" i="40"/>
  <c r="Q137" i="40"/>
  <c r="Q136" i="40"/>
  <c r="Q46" i="40"/>
  <c r="Q112" i="40"/>
  <c r="Q110" i="40"/>
  <c r="Q121" i="40"/>
  <c r="Q142" i="40"/>
  <c r="H161" i="40"/>
  <c r="H52" i="40"/>
  <c r="Q103" i="40"/>
  <c r="M51" i="40"/>
  <c r="M106" i="40"/>
  <c r="R155" i="40"/>
  <c r="R141" i="40"/>
  <c r="R33" i="40"/>
  <c r="S35" i="40"/>
  <c r="K100" i="40"/>
  <c r="K103" i="40"/>
  <c r="I51" i="40"/>
  <c r="I106" i="40"/>
  <c r="I107" i="40"/>
  <c r="K106" i="40"/>
  <c r="K51" i="40"/>
  <c r="M107" i="40"/>
  <c r="L51" i="40"/>
  <c r="L106" i="40"/>
  <c r="L107" i="40"/>
  <c r="O117" i="40"/>
  <c r="O109" i="40"/>
  <c r="P51" i="40"/>
  <c r="P106" i="40"/>
  <c r="P107" i="40"/>
  <c r="N133" i="40"/>
  <c r="N140" i="40"/>
  <c r="N145" i="40"/>
  <c r="N153" i="40"/>
  <c r="N129" i="40"/>
  <c r="Q141" i="40"/>
  <c r="Q100" i="40"/>
  <c r="S100" i="40"/>
  <c r="S103" i="40"/>
  <c r="O100" i="40"/>
  <c r="O103" i="40"/>
  <c r="K107" i="40"/>
  <c r="I122" i="39"/>
  <c r="I121" i="39"/>
  <c r="L122" i="39"/>
  <c r="L121" i="39"/>
  <c r="N102" i="39"/>
  <c r="N103" i="39"/>
  <c r="I124" i="39"/>
  <c r="I111" i="39"/>
  <c r="Q135" i="39"/>
  <c r="Q87" i="39"/>
  <c r="R15" i="39"/>
  <c r="Q10" i="39"/>
  <c r="J102" i="39"/>
  <c r="K160" i="39"/>
  <c r="K114" i="39"/>
  <c r="K113" i="39"/>
  <c r="K48" i="39"/>
  <c r="L151" i="39"/>
  <c r="L149" i="39"/>
  <c r="L147" i="39"/>
  <c r="L150" i="39"/>
  <c r="L148" i="39"/>
  <c r="L146" i="39"/>
  <c r="R96" i="39"/>
  <c r="P127" i="39"/>
  <c r="P118" i="39"/>
  <c r="P120" i="39"/>
  <c r="P5" i="39"/>
  <c r="Q6" i="39"/>
  <c r="Q143" i="39"/>
  <c r="O96" i="39"/>
  <c r="L138" i="39"/>
  <c r="M122" i="39"/>
  <c r="M121" i="39"/>
  <c r="I117" i="39"/>
  <c r="I109" i="39"/>
  <c r="K94" i="39"/>
  <c r="K97" i="39"/>
  <c r="K99" i="39"/>
  <c r="K100" i="39"/>
  <c r="M106" i="39"/>
  <c r="M51" i="39"/>
  <c r="M99" i="39"/>
  <c r="O106" i="39"/>
  <c r="O51" i="39"/>
  <c r="K105" i="39"/>
  <c r="L32" i="39"/>
  <c r="K57" i="39"/>
  <c r="K73" i="39"/>
  <c r="K92" i="39"/>
  <c r="R159" i="39"/>
  <c r="R157" i="39"/>
  <c r="R143" i="39"/>
  <c r="H133" i="39"/>
  <c r="H140" i="39"/>
  <c r="H145" i="39"/>
  <c r="H153" i="39"/>
  <c r="H129" i="39"/>
  <c r="P124" i="39"/>
  <c r="P111" i="39"/>
  <c r="H130" i="39"/>
  <c r="H162" i="39"/>
  <c r="H99" i="39"/>
  <c r="H31" i="39"/>
  <c r="K103" i="39"/>
  <c r="O164" i="39"/>
  <c r="M97" i="39"/>
  <c r="K124" i="39"/>
  <c r="K111" i="39"/>
  <c r="K151" i="39"/>
  <c r="K150" i="39"/>
  <c r="K149" i="39"/>
  <c r="K148" i="39"/>
  <c r="K147" i="39"/>
  <c r="K146" i="39"/>
  <c r="Q96" i="39"/>
  <c r="Q157" i="39"/>
  <c r="N94" i="39"/>
  <c r="N97" i="39"/>
  <c r="M151" i="39"/>
  <c r="M150" i="39"/>
  <c r="M149" i="39"/>
  <c r="M148" i="39"/>
  <c r="M147" i="39"/>
  <c r="M146" i="39"/>
  <c r="N160" i="39"/>
  <c r="N114" i="39"/>
  <c r="N48" i="39"/>
  <c r="N113" i="39"/>
  <c r="J113" i="39"/>
  <c r="J48" i="39"/>
  <c r="J160" i="39"/>
  <c r="J114" i="39"/>
  <c r="Q115" i="39"/>
  <c r="Q90" i="39"/>
  <c r="R29" i="39"/>
  <c r="Q154" i="39"/>
  <c r="Q141" i="39"/>
  <c r="Q112" i="39"/>
  <c r="Q110" i="39"/>
  <c r="Q137" i="39"/>
  <c r="Q46" i="39"/>
  <c r="P164" i="39"/>
  <c r="R137" i="39"/>
  <c r="R154" i="39"/>
  <c r="R46" i="39"/>
  <c r="R112" i="39"/>
  <c r="R141" i="39"/>
  <c r="R110" i="39"/>
  <c r="O4" i="39"/>
  <c r="J117" i="39"/>
  <c r="J109" i="39"/>
  <c r="S159" i="39"/>
  <c r="S157" i="39"/>
  <c r="S143" i="39"/>
  <c r="K122" i="39"/>
  <c r="K121" i="39"/>
  <c r="O124" i="39"/>
  <c r="O111" i="39"/>
  <c r="O151" i="39"/>
  <c r="O150" i="39"/>
  <c r="O149" i="39"/>
  <c r="O148" i="39"/>
  <c r="O147" i="39"/>
  <c r="O146" i="39"/>
  <c r="J111" i="39"/>
  <c r="J124" i="39"/>
  <c r="L160" i="39"/>
  <c r="L114" i="39"/>
  <c r="L48" i="39"/>
  <c r="L113" i="39"/>
  <c r="H160" i="39"/>
  <c r="H113" i="39"/>
  <c r="H48" i="39"/>
  <c r="H51" i="39"/>
  <c r="H114" i="39"/>
  <c r="J94" i="39"/>
  <c r="J97" i="39"/>
  <c r="P160" i="39"/>
  <c r="P114" i="39"/>
  <c r="P113" i="39"/>
  <c r="P48" i="39"/>
  <c r="P150" i="39"/>
  <c r="P148" i="39"/>
  <c r="P146" i="39"/>
  <c r="P151" i="39"/>
  <c r="P149" i="39"/>
  <c r="P147" i="39"/>
  <c r="L124" i="39"/>
  <c r="L111" i="39"/>
  <c r="H124" i="39"/>
  <c r="H111" i="39"/>
  <c r="H150" i="39"/>
  <c r="H148" i="39"/>
  <c r="H146" i="39"/>
  <c r="H151" i="39"/>
  <c r="H149" i="39"/>
  <c r="H147" i="39"/>
  <c r="P89" i="39"/>
  <c r="Q28" i="39"/>
  <c r="P27" i="39"/>
  <c r="N121" i="39"/>
  <c r="N122" i="39"/>
  <c r="L162" i="39"/>
  <c r="L130" i="39"/>
  <c r="L99" i="39"/>
  <c r="L100" i="39"/>
  <c r="L103" i="39"/>
  <c r="L31" i="39"/>
  <c r="I160" i="39"/>
  <c r="I114" i="39"/>
  <c r="I113" i="39"/>
  <c r="I48" i="39"/>
  <c r="H138" i="39"/>
  <c r="M124" i="39"/>
  <c r="M111" i="39"/>
  <c r="N150" i="39"/>
  <c r="N148" i="39"/>
  <c r="N146" i="39"/>
  <c r="N147" i="39"/>
  <c r="N149" i="39"/>
  <c r="N151" i="39"/>
  <c r="J151" i="39"/>
  <c r="J149" i="39"/>
  <c r="J147" i="39"/>
  <c r="J150" i="39"/>
  <c r="J146" i="39"/>
  <c r="J148" i="39"/>
  <c r="O168" i="39"/>
  <c r="O138" i="39"/>
  <c r="O131" i="39"/>
  <c r="O101" i="39"/>
  <c r="O102" i="39"/>
  <c r="O18" i="39"/>
  <c r="H122" i="39"/>
  <c r="H121" i="39"/>
  <c r="I151" i="39"/>
  <c r="I150" i="39"/>
  <c r="I149" i="39"/>
  <c r="I148" i="39"/>
  <c r="I147" i="39"/>
  <c r="I146" i="39"/>
  <c r="O120" i="39"/>
  <c r="N99" i="39"/>
  <c r="N100" i="39"/>
  <c r="S156" i="39"/>
  <c r="S33" i="39"/>
  <c r="O94" i="39"/>
  <c r="J122" i="39"/>
  <c r="I99" i="39"/>
  <c r="I100" i="39"/>
  <c r="I103" i="39"/>
  <c r="I102" i="38"/>
  <c r="M162" i="38"/>
  <c r="M130" i="38"/>
  <c r="M99" i="38"/>
  <c r="M163" i="38"/>
  <c r="M126" i="38"/>
  <c r="M125" i="38"/>
  <c r="M164" i="38"/>
  <c r="M134" i="38"/>
  <c r="J105" i="38"/>
  <c r="K32" i="38"/>
  <c r="J162" i="38"/>
  <c r="J130" i="38"/>
  <c r="R162" i="38"/>
  <c r="R130" i="38"/>
  <c r="R31" i="38"/>
  <c r="N163" i="38"/>
  <c r="N126" i="38"/>
  <c r="N125" i="38"/>
  <c r="N93" i="38"/>
  <c r="J164" i="38"/>
  <c r="J134" i="38"/>
  <c r="J154" i="38"/>
  <c r="J142" i="38"/>
  <c r="J141" i="38"/>
  <c r="J137" i="38"/>
  <c r="J136" i="38"/>
  <c r="J112" i="38"/>
  <c r="J110" i="38"/>
  <c r="N154" i="38"/>
  <c r="N142" i="38"/>
  <c r="N141" i="38"/>
  <c r="N137" i="38"/>
  <c r="N136" i="38"/>
  <c r="N112" i="38"/>
  <c r="N110" i="38"/>
  <c r="R154" i="38"/>
  <c r="R142" i="38"/>
  <c r="R141" i="38"/>
  <c r="R137" i="38"/>
  <c r="R136" i="38"/>
  <c r="R112" i="38"/>
  <c r="R110" i="38"/>
  <c r="J159" i="38"/>
  <c r="J157" i="38"/>
  <c r="J143" i="38"/>
  <c r="J127" i="38"/>
  <c r="N159" i="38"/>
  <c r="N157" i="38"/>
  <c r="N143" i="38"/>
  <c r="N127" i="38"/>
  <c r="R159" i="38"/>
  <c r="R157" i="38"/>
  <c r="R143" i="38"/>
  <c r="R127" i="38"/>
  <c r="R46" i="38"/>
  <c r="O124" i="38"/>
  <c r="O111" i="38"/>
  <c r="Q162" i="38"/>
  <c r="Q130" i="38"/>
  <c r="Q163" i="38"/>
  <c r="Q126" i="38"/>
  <c r="Q125" i="38"/>
  <c r="N160" i="38"/>
  <c r="N114" i="38"/>
  <c r="N113" i="38"/>
  <c r="J57" i="38"/>
  <c r="J73" i="38"/>
  <c r="J92" i="38"/>
  <c r="P151" i="38"/>
  <c r="P147" i="38"/>
  <c r="P148" i="38"/>
  <c r="P149" i="38"/>
  <c r="P146" i="38"/>
  <c r="P150" i="38"/>
  <c r="N162" i="38"/>
  <c r="N130" i="38"/>
  <c r="N99" i="38"/>
  <c r="N31" i="38"/>
  <c r="J163" i="38"/>
  <c r="J126" i="38"/>
  <c r="J125" i="38"/>
  <c r="J93" i="38"/>
  <c r="J94" i="38"/>
  <c r="R163" i="38"/>
  <c r="R126" i="38"/>
  <c r="R125" i="38"/>
  <c r="R93" i="38"/>
  <c r="N164" i="38"/>
  <c r="N134" i="38"/>
  <c r="R164" i="38"/>
  <c r="R134" i="38"/>
  <c r="H138" i="38"/>
  <c r="K162" i="38"/>
  <c r="K130" i="38"/>
  <c r="O162" i="38"/>
  <c r="O130" i="38"/>
  <c r="O31" i="38"/>
  <c r="S162" i="38"/>
  <c r="S130" i="38"/>
  <c r="S31" i="38"/>
  <c r="K163" i="38"/>
  <c r="K93" i="38"/>
  <c r="K94" i="38"/>
  <c r="K125" i="38"/>
  <c r="O163" i="38"/>
  <c r="O125" i="38"/>
  <c r="O93" i="38"/>
  <c r="O94" i="38"/>
  <c r="O126" i="38"/>
  <c r="S163" i="38"/>
  <c r="S125" i="38"/>
  <c r="S126" i="38"/>
  <c r="S93" i="38"/>
  <c r="S94" i="38"/>
  <c r="M18" i="38"/>
  <c r="M31" i="38"/>
  <c r="J165" i="38"/>
  <c r="J119" i="38"/>
  <c r="J120" i="38"/>
  <c r="N165" i="38"/>
  <c r="N119" i="38"/>
  <c r="N120" i="38"/>
  <c r="R165" i="38"/>
  <c r="R119" i="38"/>
  <c r="R120" i="38"/>
  <c r="I168" i="38"/>
  <c r="I138" i="38"/>
  <c r="I131" i="38"/>
  <c r="M93" i="38"/>
  <c r="S121" i="38"/>
  <c r="K126" i="38"/>
  <c r="I162" i="38"/>
  <c r="I130" i="38"/>
  <c r="I99" i="38"/>
  <c r="I163" i="38"/>
  <c r="I126" i="38"/>
  <c r="I125" i="38"/>
  <c r="I164" i="38"/>
  <c r="I134" i="38"/>
  <c r="Q164" i="38"/>
  <c r="Q134" i="38"/>
  <c r="H162" i="38"/>
  <c r="H130" i="38"/>
  <c r="H31" i="38"/>
  <c r="L162" i="38"/>
  <c r="L130" i="38"/>
  <c r="P162" i="38"/>
  <c r="P130" i="38"/>
  <c r="P31" i="38"/>
  <c r="H126" i="38"/>
  <c r="H125" i="38"/>
  <c r="H93" i="38"/>
  <c r="H99" i="38"/>
  <c r="H163" i="38"/>
  <c r="L163" i="38"/>
  <c r="L126" i="38"/>
  <c r="L125" i="38"/>
  <c r="L93" i="38"/>
  <c r="P163" i="38"/>
  <c r="P126" i="38"/>
  <c r="P125" i="38"/>
  <c r="P93" i="38"/>
  <c r="P94" i="38"/>
  <c r="H134" i="38"/>
  <c r="H164" i="38"/>
  <c r="L134" i="38"/>
  <c r="L164" i="38"/>
  <c r="P134" i="38"/>
  <c r="P164" i="38"/>
  <c r="M168" i="38"/>
  <c r="M138" i="38"/>
  <c r="M131" i="38"/>
  <c r="Q168" i="38"/>
  <c r="Q138" i="38"/>
  <c r="Q131" i="38"/>
  <c r="Q18" i="38"/>
  <c r="Q31" i="38"/>
  <c r="J115" i="38"/>
  <c r="K29" i="38"/>
  <c r="J27" i="38"/>
  <c r="I117" i="38"/>
  <c r="I109" i="38"/>
  <c r="J46" i="38"/>
  <c r="N48" i="38"/>
  <c r="J90" i="38"/>
  <c r="Q93" i="38"/>
  <c r="Q94" i="38"/>
  <c r="J95" i="38"/>
  <c r="J96" i="38"/>
  <c r="Q101" i="38"/>
  <c r="K164" i="38"/>
  <c r="K134" i="38"/>
  <c r="O164" i="38"/>
  <c r="O134" i="38"/>
  <c r="S164" i="38"/>
  <c r="S134" i="38"/>
  <c r="N168" i="38"/>
  <c r="N138" i="38"/>
  <c r="N131" i="38"/>
  <c r="R168" i="38"/>
  <c r="R138" i="38"/>
  <c r="R131" i="38"/>
  <c r="K154" i="38"/>
  <c r="K142" i="38"/>
  <c r="K141" i="38"/>
  <c r="K137" i="38"/>
  <c r="K136" i="38"/>
  <c r="O154" i="38"/>
  <c r="O142" i="38"/>
  <c r="O141" i="38"/>
  <c r="O137" i="38"/>
  <c r="O136" i="38"/>
  <c r="S154" i="38"/>
  <c r="S142" i="38"/>
  <c r="S141" i="38"/>
  <c r="S137" i="38"/>
  <c r="S136" i="38"/>
  <c r="K159" i="38"/>
  <c r="K157" i="38"/>
  <c r="K143" i="38"/>
  <c r="O159" i="38"/>
  <c r="O157" i="38"/>
  <c r="O143" i="38"/>
  <c r="S159" i="38"/>
  <c r="S157" i="38"/>
  <c r="S143" i="38"/>
  <c r="K46" i="38"/>
  <c r="O46" i="38"/>
  <c r="S46" i="38"/>
  <c r="K95" i="38"/>
  <c r="O95" i="38"/>
  <c r="O96" i="38"/>
  <c r="S95" i="38"/>
  <c r="S96" i="38"/>
  <c r="N101" i="38"/>
  <c r="N102" i="38"/>
  <c r="R101" i="38"/>
  <c r="R102" i="38"/>
  <c r="S110" i="38"/>
  <c r="K112" i="38"/>
  <c r="S127" i="38"/>
  <c r="H165" i="38"/>
  <c r="H119" i="38"/>
  <c r="H120" i="38"/>
  <c r="L165" i="38"/>
  <c r="L119" i="38"/>
  <c r="L120" i="38"/>
  <c r="P121" i="38"/>
  <c r="O168" i="38"/>
  <c r="O138" i="38"/>
  <c r="S168" i="38"/>
  <c r="S138" i="38"/>
  <c r="S131" i="38"/>
  <c r="H137" i="38"/>
  <c r="H136" i="38"/>
  <c r="H154" i="38"/>
  <c r="H141" i="38"/>
  <c r="H142" i="38"/>
  <c r="H112" i="38"/>
  <c r="H110" i="38"/>
  <c r="L137" i="38"/>
  <c r="L136" i="38"/>
  <c r="L141" i="38"/>
  <c r="L142" i="38"/>
  <c r="L112" i="38"/>
  <c r="L110" i="38"/>
  <c r="P137" i="38"/>
  <c r="P136" i="38"/>
  <c r="P142" i="38"/>
  <c r="P154" i="38"/>
  <c r="P112" i="38"/>
  <c r="P110" i="38"/>
  <c r="H157" i="38"/>
  <c r="H127" i="38"/>
  <c r="L157" i="38"/>
  <c r="L159" i="38"/>
  <c r="L143" i="38"/>
  <c r="L127" i="38"/>
  <c r="P159" i="38"/>
  <c r="P143" i="38"/>
  <c r="P127" i="38"/>
  <c r="H46" i="38"/>
  <c r="L46" i="38"/>
  <c r="P46" i="38"/>
  <c r="H95" i="38"/>
  <c r="L95" i="38"/>
  <c r="L96" i="38"/>
  <c r="P95" i="38"/>
  <c r="P96" i="38"/>
  <c r="O101" i="38"/>
  <c r="O102" i="38"/>
  <c r="S101" i="38"/>
  <c r="S102" i="38"/>
  <c r="H117" i="38"/>
  <c r="H109" i="38"/>
  <c r="O112" i="38"/>
  <c r="K119" i="38"/>
  <c r="K120" i="38"/>
  <c r="H159" i="38"/>
  <c r="I165" i="38"/>
  <c r="I119" i="38"/>
  <c r="I120" i="38"/>
  <c r="M165" i="38"/>
  <c r="M119" i="38"/>
  <c r="M120" i="38"/>
  <c r="Q165" i="38"/>
  <c r="Q119" i="38"/>
  <c r="Q120" i="38"/>
  <c r="H168" i="38"/>
  <c r="H131" i="38"/>
  <c r="P168" i="38"/>
  <c r="P138" i="38"/>
  <c r="P131" i="38"/>
  <c r="I154" i="38"/>
  <c r="I142" i="38"/>
  <c r="I141" i="38"/>
  <c r="I112" i="38"/>
  <c r="I110" i="38"/>
  <c r="I136" i="38"/>
  <c r="M154" i="38"/>
  <c r="M142" i="38"/>
  <c r="M141" i="38"/>
  <c r="M136" i="38"/>
  <c r="M112" i="38"/>
  <c r="M110" i="38"/>
  <c r="M137" i="38"/>
  <c r="Q154" i="38"/>
  <c r="Q142" i="38"/>
  <c r="Q141" i="38"/>
  <c r="Q136" i="38"/>
  <c r="Q137" i="38"/>
  <c r="Q112" i="38"/>
  <c r="Q110" i="38"/>
  <c r="I159" i="38"/>
  <c r="I157" i="38"/>
  <c r="I143" i="38"/>
  <c r="I127" i="38"/>
  <c r="M159" i="38"/>
  <c r="M157" i="38"/>
  <c r="M143" i="38"/>
  <c r="M127" i="38"/>
  <c r="Q159" i="38"/>
  <c r="Q157" i="38"/>
  <c r="Q143" i="38"/>
  <c r="Q127" i="38"/>
  <c r="I46" i="38"/>
  <c r="M46" i="38"/>
  <c r="Q46" i="38"/>
  <c r="I57" i="38"/>
  <c r="I73" i="38"/>
  <c r="I92" i="38"/>
  <c r="I90" i="38"/>
  <c r="I95" i="38"/>
  <c r="M95" i="38"/>
  <c r="M96" i="38"/>
  <c r="Q95" i="38"/>
  <c r="Q96" i="38"/>
  <c r="H101" i="38"/>
  <c r="P101" i="38"/>
  <c r="P102" i="38"/>
  <c r="K110" i="38"/>
  <c r="S112" i="38"/>
  <c r="O119" i="38"/>
  <c r="O120" i="38"/>
  <c r="K127" i="38"/>
  <c r="P165" i="38"/>
  <c r="S167" i="37"/>
  <c r="R167" i="37"/>
  <c r="Q167" i="37"/>
  <c r="P167" i="37"/>
  <c r="O167" i="37"/>
  <c r="N167" i="37"/>
  <c r="M167" i="37"/>
  <c r="L167" i="37"/>
  <c r="K167" i="37"/>
  <c r="J167" i="37"/>
  <c r="I167" i="37"/>
  <c r="H167" i="37"/>
  <c r="S166" i="37"/>
  <c r="R166" i="37"/>
  <c r="Q166" i="37"/>
  <c r="P166" i="37"/>
  <c r="O166" i="37"/>
  <c r="N166" i="37"/>
  <c r="M166" i="37"/>
  <c r="L166" i="37"/>
  <c r="K166" i="37"/>
  <c r="J166" i="37"/>
  <c r="I166" i="37"/>
  <c r="H166" i="37"/>
  <c r="S156" i="37"/>
  <c r="R156" i="37"/>
  <c r="Q156" i="37"/>
  <c r="P156" i="37"/>
  <c r="O156" i="37"/>
  <c r="N156" i="37"/>
  <c r="M156" i="37"/>
  <c r="L156" i="37"/>
  <c r="K156" i="37"/>
  <c r="J156" i="37"/>
  <c r="I156" i="37"/>
  <c r="H156" i="37"/>
  <c r="S155" i="37"/>
  <c r="R155" i="37"/>
  <c r="Q155" i="37"/>
  <c r="P155" i="37"/>
  <c r="O155" i="37"/>
  <c r="N155" i="37"/>
  <c r="M155" i="37"/>
  <c r="L155" i="37"/>
  <c r="K155" i="37"/>
  <c r="J155" i="37"/>
  <c r="I155" i="37"/>
  <c r="H155" i="37"/>
  <c r="E138" i="37"/>
  <c r="S135" i="37"/>
  <c r="R135" i="37"/>
  <c r="Q135" i="37"/>
  <c r="P135" i="37"/>
  <c r="O135" i="37"/>
  <c r="N135" i="37"/>
  <c r="M135" i="37"/>
  <c r="L135" i="37"/>
  <c r="K135" i="37"/>
  <c r="J135" i="37"/>
  <c r="I135" i="37"/>
  <c r="H135" i="37"/>
  <c r="S123" i="37"/>
  <c r="R123" i="37"/>
  <c r="Q123" i="37"/>
  <c r="P123" i="37"/>
  <c r="O123" i="37"/>
  <c r="N123" i="37"/>
  <c r="M123" i="37"/>
  <c r="L123" i="37"/>
  <c r="K123" i="37"/>
  <c r="J123" i="37"/>
  <c r="I123" i="37"/>
  <c r="H123" i="37"/>
  <c r="S118" i="37"/>
  <c r="R118" i="37"/>
  <c r="Q118" i="37"/>
  <c r="P118" i="37"/>
  <c r="O118" i="37"/>
  <c r="N118" i="37"/>
  <c r="M118" i="37"/>
  <c r="L118" i="37"/>
  <c r="K118" i="37"/>
  <c r="J118" i="37"/>
  <c r="I118" i="37"/>
  <c r="H118" i="37"/>
  <c r="S115" i="37"/>
  <c r="R115" i="37"/>
  <c r="Q115" i="37"/>
  <c r="P115" i="37"/>
  <c r="O115" i="37"/>
  <c r="N115" i="37"/>
  <c r="M115" i="37"/>
  <c r="L115" i="37"/>
  <c r="K115" i="37"/>
  <c r="J115" i="37"/>
  <c r="I115" i="37"/>
  <c r="H115" i="37"/>
  <c r="H105" i="37"/>
  <c r="H117" i="37"/>
  <c r="S90" i="37"/>
  <c r="R90" i="37"/>
  <c r="Q90" i="37"/>
  <c r="P90" i="37"/>
  <c r="O90" i="37"/>
  <c r="N90" i="37"/>
  <c r="L90" i="37"/>
  <c r="L91" i="37"/>
  <c r="K90" i="37"/>
  <c r="J90" i="37"/>
  <c r="I90" i="37"/>
  <c r="S89" i="37"/>
  <c r="R89" i="37"/>
  <c r="Q89" i="37"/>
  <c r="P89" i="37"/>
  <c r="O89" i="37"/>
  <c r="N89" i="37"/>
  <c r="L89" i="37"/>
  <c r="K89" i="37"/>
  <c r="J89" i="37"/>
  <c r="I89" i="37"/>
  <c r="S88" i="37"/>
  <c r="R88" i="37"/>
  <c r="Q88" i="37"/>
  <c r="P88" i="37"/>
  <c r="O88" i="37"/>
  <c r="N88" i="37"/>
  <c r="M88" i="37"/>
  <c r="L88" i="37"/>
  <c r="K88" i="37"/>
  <c r="J88" i="37"/>
  <c r="I88" i="37"/>
  <c r="S87" i="37"/>
  <c r="R87" i="37"/>
  <c r="Q87" i="37"/>
  <c r="P87" i="37"/>
  <c r="O87" i="37"/>
  <c r="N87" i="37"/>
  <c r="L87" i="37"/>
  <c r="K87" i="37"/>
  <c r="J87" i="37"/>
  <c r="I87" i="37"/>
  <c r="S86" i="37"/>
  <c r="R86" i="37"/>
  <c r="Q86" i="37"/>
  <c r="P86" i="37"/>
  <c r="O86" i="37"/>
  <c r="N86" i="37"/>
  <c r="M86" i="37"/>
  <c r="L86" i="37"/>
  <c r="K86" i="37"/>
  <c r="J86" i="37"/>
  <c r="I86" i="37"/>
  <c r="H86" i="37"/>
  <c r="S71" i="37"/>
  <c r="R71" i="37"/>
  <c r="Q71" i="37"/>
  <c r="P71" i="37"/>
  <c r="O71" i="37"/>
  <c r="N71" i="37"/>
  <c r="M71" i="37"/>
  <c r="L71" i="37"/>
  <c r="K71" i="37"/>
  <c r="J71" i="37"/>
  <c r="I71" i="37"/>
  <c r="H71" i="37"/>
  <c r="H57" i="37"/>
  <c r="H73" i="37"/>
  <c r="H92" i="37"/>
  <c r="S41" i="37"/>
  <c r="S158" i="37"/>
  <c r="R41" i="37"/>
  <c r="R158" i="37"/>
  <c r="Q41" i="37"/>
  <c r="Q158" i="37"/>
  <c r="P41" i="37"/>
  <c r="P158" i="37"/>
  <c r="O41" i="37"/>
  <c r="O158" i="37"/>
  <c r="N41" i="37"/>
  <c r="N158" i="37"/>
  <c r="M41" i="37"/>
  <c r="M158" i="37"/>
  <c r="L41" i="37"/>
  <c r="L158" i="37"/>
  <c r="K41" i="37"/>
  <c r="K158" i="37"/>
  <c r="J41" i="37"/>
  <c r="J158" i="37"/>
  <c r="I41" i="37"/>
  <c r="I158" i="37"/>
  <c r="H41" i="37"/>
  <c r="H158" i="37"/>
  <c r="S38" i="37"/>
  <c r="R38" i="37"/>
  <c r="Q38" i="37"/>
  <c r="P38" i="37"/>
  <c r="O38" i="37"/>
  <c r="N38" i="37"/>
  <c r="M38" i="37"/>
  <c r="L38" i="37"/>
  <c r="K38" i="37"/>
  <c r="J38" i="37"/>
  <c r="I38" i="37"/>
  <c r="H38" i="37"/>
  <c r="S33" i="37"/>
  <c r="R33" i="37"/>
  <c r="Q33" i="37"/>
  <c r="P33" i="37"/>
  <c r="O33" i="37"/>
  <c r="N33" i="37"/>
  <c r="M33" i="37"/>
  <c r="L33" i="37"/>
  <c r="K33" i="37"/>
  <c r="J33" i="37"/>
  <c r="I33" i="37"/>
  <c r="H33" i="37"/>
  <c r="I32" i="37"/>
  <c r="I105" i="37"/>
  <c r="S27" i="37"/>
  <c r="R27" i="37"/>
  <c r="Q27" i="37"/>
  <c r="P27" i="37"/>
  <c r="O27" i="37"/>
  <c r="N27" i="37"/>
  <c r="M27" i="37"/>
  <c r="L27" i="37"/>
  <c r="K27" i="37"/>
  <c r="J27" i="37"/>
  <c r="I27" i="37"/>
  <c r="H27" i="37"/>
  <c r="S19" i="37"/>
  <c r="R19" i="37"/>
  <c r="Q19" i="37"/>
  <c r="P19" i="37"/>
  <c r="O19" i="37"/>
  <c r="N19" i="37"/>
  <c r="M19" i="37"/>
  <c r="L19" i="37"/>
  <c r="K19" i="37"/>
  <c r="J19" i="37"/>
  <c r="I19" i="37"/>
  <c r="H19" i="37"/>
  <c r="S18" i="37"/>
  <c r="R18" i="37"/>
  <c r="Q18" i="37"/>
  <c r="P18" i="37"/>
  <c r="O18" i="37"/>
  <c r="N18" i="37"/>
  <c r="M18" i="37"/>
  <c r="L18" i="37"/>
  <c r="K18" i="37"/>
  <c r="J18" i="37"/>
  <c r="I18" i="37"/>
  <c r="H18" i="37"/>
  <c r="S10" i="37"/>
  <c r="R10" i="37"/>
  <c r="Q10" i="37"/>
  <c r="P10" i="37"/>
  <c r="O10" i="37"/>
  <c r="N10" i="37"/>
  <c r="M10" i="37"/>
  <c r="L10" i="37"/>
  <c r="K10" i="37"/>
  <c r="J10" i="37"/>
  <c r="I10" i="37"/>
  <c r="H10" i="37"/>
  <c r="S5" i="37"/>
  <c r="R5" i="37"/>
  <c r="Q5" i="37"/>
  <c r="P5" i="37"/>
  <c r="P93" i="37"/>
  <c r="O5" i="37"/>
  <c r="N5" i="37"/>
  <c r="M5" i="37"/>
  <c r="L5" i="37"/>
  <c r="L93" i="37"/>
  <c r="K5" i="37"/>
  <c r="J5" i="37"/>
  <c r="I5" i="37"/>
  <c r="H5" i="37"/>
  <c r="H93" i="37"/>
  <c r="S4" i="37"/>
  <c r="R4" i="37"/>
  <c r="Q4" i="37"/>
  <c r="P4" i="37"/>
  <c r="O4" i="37"/>
  <c r="N4" i="37"/>
  <c r="M4" i="37"/>
  <c r="L4" i="37"/>
  <c r="K4" i="37"/>
  <c r="J4" i="37"/>
  <c r="I4" i="37"/>
  <c r="H4" i="37"/>
  <c r="M109" i="42"/>
  <c r="M115" i="42"/>
  <c r="M119" i="42"/>
  <c r="M127" i="42"/>
  <c r="M106" i="42"/>
  <c r="O161" i="41"/>
  <c r="O52" i="41"/>
  <c r="P52" i="41"/>
  <c r="P161" i="41"/>
  <c r="N105" i="41"/>
  <c r="N57" i="41"/>
  <c r="N73" i="41"/>
  <c r="N92" i="41"/>
  <c r="O32" i="41"/>
  <c r="L129" i="41"/>
  <c r="L133" i="41"/>
  <c r="L140" i="41"/>
  <c r="L145" i="41"/>
  <c r="L153" i="41"/>
  <c r="S161" i="41"/>
  <c r="S52" i="41"/>
  <c r="M117" i="41"/>
  <c r="M109" i="41"/>
  <c r="O133" i="40"/>
  <c r="O140" i="40"/>
  <c r="O145" i="40"/>
  <c r="O153" i="40"/>
  <c r="O129" i="40"/>
  <c r="I161" i="40"/>
  <c r="I52" i="40"/>
  <c r="R151" i="40"/>
  <c r="R150" i="40"/>
  <c r="R149" i="40"/>
  <c r="R148" i="40"/>
  <c r="R147" i="40"/>
  <c r="R146" i="40"/>
  <c r="P117" i="40"/>
  <c r="P109" i="40"/>
  <c r="K161" i="40"/>
  <c r="K52" i="40"/>
  <c r="O161" i="40"/>
  <c r="O52" i="40"/>
  <c r="Q105" i="40"/>
  <c r="Q57" i="40"/>
  <c r="Q73" i="40"/>
  <c r="Q92" i="40"/>
  <c r="R32" i="40"/>
  <c r="Q160" i="40"/>
  <c r="Q48" i="40"/>
  <c r="Q113" i="40"/>
  <c r="Q114" i="40"/>
  <c r="Q151" i="40"/>
  <c r="Q150" i="40"/>
  <c r="Q149" i="40"/>
  <c r="Q148" i="40"/>
  <c r="Q146" i="40"/>
  <c r="Q147" i="40"/>
  <c r="P52" i="40"/>
  <c r="P161" i="40"/>
  <c r="S155" i="40"/>
  <c r="S33" i="40"/>
  <c r="Q111" i="40"/>
  <c r="Q124" i="40"/>
  <c r="Q122" i="40"/>
  <c r="L161" i="40"/>
  <c r="L52" i="40"/>
  <c r="R154" i="40"/>
  <c r="R142" i="40"/>
  <c r="R137" i="40"/>
  <c r="R136" i="40"/>
  <c r="R112" i="40"/>
  <c r="R110" i="40"/>
  <c r="R46" i="40"/>
  <c r="R121" i="40"/>
  <c r="M161" i="40"/>
  <c r="M52" i="40"/>
  <c r="P122" i="39"/>
  <c r="P121" i="39"/>
  <c r="Q160" i="39"/>
  <c r="Q114" i="39"/>
  <c r="Q113" i="39"/>
  <c r="Q48" i="39"/>
  <c r="N51" i="39"/>
  <c r="N106" i="39"/>
  <c r="O97" i="39"/>
  <c r="O107" i="39"/>
  <c r="Q89" i="39"/>
  <c r="Q27" i="39"/>
  <c r="R28" i="39"/>
  <c r="H161" i="39"/>
  <c r="H52" i="39"/>
  <c r="L106" i="39"/>
  <c r="L107" i="39"/>
  <c r="L51" i="39"/>
  <c r="J133" i="39"/>
  <c r="J140" i="39"/>
  <c r="J145" i="39"/>
  <c r="J153" i="39"/>
  <c r="J129" i="39"/>
  <c r="Q151" i="39"/>
  <c r="Q150" i="39"/>
  <c r="Q149" i="39"/>
  <c r="Q148" i="39"/>
  <c r="Q147" i="39"/>
  <c r="Q146" i="39"/>
  <c r="J51" i="39"/>
  <c r="J106" i="39"/>
  <c r="N107" i="39"/>
  <c r="M107" i="39"/>
  <c r="K106" i="39"/>
  <c r="K51" i="39"/>
  <c r="R151" i="39"/>
  <c r="R149" i="39"/>
  <c r="R147" i="39"/>
  <c r="R146" i="39"/>
  <c r="R148" i="39"/>
  <c r="R150" i="39"/>
  <c r="R90" i="39"/>
  <c r="S29" i="39"/>
  <c r="R115" i="39"/>
  <c r="S154" i="39"/>
  <c r="S141" i="39"/>
  <c r="S112" i="39"/>
  <c r="S110" i="39"/>
  <c r="S46" i="39"/>
  <c r="O122" i="39"/>
  <c r="O121" i="39"/>
  <c r="O162" i="39"/>
  <c r="O130" i="39"/>
  <c r="O99" i="39"/>
  <c r="O100" i="39"/>
  <c r="O103" i="39"/>
  <c r="O31" i="39"/>
  <c r="O136" i="39"/>
  <c r="R160" i="39"/>
  <c r="R113" i="39"/>
  <c r="R48" i="39"/>
  <c r="R114" i="39"/>
  <c r="Q124" i="39"/>
  <c r="Q111" i="39"/>
  <c r="O134" i="39"/>
  <c r="L57" i="39"/>
  <c r="L73" i="39"/>
  <c r="L92" i="39"/>
  <c r="M32" i="39"/>
  <c r="L105" i="39"/>
  <c r="M100" i="39"/>
  <c r="M103" i="39"/>
  <c r="K107" i="39"/>
  <c r="Q127" i="39"/>
  <c r="Q118" i="39"/>
  <c r="Q120" i="39"/>
  <c r="Q5" i="39"/>
  <c r="R6" i="39"/>
  <c r="Q164" i="39"/>
  <c r="I106" i="39"/>
  <c r="I107" i="39"/>
  <c r="I51" i="39"/>
  <c r="P168" i="39"/>
  <c r="P131" i="39"/>
  <c r="P101" i="39"/>
  <c r="P102" i="39"/>
  <c r="P18" i="39"/>
  <c r="O161" i="39"/>
  <c r="O52" i="39"/>
  <c r="I133" i="39"/>
  <c r="I140" i="39"/>
  <c r="I145" i="39"/>
  <c r="I153" i="39"/>
  <c r="I129" i="39"/>
  <c r="S142" i="39"/>
  <c r="P106" i="39"/>
  <c r="P51" i="39"/>
  <c r="J107" i="39"/>
  <c r="R124" i="39"/>
  <c r="R111" i="39"/>
  <c r="K117" i="39"/>
  <c r="K109" i="39"/>
  <c r="M161" i="39"/>
  <c r="M52" i="39"/>
  <c r="P163" i="39"/>
  <c r="P126" i="39"/>
  <c r="P125" i="39"/>
  <c r="P93" i="39"/>
  <c r="P94" i="39"/>
  <c r="P97" i="39"/>
  <c r="P107" i="39"/>
  <c r="P4" i="39"/>
  <c r="R135" i="39"/>
  <c r="R87" i="39"/>
  <c r="R10" i="39"/>
  <c r="S15" i="39"/>
  <c r="J100" i="39"/>
  <c r="J103" i="39"/>
  <c r="M124" i="38"/>
  <c r="M111" i="38"/>
  <c r="O160" i="38"/>
  <c r="O113" i="38"/>
  <c r="O48" i="38"/>
  <c r="O114" i="38"/>
  <c r="K115" i="38"/>
  <c r="L29" i="38"/>
  <c r="K27" i="38"/>
  <c r="K90" i="38"/>
  <c r="N124" i="38"/>
  <c r="N111" i="38"/>
  <c r="K124" i="38"/>
  <c r="K111" i="38"/>
  <c r="Q160" i="38"/>
  <c r="Q114" i="38"/>
  <c r="Q113" i="38"/>
  <c r="Q48" i="38"/>
  <c r="I151" i="38"/>
  <c r="I150" i="38"/>
  <c r="I149" i="38"/>
  <c r="I148" i="38"/>
  <c r="I147" i="38"/>
  <c r="I146" i="38"/>
  <c r="Q122" i="38"/>
  <c r="Q121" i="38"/>
  <c r="I122" i="38"/>
  <c r="I121" i="38"/>
  <c r="P160" i="38"/>
  <c r="P114" i="38"/>
  <c r="P113" i="38"/>
  <c r="P48" i="38"/>
  <c r="P124" i="38"/>
  <c r="P111" i="38"/>
  <c r="H124" i="38"/>
  <c r="H111" i="38"/>
  <c r="H122" i="38"/>
  <c r="H121" i="38"/>
  <c r="S111" i="38"/>
  <c r="S124" i="38"/>
  <c r="K160" i="38"/>
  <c r="K114" i="38"/>
  <c r="K48" i="38"/>
  <c r="K113" i="38"/>
  <c r="S151" i="38"/>
  <c r="S150" i="38"/>
  <c r="S149" i="38"/>
  <c r="S148" i="38"/>
  <c r="S147" i="38"/>
  <c r="S146" i="38"/>
  <c r="Q97" i="38"/>
  <c r="M94" i="38"/>
  <c r="M97" i="38"/>
  <c r="S97" i="38"/>
  <c r="S99" i="38"/>
  <c r="R94" i="38"/>
  <c r="J97" i="38"/>
  <c r="R124" i="38"/>
  <c r="R111" i="38"/>
  <c r="R151" i="38"/>
  <c r="R150" i="38"/>
  <c r="R149" i="38"/>
  <c r="R148" i="38"/>
  <c r="R147" i="38"/>
  <c r="R146" i="38"/>
  <c r="N94" i="38"/>
  <c r="N97" i="38"/>
  <c r="N107" i="38"/>
  <c r="K105" i="38"/>
  <c r="L32" i="38"/>
  <c r="K57" i="38"/>
  <c r="K73" i="38"/>
  <c r="K92" i="38"/>
  <c r="R96" i="38"/>
  <c r="Q151" i="38"/>
  <c r="Q150" i="38"/>
  <c r="Q149" i="38"/>
  <c r="Q148" i="38"/>
  <c r="Q147" i="38"/>
  <c r="Q146" i="38"/>
  <c r="H149" i="38"/>
  <c r="H150" i="38"/>
  <c r="H146" i="38"/>
  <c r="H151" i="38"/>
  <c r="H147" i="38"/>
  <c r="H148" i="38"/>
  <c r="N122" i="38"/>
  <c r="N121" i="38"/>
  <c r="R160" i="38"/>
  <c r="R114" i="38"/>
  <c r="R113" i="38"/>
  <c r="R48" i="38"/>
  <c r="N151" i="38"/>
  <c r="N150" i="38"/>
  <c r="N149" i="38"/>
  <c r="N148" i="38"/>
  <c r="N147" i="38"/>
  <c r="N146" i="38"/>
  <c r="I96" i="38"/>
  <c r="M160" i="38"/>
  <c r="M114" i="38"/>
  <c r="M113" i="38"/>
  <c r="M48" i="38"/>
  <c r="L114" i="38"/>
  <c r="L113" i="38"/>
  <c r="L160" i="38"/>
  <c r="L48" i="38"/>
  <c r="L150" i="38"/>
  <c r="L146" i="38"/>
  <c r="L151" i="38"/>
  <c r="L147" i="38"/>
  <c r="L148" i="38"/>
  <c r="L149" i="38"/>
  <c r="P122" i="38"/>
  <c r="K96" i="38"/>
  <c r="K97" i="38"/>
  <c r="O151" i="38"/>
  <c r="O150" i="38"/>
  <c r="O149" i="38"/>
  <c r="O148" i="38"/>
  <c r="O147" i="38"/>
  <c r="O146" i="38"/>
  <c r="Q102" i="38"/>
  <c r="I133" i="38"/>
  <c r="I140" i="38"/>
  <c r="I145" i="38"/>
  <c r="I153" i="38"/>
  <c r="I129" i="38"/>
  <c r="R122" i="38"/>
  <c r="R121" i="38"/>
  <c r="J122" i="38"/>
  <c r="J121" i="38"/>
  <c r="O97" i="38"/>
  <c r="O99" i="38"/>
  <c r="O100" i="38"/>
  <c r="O103" i="38"/>
  <c r="K99" i="38"/>
  <c r="N100" i="38"/>
  <c r="R99" i="38"/>
  <c r="J99" i="38"/>
  <c r="J100" i="38"/>
  <c r="J117" i="38"/>
  <c r="J109" i="38"/>
  <c r="I94" i="38"/>
  <c r="I97" i="38"/>
  <c r="Q124" i="38"/>
  <c r="Q111" i="38"/>
  <c r="K122" i="38"/>
  <c r="K121" i="38"/>
  <c r="J160" i="38"/>
  <c r="J114" i="38"/>
  <c r="J113" i="38"/>
  <c r="J48" i="38"/>
  <c r="O121" i="38"/>
  <c r="O122" i="38"/>
  <c r="I160" i="38"/>
  <c r="I114" i="38"/>
  <c r="I113" i="38"/>
  <c r="I48" i="38"/>
  <c r="M151" i="38"/>
  <c r="M150" i="38"/>
  <c r="M149" i="38"/>
  <c r="M148" i="38"/>
  <c r="M147" i="38"/>
  <c r="M146" i="38"/>
  <c r="I124" i="38"/>
  <c r="I111" i="38"/>
  <c r="M122" i="38"/>
  <c r="M121" i="38"/>
  <c r="H133" i="38"/>
  <c r="H140" i="38"/>
  <c r="H145" i="38"/>
  <c r="H153" i="38"/>
  <c r="H129" i="38"/>
  <c r="H160" i="38"/>
  <c r="H114" i="38"/>
  <c r="H113" i="38"/>
  <c r="H48" i="38"/>
  <c r="H51" i="38"/>
  <c r="L124" i="38"/>
  <c r="L111" i="38"/>
  <c r="L122" i="38"/>
  <c r="L121" i="38"/>
  <c r="N103" i="38"/>
  <c r="S160" i="38"/>
  <c r="S113" i="38"/>
  <c r="S114" i="38"/>
  <c r="S48" i="38"/>
  <c r="K151" i="38"/>
  <c r="K150" i="38"/>
  <c r="K149" i="38"/>
  <c r="K148" i="38"/>
  <c r="K147" i="38"/>
  <c r="K146" i="38"/>
  <c r="N106" i="38"/>
  <c r="N51" i="38"/>
  <c r="J168" i="38"/>
  <c r="J138" i="38"/>
  <c r="J131" i="38"/>
  <c r="J101" i="38"/>
  <c r="J102" i="38"/>
  <c r="J18" i="38"/>
  <c r="J31" i="38"/>
  <c r="P97" i="38"/>
  <c r="L94" i="38"/>
  <c r="L97" i="38"/>
  <c r="L99" i="38"/>
  <c r="L100" i="38"/>
  <c r="I100" i="38"/>
  <c r="I103" i="38"/>
  <c r="S122" i="38"/>
  <c r="N96" i="38"/>
  <c r="Q99" i="38"/>
  <c r="Q100" i="38"/>
  <c r="J124" i="38"/>
  <c r="J111" i="38"/>
  <c r="J151" i="38"/>
  <c r="J150" i="38"/>
  <c r="J149" i="38"/>
  <c r="J148" i="38"/>
  <c r="J147" i="38"/>
  <c r="J146" i="38"/>
  <c r="P99" i="38"/>
  <c r="I162" i="37"/>
  <c r="I130" i="37"/>
  <c r="M162" i="37"/>
  <c r="M130" i="37"/>
  <c r="Q162" i="37"/>
  <c r="Q130" i="37"/>
  <c r="I163" i="37"/>
  <c r="I126" i="37"/>
  <c r="I125" i="37"/>
  <c r="M163" i="37"/>
  <c r="M126" i="37"/>
  <c r="M125" i="37"/>
  <c r="Q163" i="37"/>
  <c r="Q126" i="37"/>
  <c r="Q125" i="37"/>
  <c r="I164" i="37"/>
  <c r="I134" i="37"/>
  <c r="M164" i="37"/>
  <c r="M134" i="37"/>
  <c r="Q164" i="37"/>
  <c r="Q134" i="37"/>
  <c r="I165" i="37"/>
  <c r="I119" i="37"/>
  <c r="I120" i="37"/>
  <c r="I95" i="37"/>
  <c r="M165" i="37"/>
  <c r="M119" i="37"/>
  <c r="M120" i="37"/>
  <c r="M95" i="37"/>
  <c r="Q165" i="37"/>
  <c r="Q119" i="37"/>
  <c r="Q120" i="37"/>
  <c r="Q95" i="37"/>
  <c r="I168" i="37"/>
  <c r="I138" i="37"/>
  <c r="I131" i="37"/>
  <c r="I101" i="37"/>
  <c r="M168" i="37"/>
  <c r="M138" i="37"/>
  <c r="M131" i="37"/>
  <c r="M101" i="37"/>
  <c r="Q168" i="37"/>
  <c r="Q138" i="37"/>
  <c r="Q131" i="37"/>
  <c r="Q101" i="37"/>
  <c r="I31" i="37"/>
  <c r="M31" i="37"/>
  <c r="Q31" i="37"/>
  <c r="J32" i="37"/>
  <c r="J154" i="37"/>
  <c r="J142" i="37"/>
  <c r="J141" i="37"/>
  <c r="J137" i="37"/>
  <c r="J136" i="37"/>
  <c r="J112" i="37"/>
  <c r="J110" i="37"/>
  <c r="N154" i="37"/>
  <c r="N142" i="37"/>
  <c r="N141" i="37"/>
  <c r="N137" i="37"/>
  <c r="N136" i="37"/>
  <c r="N112" i="37"/>
  <c r="N110" i="37"/>
  <c r="R154" i="37"/>
  <c r="R142" i="37"/>
  <c r="R141" i="37"/>
  <c r="R137" i="37"/>
  <c r="R136" i="37"/>
  <c r="R112" i="37"/>
  <c r="R110" i="37"/>
  <c r="J159" i="37"/>
  <c r="J157" i="37"/>
  <c r="J143" i="37"/>
  <c r="J127" i="37"/>
  <c r="N159" i="37"/>
  <c r="N157" i="37"/>
  <c r="N143" i="37"/>
  <c r="N127" i="37"/>
  <c r="R159" i="37"/>
  <c r="R157" i="37"/>
  <c r="R143" i="37"/>
  <c r="R127" i="37"/>
  <c r="J46" i="37"/>
  <c r="N46" i="37"/>
  <c r="R46" i="37"/>
  <c r="J162" i="37"/>
  <c r="J130" i="37"/>
  <c r="N162" i="37"/>
  <c r="N130" i="37"/>
  <c r="R162" i="37"/>
  <c r="R130" i="37"/>
  <c r="J163" i="37"/>
  <c r="J126" i="37"/>
  <c r="J125" i="37"/>
  <c r="N163" i="37"/>
  <c r="N126" i="37"/>
  <c r="N125" i="37"/>
  <c r="R163" i="37"/>
  <c r="R126" i="37"/>
  <c r="R125" i="37"/>
  <c r="J164" i="37"/>
  <c r="J134" i="37"/>
  <c r="N164" i="37"/>
  <c r="N134" i="37"/>
  <c r="R164" i="37"/>
  <c r="R134" i="37"/>
  <c r="J165" i="37"/>
  <c r="J95" i="37"/>
  <c r="J96" i="37"/>
  <c r="J119" i="37"/>
  <c r="J120" i="37"/>
  <c r="N165" i="37"/>
  <c r="N95" i="37"/>
  <c r="N96" i="37"/>
  <c r="N119" i="37"/>
  <c r="N120" i="37"/>
  <c r="R165" i="37"/>
  <c r="R95" i="37"/>
  <c r="R96" i="37"/>
  <c r="R119" i="37"/>
  <c r="R120" i="37"/>
  <c r="J168" i="37"/>
  <c r="J138" i="37"/>
  <c r="J131" i="37"/>
  <c r="J101" i="37"/>
  <c r="J102" i="37"/>
  <c r="N168" i="37"/>
  <c r="N138" i="37"/>
  <c r="N131" i="37"/>
  <c r="N101" i="37"/>
  <c r="N102" i="37"/>
  <c r="R168" i="37"/>
  <c r="R138" i="37"/>
  <c r="R131" i="37"/>
  <c r="R101" i="37"/>
  <c r="R102" i="37"/>
  <c r="J31" i="37"/>
  <c r="N31" i="37"/>
  <c r="R31" i="37"/>
  <c r="K154" i="37"/>
  <c r="K142" i="37"/>
  <c r="K141" i="37"/>
  <c r="K137" i="37"/>
  <c r="K136" i="37"/>
  <c r="K112" i="37"/>
  <c r="K110" i="37"/>
  <c r="O154" i="37"/>
  <c r="O142" i="37"/>
  <c r="O141" i="37"/>
  <c r="O137" i="37"/>
  <c r="O136" i="37"/>
  <c r="O112" i="37"/>
  <c r="O110" i="37"/>
  <c r="S154" i="37"/>
  <c r="S142" i="37"/>
  <c r="S141" i="37"/>
  <c r="S137" i="37"/>
  <c r="S136" i="37"/>
  <c r="S112" i="37"/>
  <c r="S110" i="37"/>
  <c r="K159" i="37"/>
  <c r="K157" i="37"/>
  <c r="K143" i="37"/>
  <c r="K127" i="37"/>
  <c r="O159" i="37"/>
  <c r="O157" i="37"/>
  <c r="O143" i="37"/>
  <c r="O127" i="37"/>
  <c r="S159" i="37"/>
  <c r="S157" i="37"/>
  <c r="S143" i="37"/>
  <c r="S127" i="37"/>
  <c r="K46" i="37"/>
  <c r="O46" i="37"/>
  <c r="S46" i="37"/>
  <c r="I93" i="37"/>
  <c r="I94" i="37"/>
  <c r="M93" i="37"/>
  <c r="M94" i="37"/>
  <c r="Q93" i="37"/>
  <c r="Q94" i="37"/>
  <c r="K162" i="37"/>
  <c r="K130" i="37"/>
  <c r="O162" i="37"/>
  <c r="O130" i="37"/>
  <c r="S162" i="37"/>
  <c r="S130" i="37"/>
  <c r="K163" i="37"/>
  <c r="K126" i="37"/>
  <c r="K125" i="37"/>
  <c r="O163" i="37"/>
  <c r="O126" i="37"/>
  <c r="O125" i="37"/>
  <c r="S163" i="37"/>
  <c r="S126" i="37"/>
  <c r="S125" i="37"/>
  <c r="K164" i="37"/>
  <c r="K134" i="37"/>
  <c r="O164" i="37"/>
  <c r="O134" i="37"/>
  <c r="S164" i="37"/>
  <c r="S134" i="37"/>
  <c r="K165" i="37"/>
  <c r="K119" i="37"/>
  <c r="K120" i="37"/>
  <c r="K95" i="37"/>
  <c r="K96" i="37"/>
  <c r="O165" i="37"/>
  <c r="O119" i="37"/>
  <c r="O120" i="37"/>
  <c r="O95" i="37"/>
  <c r="O96" i="37"/>
  <c r="S165" i="37"/>
  <c r="S119" i="37"/>
  <c r="S120" i="37"/>
  <c r="S95" i="37"/>
  <c r="S96" i="37"/>
  <c r="K168" i="37"/>
  <c r="K138" i="37"/>
  <c r="K131" i="37"/>
  <c r="K101" i="37"/>
  <c r="K102" i="37"/>
  <c r="O168" i="37"/>
  <c r="O138" i="37"/>
  <c r="O131" i="37"/>
  <c r="O101" i="37"/>
  <c r="O102" i="37"/>
  <c r="S168" i="37"/>
  <c r="S138" i="37"/>
  <c r="S131" i="37"/>
  <c r="S101" i="37"/>
  <c r="S102" i="37"/>
  <c r="K31" i="37"/>
  <c r="O31" i="37"/>
  <c r="S31" i="37"/>
  <c r="H137" i="37"/>
  <c r="H136" i="37"/>
  <c r="H154" i="37"/>
  <c r="H142" i="37"/>
  <c r="H141" i="37"/>
  <c r="H112" i="37"/>
  <c r="H110" i="37"/>
  <c r="L137" i="37"/>
  <c r="L136" i="37"/>
  <c r="L154" i="37"/>
  <c r="L142" i="37"/>
  <c r="L141" i="37"/>
  <c r="L112" i="37"/>
  <c r="L110" i="37"/>
  <c r="P137" i="37"/>
  <c r="P136" i="37"/>
  <c r="P154" i="37"/>
  <c r="P142" i="37"/>
  <c r="P141" i="37"/>
  <c r="P112" i="37"/>
  <c r="P110" i="37"/>
  <c r="H159" i="37"/>
  <c r="H157" i="37"/>
  <c r="H143" i="37"/>
  <c r="H127" i="37"/>
  <c r="L159" i="37"/>
  <c r="L157" i="37"/>
  <c r="L143" i="37"/>
  <c r="L127" i="37"/>
  <c r="P159" i="37"/>
  <c r="P157" i="37"/>
  <c r="P143" i="37"/>
  <c r="P127" i="37"/>
  <c r="H46" i="37"/>
  <c r="L46" i="37"/>
  <c r="P46" i="37"/>
  <c r="J93" i="37"/>
  <c r="J94" i="37"/>
  <c r="J97" i="37"/>
  <c r="N93" i="37"/>
  <c r="N94" i="37"/>
  <c r="N97" i="37"/>
  <c r="R93" i="37"/>
  <c r="R94" i="37"/>
  <c r="R97" i="37"/>
  <c r="H133" i="37"/>
  <c r="H140" i="37"/>
  <c r="H145" i="37"/>
  <c r="H153" i="37"/>
  <c r="H129" i="37"/>
  <c r="H162" i="37"/>
  <c r="H99" i="37"/>
  <c r="H130" i="37"/>
  <c r="L162" i="37"/>
  <c r="L99" i="37"/>
  <c r="L130" i="37"/>
  <c r="P162" i="37"/>
  <c r="P99" i="37"/>
  <c r="P130" i="37"/>
  <c r="H163" i="37"/>
  <c r="H126" i="37"/>
  <c r="H125" i="37"/>
  <c r="L163" i="37"/>
  <c r="L126" i="37"/>
  <c r="L125" i="37"/>
  <c r="P163" i="37"/>
  <c r="P126" i="37"/>
  <c r="P125" i="37"/>
  <c r="H134" i="37"/>
  <c r="H164" i="37"/>
  <c r="L134" i="37"/>
  <c r="L164" i="37"/>
  <c r="P134" i="37"/>
  <c r="P164" i="37"/>
  <c r="H165" i="37"/>
  <c r="H119" i="37"/>
  <c r="H120" i="37"/>
  <c r="H95" i="37"/>
  <c r="L165" i="37"/>
  <c r="L119" i="37"/>
  <c r="L120" i="37"/>
  <c r="L95" i="37"/>
  <c r="L96" i="37"/>
  <c r="P165" i="37"/>
  <c r="P119" i="37"/>
  <c r="P120" i="37"/>
  <c r="P95" i="37"/>
  <c r="P96" i="37"/>
  <c r="H168" i="37"/>
  <c r="H138" i="37"/>
  <c r="H131" i="37"/>
  <c r="H101" i="37"/>
  <c r="L168" i="37"/>
  <c r="L138" i="37"/>
  <c r="L131" i="37"/>
  <c r="L101" i="37"/>
  <c r="L102" i="37"/>
  <c r="P168" i="37"/>
  <c r="P138" i="37"/>
  <c r="P131" i="37"/>
  <c r="P101" i="37"/>
  <c r="P102" i="37"/>
  <c r="H31" i="37"/>
  <c r="L31" i="37"/>
  <c r="P31" i="37"/>
  <c r="I117" i="37"/>
  <c r="I109" i="37"/>
  <c r="I154" i="37"/>
  <c r="I142" i="37"/>
  <c r="I141" i="37"/>
  <c r="I137" i="37"/>
  <c r="I136" i="37"/>
  <c r="I112" i="37"/>
  <c r="I110" i="37"/>
  <c r="M154" i="37"/>
  <c r="M142" i="37"/>
  <c r="M141" i="37"/>
  <c r="M137" i="37"/>
  <c r="M136" i="37"/>
  <c r="M112" i="37"/>
  <c r="M110" i="37"/>
  <c r="Q154" i="37"/>
  <c r="Q142" i="37"/>
  <c r="Q141" i="37"/>
  <c r="Q137" i="37"/>
  <c r="Q136" i="37"/>
  <c r="Q112" i="37"/>
  <c r="Q110" i="37"/>
  <c r="I159" i="37"/>
  <c r="I157" i="37"/>
  <c r="I143" i="37"/>
  <c r="I127" i="37"/>
  <c r="M159" i="37"/>
  <c r="M157" i="37"/>
  <c r="M143" i="37"/>
  <c r="M127" i="37"/>
  <c r="Q159" i="37"/>
  <c r="Q157" i="37"/>
  <c r="Q143" i="37"/>
  <c r="Q127" i="37"/>
  <c r="I46" i="37"/>
  <c r="M46" i="37"/>
  <c r="Q46" i="37"/>
  <c r="I57" i="37"/>
  <c r="I73" i="37"/>
  <c r="I92" i="37"/>
  <c r="K93" i="37"/>
  <c r="K94" i="37"/>
  <c r="K97" i="37"/>
  <c r="O93" i="37"/>
  <c r="O94" i="37"/>
  <c r="O97" i="37"/>
  <c r="S93" i="37"/>
  <c r="S94" i="37"/>
  <c r="S97" i="37"/>
  <c r="H109" i="37"/>
  <c r="O105" i="41"/>
  <c r="O57" i="41"/>
  <c r="O73" i="41"/>
  <c r="O92" i="41"/>
  <c r="P32" i="41"/>
  <c r="M133" i="41"/>
  <c r="M140" i="41"/>
  <c r="M145" i="41"/>
  <c r="M153" i="41"/>
  <c r="M129" i="41"/>
  <c r="N117" i="41"/>
  <c r="N109" i="41"/>
  <c r="R105" i="40"/>
  <c r="R57" i="40"/>
  <c r="R73" i="40"/>
  <c r="R92" i="40"/>
  <c r="P133" i="40"/>
  <c r="P140" i="40"/>
  <c r="P145" i="40"/>
  <c r="P153" i="40"/>
  <c r="P129" i="40"/>
  <c r="R160" i="40"/>
  <c r="R114" i="40"/>
  <c r="R113" i="40"/>
  <c r="R48" i="40"/>
  <c r="S154" i="40"/>
  <c r="S142" i="40"/>
  <c r="S137" i="40"/>
  <c r="S136" i="40"/>
  <c r="S112" i="40"/>
  <c r="S110" i="40"/>
  <c r="S46" i="40"/>
  <c r="S121" i="40"/>
  <c r="R124" i="40"/>
  <c r="R111" i="40"/>
  <c r="R122" i="40"/>
  <c r="S141" i="40"/>
  <c r="Q51" i="40"/>
  <c r="Q106" i="40"/>
  <c r="Q107" i="40"/>
  <c r="Q117" i="40"/>
  <c r="Q109" i="40"/>
  <c r="M57" i="39"/>
  <c r="M73" i="39"/>
  <c r="M92" i="39"/>
  <c r="M105" i="39"/>
  <c r="N32" i="39"/>
  <c r="S160" i="39"/>
  <c r="S114" i="39"/>
  <c r="S113" i="39"/>
  <c r="S48" i="39"/>
  <c r="S115" i="39"/>
  <c r="S90" i="39"/>
  <c r="Q168" i="39"/>
  <c r="Q131" i="39"/>
  <c r="Q101" i="39"/>
  <c r="Q102" i="39"/>
  <c r="Q18" i="39"/>
  <c r="N161" i="39"/>
  <c r="N52" i="39"/>
  <c r="S135" i="39"/>
  <c r="S87" i="39"/>
  <c r="S10" i="39"/>
  <c r="P162" i="39"/>
  <c r="P130" i="39"/>
  <c r="P99" i="39"/>
  <c r="P100" i="39"/>
  <c r="P31" i="39"/>
  <c r="P136" i="39"/>
  <c r="P134" i="39"/>
  <c r="K133" i="39"/>
  <c r="K140" i="39"/>
  <c r="K145" i="39"/>
  <c r="K153" i="39"/>
  <c r="K129" i="39"/>
  <c r="P52" i="39"/>
  <c r="P161" i="39"/>
  <c r="P103" i="39"/>
  <c r="I161" i="39"/>
  <c r="I52" i="39"/>
  <c r="R127" i="39"/>
  <c r="R118" i="39"/>
  <c r="R120" i="39"/>
  <c r="S6" i="39"/>
  <c r="R5" i="39"/>
  <c r="S124" i="39"/>
  <c r="S111" i="39"/>
  <c r="S151" i="39"/>
  <c r="S150" i="39"/>
  <c r="S149" i="39"/>
  <c r="S148" i="39"/>
  <c r="S147" i="39"/>
  <c r="S146" i="39"/>
  <c r="K161" i="39"/>
  <c r="K52" i="39"/>
  <c r="Q51" i="39"/>
  <c r="Q106" i="39"/>
  <c r="R164" i="39"/>
  <c r="Q163" i="39"/>
  <c r="Q126" i="39"/>
  <c r="Q125" i="39"/>
  <c r="Q93" i="39"/>
  <c r="Q94" i="39"/>
  <c r="Q97" i="39"/>
  <c r="Q4" i="39"/>
  <c r="R51" i="39"/>
  <c r="R106" i="39"/>
  <c r="J161" i="39"/>
  <c r="J52" i="39"/>
  <c r="P138" i="39"/>
  <c r="Q122" i="39"/>
  <c r="Q121" i="39"/>
  <c r="L117" i="39"/>
  <c r="L109" i="39"/>
  <c r="S137" i="39"/>
  <c r="L161" i="39"/>
  <c r="L52" i="39"/>
  <c r="R89" i="39"/>
  <c r="S28" i="39"/>
  <c r="R27" i="39"/>
  <c r="Q106" i="38"/>
  <c r="Q51" i="38"/>
  <c r="P100" i="38"/>
  <c r="P103" i="38"/>
  <c r="J106" i="38"/>
  <c r="J51" i="38"/>
  <c r="R100" i="38"/>
  <c r="R103" i="38"/>
  <c r="Q103" i="38"/>
  <c r="L106" i="38"/>
  <c r="L51" i="38"/>
  <c r="M106" i="38"/>
  <c r="M107" i="38"/>
  <c r="M51" i="38"/>
  <c r="J107" i="38"/>
  <c r="P106" i="38"/>
  <c r="P107" i="38"/>
  <c r="P51" i="38"/>
  <c r="J103" i="38"/>
  <c r="N161" i="38"/>
  <c r="N52" i="38"/>
  <c r="S106" i="38"/>
  <c r="S107" i="38"/>
  <c r="S51" i="38"/>
  <c r="O107" i="38"/>
  <c r="R106" i="38"/>
  <c r="R51" i="38"/>
  <c r="L105" i="38"/>
  <c r="M32" i="38"/>
  <c r="L57" i="38"/>
  <c r="L73" i="38"/>
  <c r="L92" i="38"/>
  <c r="R97" i="38"/>
  <c r="R107" i="38"/>
  <c r="Q107" i="38"/>
  <c r="K106" i="38"/>
  <c r="K107" i="38"/>
  <c r="K51" i="38"/>
  <c r="K168" i="38"/>
  <c r="K138" i="38"/>
  <c r="K101" i="38"/>
  <c r="K102" i="38"/>
  <c r="K103" i="38"/>
  <c r="K18" i="38"/>
  <c r="K31" i="38"/>
  <c r="K131" i="38"/>
  <c r="O106" i="38"/>
  <c r="O51" i="38"/>
  <c r="L107" i="38"/>
  <c r="H161" i="38"/>
  <c r="H52" i="38"/>
  <c r="I106" i="38"/>
  <c r="I107" i="38"/>
  <c r="I51" i="38"/>
  <c r="J133" i="38"/>
  <c r="J140" i="38"/>
  <c r="J145" i="38"/>
  <c r="J153" i="38"/>
  <c r="J129" i="38"/>
  <c r="K100" i="38"/>
  <c r="M100" i="38"/>
  <c r="K117" i="38"/>
  <c r="K109" i="38"/>
  <c r="S100" i="38"/>
  <c r="S103" i="38"/>
  <c r="L115" i="38"/>
  <c r="M90" i="38"/>
  <c r="L27" i="38"/>
  <c r="L90" i="38"/>
  <c r="L91" i="38"/>
  <c r="I124" i="37"/>
  <c r="I111" i="37"/>
  <c r="L122" i="37"/>
  <c r="L121" i="37"/>
  <c r="H160" i="37"/>
  <c r="H114" i="37"/>
  <c r="H113" i="37"/>
  <c r="H48" i="37"/>
  <c r="H51" i="37"/>
  <c r="L124" i="37"/>
  <c r="L111" i="37"/>
  <c r="K122" i="37"/>
  <c r="K121" i="37"/>
  <c r="K99" i="37"/>
  <c r="L100" i="37"/>
  <c r="L103" i="37"/>
  <c r="S124" i="37"/>
  <c r="S111" i="37"/>
  <c r="S151" i="37"/>
  <c r="S150" i="37"/>
  <c r="S149" i="37"/>
  <c r="S148" i="37"/>
  <c r="S147" i="37"/>
  <c r="S146" i="37"/>
  <c r="R122" i="37"/>
  <c r="R121" i="37"/>
  <c r="N99" i="37"/>
  <c r="R124" i="37"/>
  <c r="R111" i="37"/>
  <c r="R151" i="37"/>
  <c r="R150" i="37"/>
  <c r="R149" i="37"/>
  <c r="R148" i="37"/>
  <c r="R147" i="37"/>
  <c r="R146" i="37"/>
  <c r="M96" i="37"/>
  <c r="I122" i="37"/>
  <c r="I121" i="37"/>
  <c r="M99" i="37"/>
  <c r="M100" i="37"/>
  <c r="I151" i="37"/>
  <c r="I150" i="37"/>
  <c r="I149" i="37"/>
  <c r="I148" i="37"/>
  <c r="I147" i="37"/>
  <c r="I146" i="37"/>
  <c r="I133" i="37"/>
  <c r="I140" i="37"/>
  <c r="I145" i="37"/>
  <c r="I153" i="37"/>
  <c r="I129" i="37"/>
  <c r="I160" i="37"/>
  <c r="I114" i="37"/>
  <c r="I113" i="37"/>
  <c r="I48" i="37"/>
  <c r="M124" i="37"/>
  <c r="M111" i="37"/>
  <c r="M151" i="37"/>
  <c r="M150" i="37"/>
  <c r="M149" i="37"/>
  <c r="M148" i="37"/>
  <c r="M147" i="37"/>
  <c r="M146" i="37"/>
  <c r="P122" i="37"/>
  <c r="P121" i="37"/>
  <c r="P100" i="37"/>
  <c r="P103" i="37"/>
  <c r="P124" i="37"/>
  <c r="P111" i="37"/>
  <c r="H151" i="37"/>
  <c r="H150" i="37"/>
  <c r="H149" i="37"/>
  <c r="H148" i="37"/>
  <c r="H147" i="37"/>
  <c r="H146" i="37"/>
  <c r="O122" i="37"/>
  <c r="O121" i="37"/>
  <c r="O99" i="37"/>
  <c r="O100" i="37"/>
  <c r="O103" i="37"/>
  <c r="S160" i="37"/>
  <c r="S114" i="37"/>
  <c r="S113" i="37"/>
  <c r="S48" i="37"/>
  <c r="R99" i="37"/>
  <c r="R160" i="37"/>
  <c r="R114" i="37"/>
  <c r="R113" i="37"/>
  <c r="R48" i="37"/>
  <c r="J105" i="37"/>
  <c r="K32" i="37"/>
  <c r="J57" i="37"/>
  <c r="J73" i="37"/>
  <c r="J92" i="37"/>
  <c r="Q102" i="37"/>
  <c r="Q103" i="37"/>
  <c r="M102" i="37"/>
  <c r="M103" i="37"/>
  <c r="I102" i="37"/>
  <c r="Q96" i="37"/>
  <c r="M122" i="37"/>
  <c r="M121" i="37"/>
  <c r="Q99" i="37"/>
  <c r="Q100" i="37"/>
  <c r="Q124" i="37"/>
  <c r="Q111" i="37"/>
  <c r="Q151" i="37"/>
  <c r="Q150" i="37"/>
  <c r="Q149" i="37"/>
  <c r="Q148" i="37"/>
  <c r="Q147" i="37"/>
  <c r="Q146" i="37"/>
  <c r="P160" i="37"/>
  <c r="P114" i="37"/>
  <c r="P113" i="37"/>
  <c r="P48" i="37"/>
  <c r="L151" i="37"/>
  <c r="L150" i="37"/>
  <c r="L149" i="37"/>
  <c r="L148" i="37"/>
  <c r="L147" i="37"/>
  <c r="L146" i="37"/>
  <c r="S122" i="37"/>
  <c r="S121" i="37"/>
  <c r="S99" i="37"/>
  <c r="S100" i="37"/>
  <c r="S103" i="37"/>
  <c r="Q97" i="37"/>
  <c r="O160" i="37"/>
  <c r="O114" i="37"/>
  <c r="O113" i="37"/>
  <c r="O48" i="37"/>
  <c r="K124" i="37"/>
  <c r="K111" i="37"/>
  <c r="K151" i="37"/>
  <c r="K150" i="37"/>
  <c r="K149" i="37"/>
  <c r="K148" i="37"/>
  <c r="K147" i="37"/>
  <c r="K146" i="37"/>
  <c r="J122" i="37"/>
  <c r="J121" i="37"/>
  <c r="N160" i="37"/>
  <c r="N114" i="37"/>
  <c r="N113" i="37"/>
  <c r="N48" i="37"/>
  <c r="J124" i="37"/>
  <c r="J111" i="37"/>
  <c r="J151" i="37"/>
  <c r="J150" i="37"/>
  <c r="J149" i="37"/>
  <c r="J148" i="37"/>
  <c r="J147" i="37"/>
  <c r="J146" i="37"/>
  <c r="Q122" i="37"/>
  <c r="Q121" i="37"/>
  <c r="P94" i="37"/>
  <c r="P97" i="37"/>
  <c r="M160" i="37"/>
  <c r="M114" i="37"/>
  <c r="M113" i="37"/>
  <c r="M48" i="37"/>
  <c r="Q160" i="37"/>
  <c r="Q114" i="37"/>
  <c r="Q113" i="37"/>
  <c r="Q48" i="37"/>
  <c r="H122" i="37"/>
  <c r="H121" i="37"/>
  <c r="L160" i="37"/>
  <c r="L114" i="37"/>
  <c r="L113" i="37"/>
  <c r="L48" i="37"/>
  <c r="P151" i="37"/>
  <c r="P150" i="37"/>
  <c r="P149" i="37"/>
  <c r="P148" i="37"/>
  <c r="P147" i="37"/>
  <c r="P146" i="37"/>
  <c r="H124" i="37"/>
  <c r="H111" i="37"/>
  <c r="M97" i="37"/>
  <c r="K160" i="37"/>
  <c r="K114" i="37"/>
  <c r="K113" i="37"/>
  <c r="K48" i="37"/>
  <c r="O124" i="37"/>
  <c r="O111" i="37"/>
  <c r="O151" i="37"/>
  <c r="O150" i="37"/>
  <c r="O149" i="37"/>
  <c r="O148" i="37"/>
  <c r="O147" i="37"/>
  <c r="O146" i="37"/>
  <c r="N122" i="37"/>
  <c r="N121" i="37"/>
  <c r="J99" i="37"/>
  <c r="J100" i="37"/>
  <c r="J103" i="37"/>
  <c r="J160" i="37"/>
  <c r="J114" i="37"/>
  <c r="J113" i="37"/>
  <c r="J48" i="37"/>
  <c r="N124" i="37"/>
  <c r="N111" i="37"/>
  <c r="N151" i="37"/>
  <c r="N150" i="37"/>
  <c r="N149" i="37"/>
  <c r="N148" i="37"/>
  <c r="N147" i="37"/>
  <c r="N146" i="37"/>
  <c r="I96" i="37"/>
  <c r="I97" i="37"/>
  <c r="I99" i="37"/>
  <c r="I100" i="37"/>
  <c r="L94" i="37"/>
  <c r="L97" i="37"/>
  <c r="Q32" i="41"/>
  <c r="P57" i="41"/>
  <c r="P73" i="41"/>
  <c r="P92" i="41"/>
  <c r="P105" i="41"/>
  <c r="N133" i="41"/>
  <c r="N140" i="41"/>
  <c r="N145" i="41"/>
  <c r="N153" i="41"/>
  <c r="N129" i="41"/>
  <c r="O117" i="41"/>
  <c r="O109" i="41"/>
  <c r="R106" i="40"/>
  <c r="R107" i="40"/>
  <c r="R51" i="40"/>
  <c r="Q133" i="40"/>
  <c r="Q140" i="40"/>
  <c r="Q145" i="40"/>
  <c r="Q153" i="40"/>
  <c r="Q129" i="40"/>
  <c r="S160" i="40"/>
  <c r="S114" i="40"/>
  <c r="S113" i="40"/>
  <c r="S48" i="40"/>
  <c r="S124" i="40"/>
  <c r="S111" i="40"/>
  <c r="S122" i="40"/>
  <c r="S151" i="40"/>
  <c r="S150" i="40"/>
  <c r="S149" i="40"/>
  <c r="S148" i="40"/>
  <c r="S147" i="40"/>
  <c r="S146" i="40"/>
  <c r="Q161" i="40"/>
  <c r="Q52" i="40"/>
  <c r="R117" i="40"/>
  <c r="R109" i="40"/>
  <c r="R161" i="39"/>
  <c r="R52" i="39"/>
  <c r="L133" i="39"/>
  <c r="L140" i="39"/>
  <c r="L145" i="39"/>
  <c r="L153" i="39"/>
  <c r="L129" i="39"/>
  <c r="Q162" i="39"/>
  <c r="Q130" i="39"/>
  <c r="Q99" i="39"/>
  <c r="Q100" i="39"/>
  <c r="Q103" i="39"/>
  <c r="Q31" i="39"/>
  <c r="Q136" i="39"/>
  <c r="Q134" i="39"/>
  <c r="Q161" i="39"/>
  <c r="Q52" i="39"/>
  <c r="S164" i="39"/>
  <c r="Q138" i="39"/>
  <c r="N57" i="39"/>
  <c r="N73" i="39"/>
  <c r="N92" i="39"/>
  <c r="N105" i="39"/>
  <c r="O32" i="39"/>
  <c r="R168" i="39"/>
  <c r="R18" i="39"/>
  <c r="R131" i="39"/>
  <c r="R101" i="39"/>
  <c r="R102" i="39"/>
  <c r="Q107" i="39"/>
  <c r="R122" i="39"/>
  <c r="R121" i="39"/>
  <c r="M117" i="39"/>
  <c r="M109" i="39"/>
  <c r="R163" i="39"/>
  <c r="R125" i="39"/>
  <c r="R126" i="39"/>
  <c r="R4" i="39"/>
  <c r="R93" i="39"/>
  <c r="R94" i="39"/>
  <c r="R97" i="39"/>
  <c r="R107" i="39"/>
  <c r="S127" i="39"/>
  <c r="S118" i="39"/>
  <c r="S120" i="39"/>
  <c r="S5" i="39"/>
  <c r="S106" i="39"/>
  <c r="S51" i="39"/>
  <c r="S89" i="39"/>
  <c r="S27" i="39"/>
  <c r="M57" i="38"/>
  <c r="M73" i="38"/>
  <c r="M92" i="38"/>
  <c r="M105" i="38"/>
  <c r="N32" i="38"/>
  <c r="K133" i="38"/>
  <c r="K140" i="38"/>
  <c r="K145" i="38"/>
  <c r="K153" i="38"/>
  <c r="K129" i="38"/>
  <c r="L117" i="38"/>
  <c r="L109" i="38"/>
  <c r="S161" i="38"/>
  <c r="S52" i="38"/>
  <c r="L161" i="38"/>
  <c r="L52" i="38"/>
  <c r="Q161" i="38"/>
  <c r="Q52" i="38"/>
  <c r="I161" i="38"/>
  <c r="I52" i="38"/>
  <c r="R161" i="38"/>
  <c r="R52" i="38"/>
  <c r="J161" i="38"/>
  <c r="J52" i="38"/>
  <c r="L168" i="38"/>
  <c r="L138" i="38"/>
  <c r="L131" i="38"/>
  <c r="L101" i="38"/>
  <c r="L18" i="38"/>
  <c r="L31" i="38"/>
  <c r="O161" i="38"/>
  <c r="O52" i="38"/>
  <c r="K161" i="38"/>
  <c r="K52" i="38"/>
  <c r="P52" i="38"/>
  <c r="P161" i="38"/>
  <c r="M161" i="38"/>
  <c r="M52" i="38"/>
  <c r="S106" i="37"/>
  <c r="S107" i="37"/>
  <c r="S51" i="37"/>
  <c r="K106" i="37"/>
  <c r="K107" i="37"/>
  <c r="K51" i="37"/>
  <c r="Q106" i="37"/>
  <c r="Q51" i="37"/>
  <c r="N106" i="37"/>
  <c r="N107" i="37"/>
  <c r="N51" i="37"/>
  <c r="P106" i="37"/>
  <c r="P51" i="37"/>
  <c r="I103" i="37"/>
  <c r="K105" i="37"/>
  <c r="L32" i="37"/>
  <c r="K57" i="37"/>
  <c r="K73" i="37"/>
  <c r="K92" i="37"/>
  <c r="J106" i="37"/>
  <c r="J107" i="37"/>
  <c r="J51" i="37"/>
  <c r="L106" i="37"/>
  <c r="L51" i="37"/>
  <c r="M106" i="37"/>
  <c r="M107" i="37"/>
  <c r="M51" i="37"/>
  <c r="P107" i="37"/>
  <c r="J117" i="37"/>
  <c r="J109" i="37"/>
  <c r="I106" i="37"/>
  <c r="I107" i="37"/>
  <c r="I51" i="37"/>
  <c r="K100" i="37"/>
  <c r="K103" i="37"/>
  <c r="L107" i="37"/>
  <c r="O106" i="37"/>
  <c r="O107" i="37"/>
  <c r="O51" i="37"/>
  <c r="Q107" i="37"/>
  <c r="R106" i="37"/>
  <c r="R107" i="37"/>
  <c r="R51" i="37"/>
  <c r="R100" i="37"/>
  <c r="R103" i="37"/>
  <c r="N100" i="37"/>
  <c r="N103" i="37"/>
  <c r="H161" i="37"/>
  <c r="H52" i="37"/>
  <c r="P117" i="41"/>
  <c r="P109" i="41"/>
  <c r="O129" i="41"/>
  <c r="O133" i="41"/>
  <c r="O140" i="41"/>
  <c r="O145" i="41"/>
  <c r="O153" i="41"/>
  <c r="Q57" i="41"/>
  <c r="Q73" i="41"/>
  <c r="Q92" i="41"/>
  <c r="R32" i="41"/>
  <c r="Q105" i="41"/>
  <c r="R133" i="40"/>
  <c r="R140" i="40"/>
  <c r="R145" i="40"/>
  <c r="R153" i="40"/>
  <c r="R129" i="40"/>
  <c r="S106" i="40"/>
  <c r="S107" i="40"/>
  <c r="S51" i="40"/>
  <c r="R161" i="40"/>
  <c r="R52" i="40"/>
  <c r="S163" i="39"/>
  <c r="S126" i="39"/>
  <c r="S125" i="39"/>
  <c r="S93" i="39"/>
  <c r="S94" i="39"/>
  <c r="S97" i="39"/>
  <c r="S107" i="39"/>
  <c r="S4" i="39"/>
  <c r="S122" i="39"/>
  <c r="S121" i="39"/>
  <c r="R103" i="39"/>
  <c r="S161" i="39"/>
  <c r="S52" i="39"/>
  <c r="O105" i="39"/>
  <c r="P32" i="39"/>
  <c r="O57" i="39"/>
  <c r="O73" i="39"/>
  <c r="O92" i="39"/>
  <c r="S168" i="39"/>
  <c r="S138" i="39"/>
  <c r="S131" i="39"/>
  <c r="S101" i="39"/>
  <c r="S102" i="39"/>
  <c r="S18" i="39"/>
  <c r="R162" i="39"/>
  <c r="R130" i="39"/>
  <c r="R99" i="39"/>
  <c r="R100" i="39"/>
  <c r="R31" i="39"/>
  <c r="R136" i="39"/>
  <c r="R134" i="39"/>
  <c r="R138" i="39"/>
  <c r="M129" i="39"/>
  <c r="M133" i="39"/>
  <c r="M140" i="39"/>
  <c r="M145" i="39"/>
  <c r="M153" i="39"/>
  <c r="N117" i="39"/>
  <c r="N109" i="39"/>
  <c r="L102" i="38"/>
  <c r="L103" i="38"/>
  <c r="M102" i="38"/>
  <c r="M103" i="38"/>
  <c r="N105" i="38"/>
  <c r="O32" i="38"/>
  <c r="N57" i="38"/>
  <c r="N73" i="38"/>
  <c r="N92" i="38"/>
  <c r="L133" i="38"/>
  <c r="L140" i="38"/>
  <c r="L145" i="38"/>
  <c r="L153" i="38"/>
  <c r="L129" i="38"/>
  <c r="M117" i="38"/>
  <c r="M109" i="38"/>
  <c r="J133" i="37"/>
  <c r="J140" i="37"/>
  <c r="J145" i="37"/>
  <c r="J153" i="37"/>
  <c r="J129" i="37"/>
  <c r="L161" i="37"/>
  <c r="L52" i="37"/>
  <c r="P161" i="37"/>
  <c r="P52" i="37"/>
  <c r="Q161" i="37"/>
  <c r="Q52" i="37"/>
  <c r="O161" i="37"/>
  <c r="O52" i="37"/>
  <c r="I161" i="37"/>
  <c r="I52" i="37"/>
  <c r="L105" i="37"/>
  <c r="M32" i="37"/>
  <c r="L57" i="37"/>
  <c r="L73" i="37"/>
  <c r="L92" i="37"/>
  <c r="S161" i="37"/>
  <c r="S52" i="37"/>
  <c r="R161" i="37"/>
  <c r="R52" i="37"/>
  <c r="M161" i="37"/>
  <c r="M52" i="37"/>
  <c r="J161" i="37"/>
  <c r="J52" i="37"/>
  <c r="K117" i="37"/>
  <c r="K109" i="37"/>
  <c r="N161" i="37"/>
  <c r="N52" i="37"/>
  <c r="K161" i="37"/>
  <c r="K52" i="37"/>
  <c r="Q117" i="41"/>
  <c r="Q109" i="41"/>
  <c r="R105" i="41"/>
  <c r="R57" i="41"/>
  <c r="R73" i="41"/>
  <c r="R92" i="41"/>
  <c r="S32" i="41"/>
  <c r="P133" i="41"/>
  <c r="P140" i="41"/>
  <c r="P145" i="41"/>
  <c r="P153" i="41"/>
  <c r="P129" i="41"/>
  <c r="S161" i="40"/>
  <c r="S52" i="40"/>
  <c r="N133" i="39"/>
  <c r="N140" i="39"/>
  <c r="N145" i="39"/>
  <c r="N153" i="39"/>
  <c r="N129" i="39"/>
  <c r="P57" i="39"/>
  <c r="P73" i="39"/>
  <c r="P92" i="39"/>
  <c r="Q32" i="39"/>
  <c r="P105" i="39"/>
  <c r="O117" i="39"/>
  <c r="O109" i="39"/>
  <c r="S103" i="39"/>
  <c r="S162" i="39"/>
  <c r="S130" i="39"/>
  <c r="S99" i="39"/>
  <c r="S100" i="39"/>
  <c r="S31" i="39"/>
  <c r="S136" i="39"/>
  <c r="S134" i="39"/>
  <c r="M129" i="38"/>
  <c r="M133" i="38"/>
  <c r="M140" i="38"/>
  <c r="M145" i="38"/>
  <c r="M153" i="38"/>
  <c r="O105" i="38"/>
  <c r="P32" i="38"/>
  <c r="O57" i="38"/>
  <c r="O73" i="38"/>
  <c r="O92" i="38"/>
  <c r="N117" i="38"/>
  <c r="N109" i="38"/>
  <c r="K133" i="37"/>
  <c r="K140" i="37"/>
  <c r="K145" i="37"/>
  <c r="K153" i="37"/>
  <c r="K129" i="37"/>
  <c r="M105" i="37"/>
  <c r="M57" i="37"/>
  <c r="M73" i="37"/>
  <c r="M92" i="37"/>
  <c r="N32" i="37"/>
  <c r="L117" i="37"/>
  <c r="L109" i="37"/>
  <c r="R117" i="41"/>
  <c r="R109" i="41"/>
  <c r="S105" i="41"/>
  <c r="S57" i="41"/>
  <c r="S73" i="41"/>
  <c r="S92" i="41"/>
  <c r="Q133" i="41"/>
  <c r="Q140" i="41"/>
  <c r="Q145" i="41"/>
  <c r="Q153" i="41"/>
  <c r="Q129" i="41"/>
  <c r="Q57" i="39"/>
  <c r="Q73" i="39"/>
  <c r="Q92" i="39"/>
  <c r="Q105" i="39"/>
  <c r="R32" i="39"/>
  <c r="O133" i="39"/>
  <c r="O140" i="39"/>
  <c r="O145" i="39"/>
  <c r="O153" i="39"/>
  <c r="O129" i="39"/>
  <c r="P117" i="39"/>
  <c r="P109" i="39"/>
  <c r="O109" i="38"/>
  <c r="O117" i="38"/>
  <c r="N133" i="38"/>
  <c r="N140" i="38"/>
  <c r="N145" i="38"/>
  <c r="N153" i="38"/>
  <c r="N129" i="38"/>
  <c r="P105" i="38"/>
  <c r="Q32" i="38"/>
  <c r="P57" i="38"/>
  <c r="P73" i="38"/>
  <c r="P92" i="38"/>
  <c r="M117" i="37"/>
  <c r="M109" i="37"/>
  <c r="L133" i="37"/>
  <c r="L140" i="37"/>
  <c r="L145" i="37"/>
  <c r="L153" i="37"/>
  <c r="L129" i="37"/>
  <c r="N105" i="37"/>
  <c r="O32" i="37"/>
  <c r="N57" i="37"/>
  <c r="N73" i="37"/>
  <c r="N92" i="37"/>
  <c r="S117" i="41"/>
  <c r="S109" i="41"/>
  <c r="R133" i="41"/>
  <c r="R140" i="41"/>
  <c r="R145" i="41"/>
  <c r="R153" i="41"/>
  <c r="R129" i="41"/>
  <c r="P133" i="39"/>
  <c r="P140" i="39"/>
  <c r="P145" i="39"/>
  <c r="P153" i="39"/>
  <c r="P129" i="39"/>
  <c r="Q117" i="39"/>
  <c r="Q109" i="39"/>
  <c r="R57" i="39"/>
  <c r="R73" i="39"/>
  <c r="R92" i="39"/>
  <c r="R105" i="39"/>
  <c r="S32" i="39"/>
  <c r="Q57" i="38"/>
  <c r="Q73" i="38"/>
  <c r="Q92" i="38"/>
  <c r="Q105" i="38"/>
  <c r="R32" i="38"/>
  <c r="O133" i="38"/>
  <c r="O140" i="38"/>
  <c r="O145" i="38"/>
  <c r="O153" i="38"/>
  <c r="O129" i="38"/>
  <c r="P117" i="38"/>
  <c r="P109" i="38"/>
  <c r="O105" i="37"/>
  <c r="P32" i="37"/>
  <c r="O57" i="37"/>
  <c r="O73" i="37"/>
  <c r="O92" i="37"/>
  <c r="N117" i="37"/>
  <c r="N109" i="37"/>
  <c r="M133" i="37"/>
  <c r="M140" i="37"/>
  <c r="M145" i="37"/>
  <c r="M153" i="37"/>
  <c r="M129" i="37"/>
  <c r="S167" i="35"/>
  <c r="R167" i="35"/>
  <c r="Q167" i="35"/>
  <c r="P167" i="35"/>
  <c r="O167" i="35"/>
  <c r="N167" i="35"/>
  <c r="L167" i="35"/>
  <c r="K167" i="35"/>
  <c r="J167" i="35"/>
  <c r="I167" i="35"/>
  <c r="H167" i="35"/>
  <c r="S166" i="35"/>
  <c r="R166" i="35"/>
  <c r="Q166" i="35"/>
  <c r="P166" i="35"/>
  <c r="O166" i="35"/>
  <c r="N166" i="35"/>
  <c r="M166" i="35"/>
  <c r="L166" i="35"/>
  <c r="K166" i="35"/>
  <c r="J166" i="35"/>
  <c r="I166" i="35"/>
  <c r="H166" i="35"/>
  <c r="L165" i="35"/>
  <c r="H157" i="35"/>
  <c r="S156" i="35"/>
  <c r="R156" i="35"/>
  <c r="Q156" i="35"/>
  <c r="P156" i="35"/>
  <c r="O156" i="35"/>
  <c r="N156" i="35"/>
  <c r="M156" i="35"/>
  <c r="L156" i="35"/>
  <c r="K156" i="35"/>
  <c r="J156" i="35"/>
  <c r="I156" i="35"/>
  <c r="H156" i="35"/>
  <c r="S155" i="35"/>
  <c r="R155" i="35"/>
  <c r="Q155" i="35"/>
  <c r="P155" i="35"/>
  <c r="O155" i="35"/>
  <c r="N155" i="35"/>
  <c r="M155" i="35"/>
  <c r="L155" i="35"/>
  <c r="K155" i="35"/>
  <c r="J155" i="35"/>
  <c r="I155" i="35"/>
  <c r="H155" i="35"/>
  <c r="L142" i="35"/>
  <c r="E138" i="35"/>
  <c r="N135" i="35"/>
  <c r="M135" i="35"/>
  <c r="L135" i="35"/>
  <c r="K135" i="35"/>
  <c r="J135" i="35"/>
  <c r="I135" i="35"/>
  <c r="H135" i="35"/>
  <c r="P125" i="35"/>
  <c r="S123" i="35"/>
  <c r="R123" i="35"/>
  <c r="Q123" i="35"/>
  <c r="P123" i="35"/>
  <c r="O123" i="35"/>
  <c r="N123" i="35"/>
  <c r="M123" i="35"/>
  <c r="L123" i="35"/>
  <c r="K123" i="35"/>
  <c r="J123" i="35"/>
  <c r="I123" i="35"/>
  <c r="H123" i="35"/>
  <c r="L119" i="35"/>
  <c r="L120" i="35"/>
  <c r="S118" i="35"/>
  <c r="R118" i="35"/>
  <c r="Q118" i="35"/>
  <c r="P118" i="35"/>
  <c r="O118" i="35"/>
  <c r="N118" i="35"/>
  <c r="M118" i="35"/>
  <c r="L118" i="35"/>
  <c r="K118" i="35"/>
  <c r="J118" i="35"/>
  <c r="I118" i="35"/>
  <c r="H118" i="35"/>
  <c r="O115" i="35"/>
  <c r="N115" i="35"/>
  <c r="M115" i="35"/>
  <c r="K115" i="35"/>
  <c r="J115" i="35"/>
  <c r="I115" i="35"/>
  <c r="H115" i="35"/>
  <c r="R112" i="35"/>
  <c r="N112" i="35"/>
  <c r="J112" i="35"/>
  <c r="R111" i="35"/>
  <c r="N111" i="35"/>
  <c r="J111" i="35"/>
  <c r="R110" i="35"/>
  <c r="R124" i="35"/>
  <c r="N110" i="35"/>
  <c r="N124" i="35"/>
  <c r="J110" i="35"/>
  <c r="J124" i="35"/>
  <c r="H105" i="35"/>
  <c r="N101" i="35"/>
  <c r="J101" i="35"/>
  <c r="M99" i="35"/>
  <c r="I99" i="35"/>
  <c r="S95" i="35"/>
  <c r="O95" i="35"/>
  <c r="K95" i="35"/>
  <c r="Q93" i="35"/>
  <c r="M93" i="35"/>
  <c r="I93" i="35"/>
  <c r="O90" i="35"/>
  <c r="N90" i="35"/>
  <c r="K90" i="35"/>
  <c r="J90" i="35"/>
  <c r="I90" i="35"/>
  <c r="S89" i="35"/>
  <c r="R89" i="35"/>
  <c r="Q89" i="35"/>
  <c r="P89" i="35"/>
  <c r="O89" i="35"/>
  <c r="N89" i="35"/>
  <c r="M89" i="35"/>
  <c r="L89" i="35"/>
  <c r="K89" i="35"/>
  <c r="J89" i="35"/>
  <c r="I89" i="35"/>
  <c r="S88" i="35"/>
  <c r="R88" i="35"/>
  <c r="Q88" i="35"/>
  <c r="P88" i="35"/>
  <c r="O88" i="35"/>
  <c r="M88" i="35"/>
  <c r="L88" i="35"/>
  <c r="K88" i="35"/>
  <c r="J88" i="35"/>
  <c r="I88" i="35"/>
  <c r="N87" i="35"/>
  <c r="M87" i="35"/>
  <c r="L87" i="35"/>
  <c r="K87" i="35"/>
  <c r="J87" i="35"/>
  <c r="I87" i="35"/>
  <c r="S86" i="35"/>
  <c r="R86" i="35"/>
  <c r="Q86" i="35"/>
  <c r="P86" i="35"/>
  <c r="O86" i="35"/>
  <c r="N86" i="35"/>
  <c r="M86" i="35"/>
  <c r="L86" i="35"/>
  <c r="K86" i="35"/>
  <c r="J86" i="35"/>
  <c r="I86" i="35"/>
  <c r="H86" i="35"/>
  <c r="S71" i="35"/>
  <c r="R71" i="35"/>
  <c r="Q71" i="35"/>
  <c r="P71" i="35"/>
  <c r="O71" i="35"/>
  <c r="N71" i="35"/>
  <c r="M71" i="35"/>
  <c r="L71" i="35"/>
  <c r="K71" i="35"/>
  <c r="J71" i="35"/>
  <c r="I71" i="35"/>
  <c r="H71" i="35"/>
  <c r="H57" i="35"/>
  <c r="H73" i="35"/>
  <c r="H92" i="35"/>
  <c r="M47" i="35"/>
  <c r="L46" i="35"/>
  <c r="S41" i="35"/>
  <c r="S158" i="35"/>
  <c r="R41" i="35"/>
  <c r="R158" i="35"/>
  <c r="Q41" i="35"/>
  <c r="Q158" i="35"/>
  <c r="P41" i="35"/>
  <c r="P158" i="35"/>
  <c r="O41" i="35"/>
  <c r="O158" i="35"/>
  <c r="N41" i="35"/>
  <c r="N158" i="35"/>
  <c r="M41" i="35"/>
  <c r="M158" i="35"/>
  <c r="L41" i="35"/>
  <c r="L158" i="35"/>
  <c r="K41" i="35"/>
  <c r="K158" i="35"/>
  <c r="J41" i="35"/>
  <c r="J158" i="35"/>
  <c r="I41" i="35"/>
  <c r="I158" i="35"/>
  <c r="H41" i="35"/>
  <c r="H158" i="35"/>
  <c r="S38" i="35"/>
  <c r="R38" i="35"/>
  <c r="Q38" i="35"/>
  <c r="P38" i="35"/>
  <c r="O38" i="35"/>
  <c r="N38" i="35"/>
  <c r="M38" i="35"/>
  <c r="L38" i="35"/>
  <c r="K38" i="35"/>
  <c r="J38" i="35"/>
  <c r="I38" i="35"/>
  <c r="H38" i="35"/>
  <c r="S33" i="35"/>
  <c r="R33" i="35"/>
  <c r="Q33" i="35"/>
  <c r="Q46" i="35"/>
  <c r="P33" i="35"/>
  <c r="O33" i="35"/>
  <c r="O46" i="35"/>
  <c r="N33" i="35"/>
  <c r="M33" i="35"/>
  <c r="M137" i="35"/>
  <c r="L33" i="35"/>
  <c r="K33" i="35"/>
  <c r="J33" i="35"/>
  <c r="I33" i="35"/>
  <c r="I46" i="35"/>
  <c r="H33" i="35"/>
  <c r="I32" i="35"/>
  <c r="I57" i="35"/>
  <c r="I73" i="35"/>
  <c r="I92" i="35"/>
  <c r="P29" i="35"/>
  <c r="P115" i="35"/>
  <c r="L29" i="35"/>
  <c r="P27" i="35"/>
  <c r="O27" i="35"/>
  <c r="N27" i="35"/>
  <c r="M27" i="35"/>
  <c r="L27" i="35"/>
  <c r="K27" i="35"/>
  <c r="J27" i="35"/>
  <c r="I27" i="35"/>
  <c r="H27" i="35"/>
  <c r="M24" i="35"/>
  <c r="M21" i="35"/>
  <c r="S19" i="35"/>
  <c r="R19" i="35"/>
  <c r="Q19" i="35"/>
  <c r="P19" i="35"/>
  <c r="P165" i="35"/>
  <c r="O19" i="35"/>
  <c r="N19" i="35"/>
  <c r="M19" i="35"/>
  <c r="L19" i="35"/>
  <c r="L95" i="35"/>
  <c r="L96" i="35"/>
  <c r="K19" i="35"/>
  <c r="J19" i="35"/>
  <c r="I19" i="35"/>
  <c r="H19" i="35"/>
  <c r="H165" i="35"/>
  <c r="M18" i="35"/>
  <c r="I18" i="35"/>
  <c r="O15" i="35"/>
  <c r="O135" i="35"/>
  <c r="O10" i="35"/>
  <c r="N10" i="35"/>
  <c r="M10" i="35"/>
  <c r="L10" i="35"/>
  <c r="K10" i="35"/>
  <c r="J10" i="35"/>
  <c r="I10" i="35"/>
  <c r="H10" i="35"/>
  <c r="H164" i="35"/>
  <c r="S5" i="35"/>
  <c r="R5" i="35"/>
  <c r="Q5" i="35"/>
  <c r="P5" i="35"/>
  <c r="P126" i="35"/>
  <c r="O5" i="35"/>
  <c r="N5" i="35"/>
  <c r="M5" i="35"/>
  <c r="L5" i="35"/>
  <c r="K5" i="35"/>
  <c r="J5" i="35"/>
  <c r="I5" i="35"/>
  <c r="H5" i="35"/>
  <c r="M4" i="35"/>
  <c r="L4" i="35"/>
  <c r="I4" i="35"/>
  <c r="H4" i="35"/>
  <c r="S133" i="41"/>
  <c r="S140" i="41"/>
  <c r="S145" i="41"/>
  <c r="S153" i="41"/>
  <c r="S129" i="41"/>
  <c r="Q129" i="39"/>
  <c r="Q133" i="39"/>
  <c r="Q140" i="39"/>
  <c r="Q145" i="39"/>
  <c r="Q153" i="39"/>
  <c r="R117" i="39"/>
  <c r="R109" i="39"/>
  <c r="S105" i="39"/>
  <c r="S57" i="39"/>
  <c r="S73" i="39"/>
  <c r="S92" i="39"/>
  <c r="R105" i="38"/>
  <c r="S32" i="38"/>
  <c r="R57" i="38"/>
  <c r="R73" i="38"/>
  <c r="R92" i="38"/>
  <c r="P133" i="38"/>
  <c r="P140" i="38"/>
  <c r="P145" i="38"/>
  <c r="P153" i="38"/>
  <c r="P129" i="38"/>
  <c r="Q117" i="38"/>
  <c r="Q109" i="38"/>
  <c r="N133" i="37"/>
  <c r="N140" i="37"/>
  <c r="N145" i="37"/>
  <c r="N153" i="37"/>
  <c r="N129" i="37"/>
  <c r="P105" i="37"/>
  <c r="Q32" i="37"/>
  <c r="P57" i="37"/>
  <c r="P73" i="37"/>
  <c r="P92" i="37"/>
  <c r="O117" i="37"/>
  <c r="O109" i="37"/>
  <c r="O114" i="35"/>
  <c r="O113" i="35"/>
  <c r="O160" i="35"/>
  <c r="O48" i="35"/>
  <c r="H162" i="35"/>
  <c r="H99" i="35"/>
  <c r="H130" i="35"/>
  <c r="J165" i="35"/>
  <c r="J119" i="35"/>
  <c r="J120" i="35"/>
  <c r="J95" i="35"/>
  <c r="J96" i="35"/>
  <c r="R165" i="35"/>
  <c r="R119" i="35"/>
  <c r="R120" i="35"/>
  <c r="R95" i="35"/>
  <c r="R96" i="35"/>
  <c r="L168" i="35"/>
  <c r="L138" i="35"/>
  <c r="L131" i="35"/>
  <c r="L101" i="35"/>
  <c r="L18" i="35"/>
  <c r="L31" i="35"/>
  <c r="L114" i="35"/>
  <c r="L160" i="35"/>
  <c r="L113" i="35"/>
  <c r="L48" i="35"/>
  <c r="N163" i="35"/>
  <c r="N126" i="35"/>
  <c r="N125" i="35"/>
  <c r="J164" i="35"/>
  <c r="K137" i="35"/>
  <c r="K154" i="35"/>
  <c r="K142" i="35"/>
  <c r="K141" i="35"/>
  <c r="K112" i="35"/>
  <c r="K110" i="35"/>
  <c r="S154" i="35"/>
  <c r="S142" i="35"/>
  <c r="S141" i="35"/>
  <c r="S112" i="35"/>
  <c r="S110" i="35"/>
  <c r="O159" i="35"/>
  <c r="O157" i="35"/>
  <c r="O143" i="35"/>
  <c r="O127" i="35"/>
  <c r="S127" i="35"/>
  <c r="S159" i="35"/>
  <c r="S157" i="35"/>
  <c r="S143" i="35"/>
  <c r="N93" i="35"/>
  <c r="N94" i="35"/>
  <c r="N4" i="35"/>
  <c r="K126" i="35"/>
  <c r="K125" i="35"/>
  <c r="K163" i="35"/>
  <c r="K93" i="35"/>
  <c r="K134" i="35"/>
  <c r="K164" i="35"/>
  <c r="L115" i="35"/>
  <c r="M90" i="35"/>
  <c r="L90" i="35"/>
  <c r="L91" i="35"/>
  <c r="H136" i="35"/>
  <c r="H154" i="35"/>
  <c r="H142" i="35"/>
  <c r="H137" i="35"/>
  <c r="H141" i="35"/>
  <c r="H112" i="35"/>
  <c r="H110" i="35"/>
  <c r="P154" i="35"/>
  <c r="P142" i="35"/>
  <c r="P137" i="35"/>
  <c r="P141" i="35"/>
  <c r="P112" i="35"/>
  <c r="P110" i="35"/>
  <c r="L159" i="35"/>
  <c r="L157" i="35"/>
  <c r="L143" i="35"/>
  <c r="L127" i="35"/>
  <c r="P143" i="35"/>
  <c r="P127" i="35"/>
  <c r="P157" i="35"/>
  <c r="P46" i="35"/>
  <c r="I94" i="35"/>
  <c r="L121" i="35"/>
  <c r="P159" i="35"/>
  <c r="L130" i="35"/>
  <c r="L99" i="35"/>
  <c r="N165" i="35"/>
  <c r="N119" i="35"/>
  <c r="N120" i="35"/>
  <c r="N95" i="35"/>
  <c r="N96" i="35"/>
  <c r="H168" i="35"/>
  <c r="H138" i="35"/>
  <c r="H101" i="35"/>
  <c r="H18" i="35"/>
  <c r="H31" i="35"/>
  <c r="H131" i="35"/>
  <c r="P168" i="35"/>
  <c r="P131" i="35"/>
  <c r="P101" i="35"/>
  <c r="P102" i="35"/>
  <c r="P18" i="35"/>
  <c r="J163" i="35"/>
  <c r="J126" i="35"/>
  <c r="J125" i="35"/>
  <c r="R163" i="35"/>
  <c r="R126" i="35"/>
  <c r="R125" i="35"/>
  <c r="N164" i="35"/>
  <c r="J18" i="35"/>
  <c r="O137" i="35"/>
  <c r="O141" i="35"/>
  <c r="O154" i="35"/>
  <c r="O142" i="35"/>
  <c r="O112" i="35"/>
  <c r="O110" i="35"/>
  <c r="K127" i="35"/>
  <c r="K159" i="35"/>
  <c r="K157" i="35"/>
  <c r="K143" i="35"/>
  <c r="S96" i="35"/>
  <c r="H109" i="35"/>
  <c r="H117" i="35"/>
  <c r="J4" i="35"/>
  <c r="J134" i="35"/>
  <c r="O163" i="35"/>
  <c r="O126" i="35"/>
  <c r="O125" i="35"/>
  <c r="O93" i="35"/>
  <c r="O94" i="35"/>
  <c r="S126" i="35"/>
  <c r="S125" i="35"/>
  <c r="S163" i="35"/>
  <c r="S93" i="35"/>
  <c r="S94" i="35"/>
  <c r="S97" i="35"/>
  <c r="O164" i="35"/>
  <c r="L137" i="35"/>
  <c r="L141" i="35"/>
  <c r="L136" i="35"/>
  <c r="L154" i="35"/>
  <c r="L112" i="35"/>
  <c r="L110" i="35"/>
  <c r="H159" i="35"/>
  <c r="H143" i="35"/>
  <c r="H46" i="35"/>
  <c r="Q94" i="35"/>
  <c r="K4" i="35"/>
  <c r="O4" i="35"/>
  <c r="H125" i="35"/>
  <c r="H93" i="35"/>
  <c r="H163" i="35"/>
  <c r="H126" i="35"/>
  <c r="L163" i="35"/>
  <c r="L125" i="35"/>
  <c r="L126" i="35"/>
  <c r="L93" i="35"/>
  <c r="L94" i="35"/>
  <c r="L97" i="35"/>
  <c r="N18" i="35"/>
  <c r="I165" i="35"/>
  <c r="I119" i="35"/>
  <c r="I120" i="35"/>
  <c r="I95" i="35"/>
  <c r="M165" i="35"/>
  <c r="M119" i="35"/>
  <c r="M120" i="35"/>
  <c r="M95" i="35"/>
  <c r="M96" i="35"/>
  <c r="Q165" i="35"/>
  <c r="Q119" i="35"/>
  <c r="Q120" i="35"/>
  <c r="Q95" i="35"/>
  <c r="M167" i="35"/>
  <c r="N88" i="35"/>
  <c r="K168" i="35"/>
  <c r="K131" i="35"/>
  <c r="K138" i="35"/>
  <c r="K18" i="35"/>
  <c r="K101" i="35"/>
  <c r="K102" i="35"/>
  <c r="O168" i="35"/>
  <c r="O131" i="35"/>
  <c r="O18" i="35"/>
  <c r="O101" i="35"/>
  <c r="O102" i="35"/>
  <c r="I160" i="35"/>
  <c r="I114" i="35"/>
  <c r="I113" i="35"/>
  <c r="I48" i="35"/>
  <c r="Q160" i="35"/>
  <c r="Q114" i="35"/>
  <c r="Q113" i="35"/>
  <c r="Q48" i="35"/>
  <c r="K46" i="35"/>
  <c r="S46" i="35"/>
  <c r="J93" i="35"/>
  <c r="J94" i="35"/>
  <c r="J97" i="35"/>
  <c r="R93" i="35"/>
  <c r="R94" i="35"/>
  <c r="I100" i="35"/>
  <c r="H127" i="35"/>
  <c r="L162" i="35"/>
  <c r="M46" i="35"/>
  <c r="P90" i="35"/>
  <c r="H95" i="35"/>
  <c r="P95" i="35"/>
  <c r="P96" i="35"/>
  <c r="I105" i="35"/>
  <c r="P119" i="35"/>
  <c r="P120" i="35"/>
  <c r="L134" i="35"/>
  <c r="K165" i="35"/>
  <c r="K119" i="35"/>
  <c r="K120" i="35"/>
  <c r="O165" i="35"/>
  <c r="O119" i="35"/>
  <c r="O120" i="35"/>
  <c r="S165" i="35"/>
  <c r="S119" i="35"/>
  <c r="S120" i="35"/>
  <c r="I168" i="35"/>
  <c r="I138" i="35"/>
  <c r="I131" i="35"/>
  <c r="M168" i="35"/>
  <c r="M138" i="35"/>
  <c r="M131" i="35"/>
  <c r="I154" i="35"/>
  <c r="I142" i="35"/>
  <c r="I141" i="35"/>
  <c r="I137" i="35"/>
  <c r="M154" i="35"/>
  <c r="M142" i="35"/>
  <c r="M141" i="35"/>
  <c r="M136" i="35"/>
  <c r="Q154" i="35"/>
  <c r="Q142" i="35"/>
  <c r="Q141" i="35"/>
  <c r="I159" i="35"/>
  <c r="I157" i="35"/>
  <c r="I143" i="35"/>
  <c r="I127" i="35"/>
  <c r="M159" i="35"/>
  <c r="M157" i="35"/>
  <c r="M143" i="35"/>
  <c r="M127" i="35"/>
  <c r="Q159" i="35"/>
  <c r="Q157" i="35"/>
  <c r="Q143" i="35"/>
  <c r="Q127" i="35"/>
  <c r="I162" i="35"/>
  <c r="I130" i="35"/>
  <c r="M162" i="35"/>
  <c r="M130" i="35"/>
  <c r="I163" i="35"/>
  <c r="I126" i="35"/>
  <c r="I125" i="35"/>
  <c r="M163" i="35"/>
  <c r="M126" i="35"/>
  <c r="M125" i="35"/>
  <c r="Q163" i="35"/>
  <c r="Q126" i="35"/>
  <c r="Q125" i="35"/>
  <c r="I164" i="35"/>
  <c r="I134" i="35"/>
  <c r="M164" i="35"/>
  <c r="M134" i="35"/>
  <c r="P15" i="35"/>
  <c r="J168" i="35"/>
  <c r="J138" i="35"/>
  <c r="J131" i="35"/>
  <c r="N168" i="35"/>
  <c r="N138" i="35"/>
  <c r="N131" i="35"/>
  <c r="Q29" i="35"/>
  <c r="I31" i="35"/>
  <c r="M31" i="35"/>
  <c r="J32" i="35"/>
  <c r="J154" i="35"/>
  <c r="J142" i="35"/>
  <c r="J141" i="35"/>
  <c r="J137" i="35"/>
  <c r="N154" i="35"/>
  <c r="N142" i="35"/>
  <c r="N141" i="35"/>
  <c r="N137" i="35"/>
  <c r="R154" i="35"/>
  <c r="R142" i="35"/>
  <c r="R141" i="35"/>
  <c r="J159" i="35"/>
  <c r="J157" i="35"/>
  <c r="J143" i="35"/>
  <c r="J127" i="35"/>
  <c r="N159" i="35"/>
  <c r="N157" i="35"/>
  <c r="N143" i="35"/>
  <c r="N127" i="35"/>
  <c r="R159" i="35"/>
  <c r="R157" i="35"/>
  <c r="R143" i="35"/>
  <c r="R127" i="35"/>
  <c r="J46" i="35"/>
  <c r="N46" i="35"/>
  <c r="R46" i="35"/>
  <c r="P93" i="35"/>
  <c r="H134" i="35"/>
  <c r="P163" i="35"/>
  <c r="O87" i="35"/>
  <c r="I101" i="35"/>
  <c r="I102" i="35"/>
  <c r="I103" i="35"/>
  <c r="M101" i="35"/>
  <c r="M102" i="35"/>
  <c r="I110" i="35"/>
  <c r="M110" i="35"/>
  <c r="Q110" i="35"/>
  <c r="I112" i="35"/>
  <c r="M112" i="35"/>
  <c r="Q112" i="35"/>
  <c r="H119" i="35"/>
  <c r="H120" i="35"/>
  <c r="I136" i="35"/>
  <c r="L164" i="35"/>
  <c r="S167" i="34"/>
  <c r="R167" i="34"/>
  <c r="Q167" i="34"/>
  <c r="P167" i="34"/>
  <c r="O167" i="34"/>
  <c r="N167" i="34"/>
  <c r="M167" i="34"/>
  <c r="L167" i="34"/>
  <c r="K167" i="34"/>
  <c r="J167" i="34"/>
  <c r="I167" i="34"/>
  <c r="H167" i="34"/>
  <c r="S166" i="34"/>
  <c r="R166" i="34"/>
  <c r="Q166" i="34"/>
  <c r="P166" i="34"/>
  <c r="O166" i="34"/>
  <c r="N166" i="34"/>
  <c r="M166" i="34"/>
  <c r="L166" i="34"/>
  <c r="K166" i="34"/>
  <c r="J166" i="34"/>
  <c r="I166" i="34"/>
  <c r="H166" i="34"/>
  <c r="O156" i="34"/>
  <c r="N156" i="34"/>
  <c r="M156" i="34"/>
  <c r="L156" i="34"/>
  <c r="K156" i="34"/>
  <c r="J156" i="34"/>
  <c r="I156" i="34"/>
  <c r="H156" i="34"/>
  <c r="S155" i="34"/>
  <c r="R155" i="34"/>
  <c r="Q155" i="34"/>
  <c r="P155" i="34"/>
  <c r="O155" i="34"/>
  <c r="N155" i="34"/>
  <c r="M155" i="34"/>
  <c r="L155" i="34"/>
  <c r="K155" i="34"/>
  <c r="J155" i="34"/>
  <c r="I155" i="34"/>
  <c r="H155" i="34"/>
  <c r="P154" i="34"/>
  <c r="H142" i="34"/>
  <c r="E138" i="34"/>
  <c r="M137" i="34"/>
  <c r="S135" i="34"/>
  <c r="R135" i="34"/>
  <c r="Q135" i="34"/>
  <c r="P135" i="34"/>
  <c r="O135" i="34"/>
  <c r="N135" i="34"/>
  <c r="M135" i="34"/>
  <c r="L135" i="34"/>
  <c r="K135" i="34"/>
  <c r="J135" i="34"/>
  <c r="I135" i="34"/>
  <c r="H135" i="34"/>
  <c r="S123" i="34"/>
  <c r="R123" i="34"/>
  <c r="Q123" i="34"/>
  <c r="P123" i="34"/>
  <c r="O123" i="34"/>
  <c r="N123" i="34"/>
  <c r="M123" i="34"/>
  <c r="L123" i="34"/>
  <c r="K123" i="34"/>
  <c r="J123" i="34"/>
  <c r="I123" i="34"/>
  <c r="H123" i="34"/>
  <c r="S118" i="34"/>
  <c r="R118" i="34"/>
  <c r="Q118" i="34"/>
  <c r="P118" i="34"/>
  <c r="O118" i="34"/>
  <c r="N118" i="34"/>
  <c r="M118" i="34"/>
  <c r="L118" i="34"/>
  <c r="K118" i="34"/>
  <c r="J118" i="34"/>
  <c r="I118" i="34"/>
  <c r="H118" i="34"/>
  <c r="M115" i="34"/>
  <c r="K115" i="34"/>
  <c r="J115" i="34"/>
  <c r="I115" i="34"/>
  <c r="H115" i="34"/>
  <c r="L110" i="34"/>
  <c r="H105" i="34"/>
  <c r="H117" i="34"/>
  <c r="H133" i="34"/>
  <c r="H140" i="34"/>
  <c r="H145" i="34"/>
  <c r="H153" i="34"/>
  <c r="S95" i="34"/>
  <c r="O95" i="34"/>
  <c r="K95" i="34"/>
  <c r="R93" i="34"/>
  <c r="N90" i="34"/>
  <c r="K90" i="34"/>
  <c r="J90" i="34"/>
  <c r="I90" i="34"/>
  <c r="S89" i="34"/>
  <c r="R89" i="34"/>
  <c r="Q89" i="34"/>
  <c r="P89" i="34"/>
  <c r="O89" i="34"/>
  <c r="N89" i="34"/>
  <c r="M89" i="34"/>
  <c r="L89" i="34"/>
  <c r="K89" i="34"/>
  <c r="J89" i="34"/>
  <c r="I89" i="34"/>
  <c r="S88" i="34"/>
  <c r="R88" i="34"/>
  <c r="Q88" i="34"/>
  <c r="P88" i="34"/>
  <c r="O88" i="34"/>
  <c r="N88" i="34"/>
  <c r="M88" i="34"/>
  <c r="L88" i="34"/>
  <c r="K88" i="34"/>
  <c r="J88" i="34"/>
  <c r="I88" i="34"/>
  <c r="S87" i="34"/>
  <c r="R87" i="34"/>
  <c r="Q87" i="34"/>
  <c r="P87" i="34"/>
  <c r="O87" i="34"/>
  <c r="N87" i="34"/>
  <c r="M87" i="34"/>
  <c r="L87" i="34"/>
  <c r="K87" i="34"/>
  <c r="J87" i="34"/>
  <c r="I87" i="34"/>
  <c r="S86" i="34"/>
  <c r="R86" i="34"/>
  <c r="Q86" i="34"/>
  <c r="P86" i="34"/>
  <c r="O86" i="34"/>
  <c r="N86" i="34"/>
  <c r="M86" i="34"/>
  <c r="L86" i="34"/>
  <c r="K86" i="34"/>
  <c r="J86" i="34"/>
  <c r="I86" i="34"/>
  <c r="H86" i="34"/>
  <c r="S71" i="34"/>
  <c r="R71" i="34"/>
  <c r="Q71" i="34"/>
  <c r="P71" i="34"/>
  <c r="O71" i="34"/>
  <c r="N71" i="34"/>
  <c r="M71" i="34"/>
  <c r="L71" i="34"/>
  <c r="K71" i="34"/>
  <c r="J71" i="34"/>
  <c r="I71" i="34"/>
  <c r="H71" i="34"/>
  <c r="H57" i="34"/>
  <c r="H73" i="34"/>
  <c r="H92" i="34"/>
  <c r="S41" i="34"/>
  <c r="S158" i="34"/>
  <c r="R41" i="34"/>
  <c r="R158" i="34"/>
  <c r="Q41" i="34"/>
  <c r="Q158" i="34"/>
  <c r="P41" i="34"/>
  <c r="P158" i="34"/>
  <c r="O41" i="34"/>
  <c r="O158" i="34"/>
  <c r="N41" i="34"/>
  <c r="N158" i="34"/>
  <c r="M41" i="34"/>
  <c r="M158" i="34"/>
  <c r="L41" i="34"/>
  <c r="L158" i="34"/>
  <c r="K41" i="34"/>
  <c r="K158" i="34"/>
  <c r="J41" i="34"/>
  <c r="J158" i="34"/>
  <c r="I41" i="34"/>
  <c r="I158" i="34"/>
  <c r="H41" i="34"/>
  <c r="H158" i="34"/>
  <c r="S38" i="34"/>
  <c r="R38" i="34"/>
  <c r="Q38" i="34"/>
  <c r="P38" i="34"/>
  <c r="O38" i="34"/>
  <c r="N38" i="34"/>
  <c r="M38" i="34"/>
  <c r="L38" i="34"/>
  <c r="K38" i="34"/>
  <c r="J38" i="34"/>
  <c r="I38" i="34"/>
  <c r="H38" i="34"/>
  <c r="S36" i="34"/>
  <c r="S33" i="34"/>
  <c r="R36" i="34"/>
  <c r="Q36" i="34"/>
  <c r="P36" i="34"/>
  <c r="R33" i="34"/>
  <c r="Q33" i="34"/>
  <c r="P33" i="34"/>
  <c r="O33" i="34"/>
  <c r="N33" i="34"/>
  <c r="M33" i="34"/>
  <c r="L33" i="34"/>
  <c r="K33" i="34"/>
  <c r="K46" i="34"/>
  <c r="J33" i="34"/>
  <c r="I33" i="34"/>
  <c r="H33" i="34"/>
  <c r="K32" i="34"/>
  <c r="I32" i="34"/>
  <c r="J32" i="34"/>
  <c r="L29" i="34"/>
  <c r="L27" i="34"/>
  <c r="M27" i="34"/>
  <c r="K27" i="34"/>
  <c r="J27" i="34"/>
  <c r="J101" i="34"/>
  <c r="I27" i="34"/>
  <c r="H27" i="34"/>
  <c r="L21" i="34"/>
  <c r="K21" i="34"/>
  <c r="K19" i="34"/>
  <c r="S19" i="34"/>
  <c r="R19" i="34"/>
  <c r="Q19" i="34"/>
  <c r="P19" i="34"/>
  <c r="O19" i="34"/>
  <c r="N19" i="34"/>
  <c r="M19" i="34"/>
  <c r="L19" i="34"/>
  <c r="J19" i="34"/>
  <c r="I19" i="34"/>
  <c r="H19" i="34"/>
  <c r="M18" i="34"/>
  <c r="I18" i="34"/>
  <c r="S10" i="34"/>
  <c r="R10" i="34"/>
  <c r="Q10" i="34"/>
  <c r="P10" i="34"/>
  <c r="O10" i="34"/>
  <c r="N10" i="34"/>
  <c r="M10" i="34"/>
  <c r="L10" i="34"/>
  <c r="K10" i="34"/>
  <c r="J10" i="34"/>
  <c r="I10" i="34"/>
  <c r="H10" i="34"/>
  <c r="S5" i="34"/>
  <c r="R5" i="34"/>
  <c r="Q5" i="34"/>
  <c r="P5" i="34"/>
  <c r="P126" i="34"/>
  <c r="O5" i="34"/>
  <c r="N5" i="34"/>
  <c r="M5" i="34"/>
  <c r="L5" i="34"/>
  <c r="K5" i="34"/>
  <c r="J5" i="34"/>
  <c r="I5" i="34"/>
  <c r="H5" i="34"/>
  <c r="S4" i="34"/>
  <c r="R4" i="34"/>
  <c r="Q4" i="34"/>
  <c r="P4" i="34"/>
  <c r="O4" i="34"/>
  <c r="N4" i="34"/>
  <c r="M4" i="34"/>
  <c r="L4" i="34"/>
  <c r="L130" i="34"/>
  <c r="K4" i="34"/>
  <c r="J4" i="34"/>
  <c r="I4" i="34"/>
  <c r="H4" i="34"/>
  <c r="R133" i="39"/>
  <c r="R140" i="39"/>
  <c r="R145" i="39"/>
  <c r="R153" i="39"/>
  <c r="R129" i="39"/>
  <c r="S117" i="39"/>
  <c r="S109" i="39"/>
  <c r="Q129" i="38"/>
  <c r="Q133" i="38"/>
  <c r="Q140" i="38"/>
  <c r="Q145" i="38"/>
  <c r="Q153" i="38"/>
  <c r="S105" i="38"/>
  <c r="S57" i="38"/>
  <c r="S73" i="38"/>
  <c r="S92" i="38"/>
  <c r="R117" i="38"/>
  <c r="R109" i="38"/>
  <c r="Q105" i="37"/>
  <c r="Q57" i="37"/>
  <c r="Q73" i="37"/>
  <c r="Q92" i="37"/>
  <c r="R32" i="37"/>
  <c r="P117" i="37"/>
  <c r="P109" i="37"/>
  <c r="O133" i="37"/>
  <c r="O140" i="37"/>
  <c r="O145" i="37"/>
  <c r="O153" i="37"/>
  <c r="O129" i="37"/>
  <c r="J160" i="35"/>
  <c r="J114" i="35"/>
  <c r="J48" i="35"/>
  <c r="J113" i="35"/>
  <c r="Q122" i="35"/>
  <c r="Q121" i="35"/>
  <c r="L111" i="35"/>
  <c r="L124" i="35"/>
  <c r="L150" i="35"/>
  <c r="L148" i="35"/>
  <c r="L146" i="35"/>
  <c r="L147" i="35"/>
  <c r="L149" i="35"/>
  <c r="L151" i="35"/>
  <c r="O97" i="35"/>
  <c r="O107" i="35"/>
  <c r="P147" i="35"/>
  <c r="P148" i="35"/>
  <c r="L106" i="35"/>
  <c r="L51" i="35"/>
  <c r="O106" i="35"/>
  <c r="O51" i="35"/>
  <c r="H121" i="35"/>
  <c r="H122" i="35"/>
  <c r="J151" i="35"/>
  <c r="J150" i="35"/>
  <c r="J149" i="35"/>
  <c r="J148" i="35"/>
  <c r="J147" i="35"/>
  <c r="J146" i="35"/>
  <c r="Q149" i="35"/>
  <c r="Q148" i="35"/>
  <c r="M151" i="35"/>
  <c r="M150" i="35"/>
  <c r="M149" i="35"/>
  <c r="M148" i="35"/>
  <c r="M147" i="35"/>
  <c r="M146" i="35"/>
  <c r="P121" i="35"/>
  <c r="P122" i="35"/>
  <c r="S160" i="35"/>
  <c r="S114" i="35"/>
  <c r="S113" i="35"/>
  <c r="S48" i="35"/>
  <c r="L107" i="35"/>
  <c r="O130" i="35"/>
  <c r="O162" i="35"/>
  <c r="O99" i="35"/>
  <c r="O31" i="35"/>
  <c r="H129" i="35"/>
  <c r="H133" i="35"/>
  <c r="H140" i="35"/>
  <c r="H145" i="35"/>
  <c r="H153" i="35"/>
  <c r="O124" i="35"/>
  <c r="O111" i="35"/>
  <c r="O150" i="35"/>
  <c r="O148" i="35"/>
  <c r="O146" i="35"/>
  <c r="O151" i="35"/>
  <c r="O149" i="35"/>
  <c r="O147" i="35"/>
  <c r="H124" i="35"/>
  <c r="H111" i="35"/>
  <c r="N162" i="35"/>
  <c r="N130" i="35"/>
  <c r="N99" i="35"/>
  <c r="N100" i="35"/>
  <c r="N31" i="35"/>
  <c r="S148" i="35"/>
  <c r="L102" i="35"/>
  <c r="J122" i="35"/>
  <c r="J121" i="35"/>
  <c r="M124" i="35"/>
  <c r="M111" i="35"/>
  <c r="R160" i="35"/>
  <c r="R114" i="35"/>
  <c r="R113" i="35"/>
  <c r="R48" i="35"/>
  <c r="N136" i="35"/>
  <c r="P135" i="35"/>
  <c r="P10" i="35"/>
  <c r="P87" i="35"/>
  <c r="Q15" i="35"/>
  <c r="S122" i="35"/>
  <c r="S121" i="35"/>
  <c r="K122" i="35"/>
  <c r="K121" i="35"/>
  <c r="I117" i="35"/>
  <c r="I109" i="35"/>
  <c r="M160" i="35"/>
  <c r="M114" i="35"/>
  <c r="M113" i="35"/>
  <c r="M48" i="35"/>
  <c r="K96" i="35"/>
  <c r="K160" i="35"/>
  <c r="K114" i="35"/>
  <c r="K113" i="35"/>
  <c r="K48" i="35"/>
  <c r="O138" i="35"/>
  <c r="I122" i="35"/>
  <c r="I121" i="35"/>
  <c r="K162" i="35"/>
  <c r="K130" i="35"/>
  <c r="K99" i="35"/>
  <c r="K100" i="35"/>
  <c r="K103" i="35"/>
  <c r="K31" i="35"/>
  <c r="O136" i="35"/>
  <c r="N134" i="35"/>
  <c r="M100" i="35"/>
  <c r="M103" i="35"/>
  <c r="P160" i="35"/>
  <c r="P113" i="35"/>
  <c r="P114" i="35"/>
  <c r="P48" i="35"/>
  <c r="P111" i="35"/>
  <c r="P124" i="35"/>
  <c r="N97" i="35"/>
  <c r="K124" i="35"/>
  <c r="K111" i="35"/>
  <c r="O96" i="35"/>
  <c r="R122" i="35"/>
  <c r="R121" i="35"/>
  <c r="N151" i="35"/>
  <c r="N150" i="35"/>
  <c r="N149" i="35"/>
  <c r="N148" i="35"/>
  <c r="N147" i="35"/>
  <c r="N146" i="35"/>
  <c r="J57" i="35"/>
  <c r="J73" i="35"/>
  <c r="J92" i="35"/>
  <c r="J105" i="35"/>
  <c r="K32" i="35"/>
  <c r="O122" i="35"/>
  <c r="O121" i="35"/>
  <c r="J162" i="35"/>
  <c r="J130" i="35"/>
  <c r="J99" i="35"/>
  <c r="J100" i="35"/>
  <c r="J31" i="35"/>
  <c r="K151" i="35"/>
  <c r="K149" i="35"/>
  <c r="K147" i="35"/>
  <c r="K150" i="35"/>
  <c r="K148" i="35"/>
  <c r="K146" i="35"/>
  <c r="Q124" i="35"/>
  <c r="Q111" i="35"/>
  <c r="P94" i="35"/>
  <c r="P97" i="35"/>
  <c r="I151" i="35"/>
  <c r="I150" i="35"/>
  <c r="I149" i="35"/>
  <c r="I148" i="35"/>
  <c r="I147" i="35"/>
  <c r="I146" i="35"/>
  <c r="I96" i="35"/>
  <c r="I97" i="35"/>
  <c r="I107" i="35"/>
  <c r="H160" i="35"/>
  <c r="H113" i="35"/>
  <c r="H114" i="35"/>
  <c r="H48" i="35"/>
  <c r="H51" i="35"/>
  <c r="N122" i="35"/>
  <c r="N121" i="35"/>
  <c r="K94" i="35"/>
  <c r="K97" i="35"/>
  <c r="I124" i="35"/>
  <c r="I111" i="35"/>
  <c r="N160" i="35"/>
  <c r="N113" i="35"/>
  <c r="N48" i="35"/>
  <c r="N114" i="35"/>
  <c r="R148" i="35"/>
  <c r="J136" i="35"/>
  <c r="Q115" i="35"/>
  <c r="Q90" i="35"/>
  <c r="Q27" i="35"/>
  <c r="R29" i="35"/>
  <c r="R97" i="35"/>
  <c r="Q51" i="35"/>
  <c r="Q106" i="35"/>
  <c r="I51" i="35"/>
  <c r="I106" i="35"/>
  <c r="Q96" i="35"/>
  <c r="Q97" i="35"/>
  <c r="Q107" i="35"/>
  <c r="M122" i="35"/>
  <c r="M121" i="35"/>
  <c r="N102" i="35"/>
  <c r="N103" i="35"/>
  <c r="O134" i="35"/>
  <c r="J102" i="35"/>
  <c r="J103" i="35"/>
  <c r="L122" i="35"/>
  <c r="H151" i="35"/>
  <c r="H149" i="35"/>
  <c r="H147" i="35"/>
  <c r="H148" i="35"/>
  <c r="H150" i="35"/>
  <c r="H146" i="35"/>
  <c r="S124" i="35"/>
  <c r="S111" i="35"/>
  <c r="K136" i="35"/>
  <c r="M94" i="35"/>
  <c r="M97" i="35"/>
  <c r="L168" i="34"/>
  <c r="L131" i="34"/>
  <c r="L138" i="34"/>
  <c r="L101" i="34"/>
  <c r="L102" i="34"/>
  <c r="L18" i="34"/>
  <c r="S154" i="34"/>
  <c r="S141" i="34"/>
  <c r="S137" i="34"/>
  <c r="S136" i="34"/>
  <c r="S112" i="34"/>
  <c r="S110" i="34"/>
  <c r="S46" i="34"/>
  <c r="K160" i="34"/>
  <c r="K114" i="34"/>
  <c r="K113" i="34"/>
  <c r="K48" i="34"/>
  <c r="P162" i="34"/>
  <c r="P99" i="34"/>
  <c r="P130" i="34"/>
  <c r="L163" i="34"/>
  <c r="L126" i="34"/>
  <c r="L93" i="34"/>
  <c r="L134" i="34"/>
  <c r="L164" i="34"/>
  <c r="H165" i="34"/>
  <c r="H95" i="34"/>
  <c r="O159" i="34"/>
  <c r="O157" i="34"/>
  <c r="O143" i="34"/>
  <c r="O127" i="34"/>
  <c r="R94" i="34"/>
  <c r="I162" i="34"/>
  <c r="I130" i="34"/>
  <c r="I31" i="34"/>
  <c r="M162" i="34"/>
  <c r="M130" i="34"/>
  <c r="M31" i="34"/>
  <c r="Q162" i="34"/>
  <c r="Q130" i="34"/>
  <c r="I163" i="34"/>
  <c r="I126" i="34"/>
  <c r="I125" i="34"/>
  <c r="I93" i="34"/>
  <c r="M163" i="34"/>
  <c r="M126" i="34"/>
  <c r="M125" i="34"/>
  <c r="M93" i="34"/>
  <c r="M94" i="34"/>
  <c r="Q163" i="34"/>
  <c r="Q126" i="34"/>
  <c r="Q125" i="34"/>
  <c r="Q93" i="34"/>
  <c r="I164" i="34"/>
  <c r="I134" i="34"/>
  <c r="M164" i="34"/>
  <c r="M134" i="34"/>
  <c r="Q164" i="34"/>
  <c r="Q134" i="34"/>
  <c r="N165" i="34"/>
  <c r="N119" i="34"/>
  <c r="N120" i="34"/>
  <c r="N95" i="34"/>
  <c r="N96" i="34"/>
  <c r="R165" i="34"/>
  <c r="R119" i="34"/>
  <c r="R120" i="34"/>
  <c r="R95" i="34"/>
  <c r="H138" i="34"/>
  <c r="H168" i="34"/>
  <c r="H131" i="34"/>
  <c r="H101" i="34"/>
  <c r="J57" i="34"/>
  <c r="J73" i="34"/>
  <c r="J92" i="34"/>
  <c r="J105" i="34"/>
  <c r="M99" i="34"/>
  <c r="H119" i="34"/>
  <c r="H120" i="34"/>
  <c r="L125" i="34"/>
  <c r="L162" i="34"/>
  <c r="L99" i="34"/>
  <c r="L31" i="34"/>
  <c r="H134" i="34"/>
  <c r="H164" i="34"/>
  <c r="O154" i="34"/>
  <c r="O142" i="34"/>
  <c r="O141" i="34"/>
  <c r="O137" i="34"/>
  <c r="O136" i="34"/>
  <c r="O112" i="34"/>
  <c r="O110" i="34"/>
  <c r="K159" i="34"/>
  <c r="K157" i="34"/>
  <c r="K143" i="34"/>
  <c r="K127" i="34"/>
  <c r="J162" i="34"/>
  <c r="J130" i="34"/>
  <c r="J99" i="34"/>
  <c r="N162" i="34"/>
  <c r="N130" i="34"/>
  <c r="R162" i="34"/>
  <c r="R130" i="34"/>
  <c r="R99" i="34"/>
  <c r="J163" i="34"/>
  <c r="J126" i="34"/>
  <c r="J125" i="34"/>
  <c r="N163" i="34"/>
  <c r="N126" i="34"/>
  <c r="N125" i="34"/>
  <c r="R163" i="34"/>
  <c r="R126" i="34"/>
  <c r="R125" i="34"/>
  <c r="J164" i="34"/>
  <c r="J134" i="34"/>
  <c r="N164" i="34"/>
  <c r="N134" i="34"/>
  <c r="R164" i="34"/>
  <c r="R134" i="34"/>
  <c r="J18" i="34"/>
  <c r="J31" i="34"/>
  <c r="J165" i="34"/>
  <c r="J119" i="34"/>
  <c r="J120" i="34"/>
  <c r="J95" i="34"/>
  <c r="L115" i="34"/>
  <c r="M90" i="34"/>
  <c r="L90" i="34"/>
  <c r="L91" i="34"/>
  <c r="K105" i="34"/>
  <c r="L32" i="34"/>
  <c r="O46" i="34"/>
  <c r="K57" i="34"/>
  <c r="K73" i="34"/>
  <c r="K92" i="34"/>
  <c r="J93" i="34"/>
  <c r="J94" i="34"/>
  <c r="S96" i="34"/>
  <c r="Q99" i="34"/>
  <c r="Q100" i="34"/>
  <c r="H109" i="34"/>
  <c r="H162" i="34"/>
  <c r="H130" i="34"/>
  <c r="H125" i="34"/>
  <c r="H126" i="34"/>
  <c r="H93" i="34"/>
  <c r="H99" i="34"/>
  <c r="H163" i="34"/>
  <c r="P163" i="34"/>
  <c r="P93" i="34"/>
  <c r="P125" i="34"/>
  <c r="P134" i="34"/>
  <c r="P164" i="34"/>
  <c r="H18" i="34"/>
  <c r="H31" i="34"/>
  <c r="K154" i="34"/>
  <c r="K142" i="34"/>
  <c r="K141" i="34"/>
  <c r="K137" i="34"/>
  <c r="K136" i="34"/>
  <c r="K112" i="34"/>
  <c r="K110" i="34"/>
  <c r="S156" i="34"/>
  <c r="S142" i="34"/>
  <c r="S159" i="34"/>
  <c r="S157" i="34"/>
  <c r="S143" i="34"/>
  <c r="S127" i="34"/>
  <c r="K96" i="34"/>
  <c r="K162" i="34"/>
  <c r="K130" i="34"/>
  <c r="K99" i="34"/>
  <c r="K100" i="34"/>
  <c r="O162" i="34"/>
  <c r="O130" i="34"/>
  <c r="O99" i="34"/>
  <c r="S162" i="34"/>
  <c r="S130" i="34"/>
  <c r="S99" i="34"/>
  <c r="S100" i="34"/>
  <c r="K163" i="34"/>
  <c r="K126" i="34"/>
  <c r="K125" i="34"/>
  <c r="K93" i="34"/>
  <c r="K94" i="34"/>
  <c r="K97" i="34"/>
  <c r="O163" i="34"/>
  <c r="O126" i="34"/>
  <c r="O125" i="34"/>
  <c r="O93" i="34"/>
  <c r="S163" i="34"/>
  <c r="S126" i="34"/>
  <c r="S125" i="34"/>
  <c r="S93" i="34"/>
  <c r="S94" i="34"/>
  <c r="S97" i="34"/>
  <c r="K164" i="34"/>
  <c r="K134" i="34"/>
  <c r="O164" i="34"/>
  <c r="O134" i="34"/>
  <c r="L165" i="34"/>
  <c r="L119" i="34"/>
  <c r="L120" i="34"/>
  <c r="L95" i="34"/>
  <c r="L96" i="34"/>
  <c r="P165" i="34"/>
  <c r="P119" i="34"/>
  <c r="P120" i="34"/>
  <c r="P95" i="34"/>
  <c r="P96" i="34"/>
  <c r="K165" i="34"/>
  <c r="K119" i="34"/>
  <c r="K120" i="34"/>
  <c r="K18" i="34"/>
  <c r="K31" i="34"/>
  <c r="J168" i="34"/>
  <c r="J138" i="34"/>
  <c r="J131" i="34"/>
  <c r="N93" i="34"/>
  <c r="N94" i="34"/>
  <c r="L111" i="34"/>
  <c r="L124" i="34"/>
  <c r="H129" i="34"/>
  <c r="I165" i="34"/>
  <c r="I119" i="34"/>
  <c r="I120" i="34"/>
  <c r="M165" i="34"/>
  <c r="M119" i="34"/>
  <c r="M120" i="34"/>
  <c r="Q165" i="34"/>
  <c r="Q119" i="34"/>
  <c r="Q120" i="34"/>
  <c r="K168" i="34"/>
  <c r="K138" i="34"/>
  <c r="K131" i="34"/>
  <c r="H137" i="34"/>
  <c r="H136" i="34"/>
  <c r="H154" i="34"/>
  <c r="H141" i="34"/>
  <c r="L137" i="34"/>
  <c r="L136" i="34"/>
  <c r="L154" i="34"/>
  <c r="L141" i="34"/>
  <c r="L142" i="34"/>
  <c r="P137" i="34"/>
  <c r="P136" i="34"/>
  <c r="P141" i="34"/>
  <c r="P142" i="34"/>
  <c r="P156" i="34"/>
  <c r="H143" i="34"/>
  <c r="H157" i="34"/>
  <c r="L157" i="34"/>
  <c r="L159" i="34"/>
  <c r="P159" i="34"/>
  <c r="P143" i="34"/>
  <c r="H46" i="34"/>
  <c r="L46" i="34"/>
  <c r="P46" i="34"/>
  <c r="K101" i="34"/>
  <c r="K102" i="34"/>
  <c r="I105" i="34"/>
  <c r="P110" i="34"/>
  <c r="H112" i="34"/>
  <c r="H127" i="34"/>
  <c r="L143" i="34"/>
  <c r="P157" i="34"/>
  <c r="I154" i="34"/>
  <c r="I142" i="34"/>
  <c r="I141" i="34"/>
  <c r="I137" i="34"/>
  <c r="I112" i="34"/>
  <c r="I110" i="34"/>
  <c r="M154" i="34"/>
  <c r="M142" i="34"/>
  <c r="M141" i="34"/>
  <c r="M136" i="34"/>
  <c r="M112" i="34"/>
  <c r="M110" i="34"/>
  <c r="Q154" i="34"/>
  <c r="Q141" i="34"/>
  <c r="Q136" i="34"/>
  <c r="Q137" i="34"/>
  <c r="Q112" i="34"/>
  <c r="Q110" i="34"/>
  <c r="Q156" i="34"/>
  <c r="Q142" i="34"/>
  <c r="I159" i="34"/>
  <c r="I157" i="34"/>
  <c r="I143" i="34"/>
  <c r="I127" i="34"/>
  <c r="M159" i="34"/>
  <c r="M157" i="34"/>
  <c r="M143" i="34"/>
  <c r="M127" i="34"/>
  <c r="Q159" i="34"/>
  <c r="Q157" i="34"/>
  <c r="Q143" i="34"/>
  <c r="Q127" i="34"/>
  <c r="I46" i="34"/>
  <c r="M46" i="34"/>
  <c r="Q46" i="34"/>
  <c r="I57" i="34"/>
  <c r="I73" i="34"/>
  <c r="I92" i="34"/>
  <c r="I95" i="34"/>
  <c r="I96" i="34"/>
  <c r="M95" i="34"/>
  <c r="Q95" i="34"/>
  <c r="Q96" i="34"/>
  <c r="L112" i="34"/>
  <c r="L127" i="34"/>
  <c r="H159" i="34"/>
  <c r="S164" i="34"/>
  <c r="S134" i="34"/>
  <c r="O165" i="34"/>
  <c r="O119" i="34"/>
  <c r="O120" i="34"/>
  <c r="S165" i="34"/>
  <c r="S119" i="34"/>
  <c r="S120" i="34"/>
  <c r="I168" i="34"/>
  <c r="I138" i="34"/>
  <c r="I131" i="34"/>
  <c r="M168" i="34"/>
  <c r="M138" i="34"/>
  <c r="M131" i="34"/>
  <c r="J154" i="34"/>
  <c r="J142" i="34"/>
  <c r="J141" i="34"/>
  <c r="J137" i="34"/>
  <c r="J136" i="34"/>
  <c r="J112" i="34"/>
  <c r="J110" i="34"/>
  <c r="N154" i="34"/>
  <c r="N142" i="34"/>
  <c r="N141" i="34"/>
  <c r="N137" i="34"/>
  <c r="N136" i="34"/>
  <c r="N112" i="34"/>
  <c r="N110" i="34"/>
  <c r="R154" i="34"/>
  <c r="R141" i="34"/>
  <c r="R137" i="34"/>
  <c r="R136" i="34"/>
  <c r="R112" i="34"/>
  <c r="R110" i="34"/>
  <c r="R156" i="34"/>
  <c r="R142" i="34"/>
  <c r="J159" i="34"/>
  <c r="J157" i="34"/>
  <c r="J143" i="34"/>
  <c r="J127" i="34"/>
  <c r="N159" i="34"/>
  <c r="N157" i="34"/>
  <c r="N143" i="34"/>
  <c r="N127" i="34"/>
  <c r="R159" i="34"/>
  <c r="R157" i="34"/>
  <c r="R143" i="34"/>
  <c r="R127" i="34"/>
  <c r="J46" i="34"/>
  <c r="N46" i="34"/>
  <c r="R46" i="34"/>
  <c r="I101" i="34"/>
  <c r="I102" i="34"/>
  <c r="M101" i="34"/>
  <c r="H110" i="34"/>
  <c r="P112" i="34"/>
  <c r="P127" i="34"/>
  <c r="I136" i="34"/>
  <c r="S133" i="39"/>
  <c r="S140" i="39"/>
  <c r="S145" i="39"/>
  <c r="S153" i="39"/>
  <c r="S129" i="39"/>
  <c r="S109" i="38"/>
  <c r="S117" i="38"/>
  <c r="R133" i="38"/>
  <c r="R140" i="38"/>
  <c r="R145" i="38"/>
  <c r="R153" i="38"/>
  <c r="R129" i="38"/>
  <c r="P133" i="37"/>
  <c r="P140" i="37"/>
  <c r="P145" i="37"/>
  <c r="P153" i="37"/>
  <c r="P129" i="37"/>
  <c r="R105" i="37"/>
  <c r="S32" i="37"/>
  <c r="R57" i="37"/>
  <c r="R73" i="37"/>
  <c r="R92" i="37"/>
  <c r="Q117" i="37"/>
  <c r="Q109" i="37"/>
  <c r="R90" i="35"/>
  <c r="R27" i="35"/>
  <c r="S29" i="35"/>
  <c r="R115" i="35"/>
  <c r="J106" i="35"/>
  <c r="J107" i="35"/>
  <c r="J51" i="35"/>
  <c r="H161" i="35"/>
  <c r="H52" i="35"/>
  <c r="Q161" i="35"/>
  <c r="Q52" i="35"/>
  <c r="K106" i="35"/>
  <c r="K107" i="35"/>
  <c r="K51" i="35"/>
  <c r="R106" i="35"/>
  <c r="R51" i="35"/>
  <c r="L103" i="35"/>
  <c r="O100" i="35"/>
  <c r="O103" i="35"/>
  <c r="S106" i="35"/>
  <c r="S107" i="35"/>
  <c r="S51" i="35"/>
  <c r="L161" i="35"/>
  <c r="L52" i="35"/>
  <c r="L100" i="35"/>
  <c r="I161" i="35"/>
  <c r="I52" i="35"/>
  <c r="N106" i="35"/>
  <c r="N51" i="35"/>
  <c r="P107" i="35"/>
  <c r="J117" i="35"/>
  <c r="J109" i="35"/>
  <c r="P106" i="35"/>
  <c r="P51" i="35"/>
  <c r="I133" i="35"/>
  <c r="I140" i="35"/>
  <c r="I145" i="35"/>
  <c r="I153" i="35"/>
  <c r="I129" i="35"/>
  <c r="O161" i="35"/>
  <c r="O52" i="35"/>
  <c r="M107" i="35"/>
  <c r="Q168" i="35"/>
  <c r="Q131" i="35"/>
  <c r="Q101" i="35"/>
  <c r="Q102" i="35"/>
  <c r="Q18" i="35"/>
  <c r="N107" i="35"/>
  <c r="Q135" i="35"/>
  <c r="Q10" i="35"/>
  <c r="Q87" i="35"/>
  <c r="R15" i="35"/>
  <c r="Q137" i="35"/>
  <c r="R107" i="35"/>
  <c r="K105" i="35"/>
  <c r="K57" i="35"/>
  <c r="K73" i="35"/>
  <c r="K92" i="35"/>
  <c r="L32" i="35"/>
  <c r="M51" i="35"/>
  <c r="M106" i="35"/>
  <c r="P164" i="35"/>
  <c r="P134" i="35"/>
  <c r="P4" i="35"/>
  <c r="Q147" i="35"/>
  <c r="Q151" i="35"/>
  <c r="R160" i="34"/>
  <c r="R114" i="34"/>
  <c r="R113" i="34"/>
  <c r="R48" i="34"/>
  <c r="I117" i="34"/>
  <c r="I109" i="34"/>
  <c r="I122" i="34"/>
  <c r="I121" i="34"/>
  <c r="J122" i="34"/>
  <c r="J121" i="34"/>
  <c r="P100" i="34"/>
  <c r="L103" i="34"/>
  <c r="H111" i="34"/>
  <c r="H124" i="34"/>
  <c r="N160" i="34"/>
  <c r="N114" i="34"/>
  <c r="N113" i="34"/>
  <c r="N48" i="34"/>
  <c r="R124" i="34"/>
  <c r="R111" i="34"/>
  <c r="R151" i="34"/>
  <c r="R150" i="34"/>
  <c r="R149" i="34"/>
  <c r="R148" i="34"/>
  <c r="R147" i="34"/>
  <c r="R146" i="34"/>
  <c r="O122" i="34"/>
  <c r="O121" i="34"/>
  <c r="M96" i="34"/>
  <c r="M160" i="34"/>
  <c r="M114" i="34"/>
  <c r="M113" i="34"/>
  <c r="M48" i="34"/>
  <c r="Q124" i="34"/>
  <c r="Q111" i="34"/>
  <c r="Q151" i="34"/>
  <c r="Q150" i="34"/>
  <c r="Q149" i="34"/>
  <c r="Q148" i="34"/>
  <c r="Q147" i="34"/>
  <c r="Q146" i="34"/>
  <c r="I124" i="34"/>
  <c r="I111" i="34"/>
  <c r="K103" i="34"/>
  <c r="P150" i="34"/>
  <c r="P146" i="34"/>
  <c r="P151" i="34"/>
  <c r="P147" i="34"/>
  <c r="P148" i="34"/>
  <c r="P149" i="34"/>
  <c r="L149" i="34"/>
  <c r="L150" i="34"/>
  <c r="L146" i="34"/>
  <c r="L151" i="34"/>
  <c r="L147" i="34"/>
  <c r="L148" i="34"/>
  <c r="H148" i="34"/>
  <c r="H149" i="34"/>
  <c r="H150" i="34"/>
  <c r="H146" i="34"/>
  <c r="H147" i="34"/>
  <c r="H151" i="34"/>
  <c r="N97" i="34"/>
  <c r="L121" i="34"/>
  <c r="L122" i="34"/>
  <c r="P94" i="34"/>
  <c r="P97" i="34"/>
  <c r="M32" i="34"/>
  <c r="L57" i="34"/>
  <c r="L73" i="34"/>
  <c r="L92" i="34"/>
  <c r="L105" i="34"/>
  <c r="N99" i="34"/>
  <c r="N100" i="34"/>
  <c r="L100" i="34"/>
  <c r="M100" i="34"/>
  <c r="R96" i="34"/>
  <c r="N122" i="34"/>
  <c r="N121" i="34"/>
  <c r="Q94" i="34"/>
  <c r="Q97" i="34"/>
  <c r="M97" i="34"/>
  <c r="I94" i="34"/>
  <c r="I97" i="34"/>
  <c r="I99" i="34"/>
  <c r="I100" i="34"/>
  <c r="J102" i="34"/>
  <c r="J103" i="34"/>
  <c r="M102" i="34"/>
  <c r="J160" i="34"/>
  <c r="J114" i="34"/>
  <c r="J113" i="34"/>
  <c r="J48" i="34"/>
  <c r="J124" i="34"/>
  <c r="J111" i="34"/>
  <c r="J151" i="34"/>
  <c r="J150" i="34"/>
  <c r="J149" i="34"/>
  <c r="J148" i="34"/>
  <c r="J147" i="34"/>
  <c r="J146" i="34"/>
  <c r="I160" i="34"/>
  <c r="I114" i="34"/>
  <c r="I113" i="34"/>
  <c r="I48" i="34"/>
  <c r="M151" i="34"/>
  <c r="M150" i="34"/>
  <c r="M149" i="34"/>
  <c r="M148" i="34"/>
  <c r="M147" i="34"/>
  <c r="M146" i="34"/>
  <c r="P160" i="34"/>
  <c r="P113" i="34"/>
  <c r="P114" i="34"/>
  <c r="P48" i="34"/>
  <c r="M122" i="34"/>
  <c r="M121" i="34"/>
  <c r="P122" i="34"/>
  <c r="P121" i="34"/>
  <c r="K124" i="34"/>
  <c r="K111" i="34"/>
  <c r="K151" i="34"/>
  <c r="K150" i="34"/>
  <c r="K149" i="34"/>
  <c r="K148" i="34"/>
  <c r="K147" i="34"/>
  <c r="K146" i="34"/>
  <c r="K117" i="34"/>
  <c r="K109" i="34"/>
  <c r="R100" i="34"/>
  <c r="O96" i="34"/>
  <c r="R122" i="34"/>
  <c r="R121" i="34"/>
  <c r="R97" i="34"/>
  <c r="K106" i="34"/>
  <c r="K51" i="34"/>
  <c r="S160" i="34"/>
  <c r="S114" i="34"/>
  <c r="S113" i="34"/>
  <c r="S48" i="34"/>
  <c r="Q160" i="34"/>
  <c r="Q114" i="34"/>
  <c r="Q113" i="34"/>
  <c r="Q48" i="34"/>
  <c r="I151" i="34"/>
  <c r="I150" i="34"/>
  <c r="I149" i="34"/>
  <c r="I148" i="34"/>
  <c r="I147" i="34"/>
  <c r="I146" i="34"/>
  <c r="H160" i="34"/>
  <c r="H114" i="34"/>
  <c r="H48" i="34"/>
  <c r="H51" i="34"/>
  <c r="H113" i="34"/>
  <c r="Q122" i="34"/>
  <c r="Q121" i="34"/>
  <c r="O160" i="34"/>
  <c r="O114" i="34"/>
  <c r="O113" i="34"/>
  <c r="O48" i="34"/>
  <c r="J100" i="34"/>
  <c r="H121" i="34"/>
  <c r="H122" i="34"/>
  <c r="I103" i="34"/>
  <c r="N124" i="34"/>
  <c r="N111" i="34"/>
  <c r="N151" i="34"/>
  <c r="N150" i="34"/>
  <c r="N149" i="34"/>
  <c r="N148" i="34"/>
  <c r="N147" i="34"/>
  <c r="N146" i="34"/>
  <c r="S122" i="34"/>
  <c r="S121" i="34"/>
  <c r="M124" i="34"/>
  <c r="M111" i="34"/>
  <c r="P124" i="34"/>
  <c r="P111" i="34"/>
  <c r="L160" i="34"/>
  <c r="L113" i="34"/>
  <c r="L48" i="34"/>
  <c r="L114" i="34"/>
  <c r="K122" i="34"/>
  <c r="K121" i="34"/>
  <c r="O94" i="34"/>
  <c r="O97" i="34"/>
  <c r="K107" i="34"/>
  <c r="J96" i="34"/>
  <c r="J97" i="34"/>
  <c r="O124" i="34"/>
  <c r="O111" i="34"/>
  <c r="O151" i="34"/>
  <c r="O150" i="34"/>
  <c r="O149" i="34"/>
  <c r="O148" i="34"/>
  <c r="O147" i="34"/>
  <c r="O146" i="34"/>
  <c r="J117" i="34"/>
  <c r="J109" i="34"/>
  <c r="L94" i="34"/>
  <c r="L97" i="34"/>
  <c r="S124" i="34"/>
  <c r="S111" i="34"/>
  <c r="S151" i="34"/>
  <c r="S150" i="34"/>
  <c r="S149" i="34"/>
  <c r="S148" i="34"/>
  <c r="S147" i="34"/>
  <c r="S146" i="34"/>
  <c r="S133" i="38"/>
  <c r="S140" i="38"/>
  <c r="S145" i="38"/>
  <c r="S153" i="38"/>
  <c r="S129" i="38"/>
  <c r="S105" i="37"/>
  <c r="S57" i="37"/>
  <c r="S73" i="37"/>
  <c r="S92" i="37"/>
  <c r="R117" i="37"/>
  <c r="R109" i="37"/>
  <c r="Q133" i="37"/>
  <c r="Q140" i="37"/>
  <c r="Q145" i="37"/>
  <c r="Q153" i="37"/>
  <c r="Q129" i="37"/>
  <c r="M32" i="35"/>
  <c r="L57" i="35"/>
  <c r="L73" i="35"/>
  <c r="L92" i="35"/>
  <c r="L105" i="35"/>
  <c r="K161" i="35"/>
  <c r="K52" i="35"/>
  <c r="R135" i="35"/>
  <c r="R87" i="35"/>
  <c r="S15" i="35"/>
  <c r="R10" i="35"/>
  <c r="R137" i="35"/>
  <c r="R147" i="35"/>
  <c r="S115" i="35"/>
  <c r="S90" i="35"/>
  <c r="S27" i="35"/>
  <c r="K117" i="35"/>
  <c r="K109" i="35"/>
  <c r="N161" i="35"/>
  <c r="N52" i="35"/>
  <c r="S161" i="35"/>
  <c r="S52" i="35"/>
  <c r="S149" i="35"/>
  <c r="S151" i="35"/>
  <c r="R161" i="35"/>
  <c r="R52" i="35"/>
  <c r="R151" i="35"/>
  <c r="R149" i="35"/>
  <c r="J161" i="35"/>
  <c r="J52" i="35"/>
  <c r="R168" i="35"/>
  <c r="R131" i="35"/>
  <c r="R101" i="35"/>
  <c r="R102" i="35"/>
  <c r="R18" i="35"/>
  <c r="J133" i="35"/>
  <c r="J140" i="35"/>
  <c r="J145" i="35"/>
  <c r="J153" i="35"/>
  <c r="J129" i="35"/>
  <c r="P161" i="35"/>
  <c r="P52" i="35"/>
  <c r="P149" i="35"/>
  <c r="P150" i="35"/>
  <c r="P151" i="35"/>
  <c r="P162" i="35"/>
  <c r="P99" i="35"/>
  <c r="P100" i="35"/>
  <c r="P103" i="35"/>
  <c r="P31" i="35"/>
  <c r="P130" i="35"/>
  <c r="P138" i="35"/>
  <c r="P136" i="35"/>
  <c r="P146" i="35"/>
  <c r="M161" i="35"/>
  <c r="M52" i="35"/>
  <c r="Q164" i="35"/>
  <c r="Q4" i="35"/>
  <c r="Q134" i="35"/>
  <c r="R106" i="34"/>
  <c r="R107" i="34"/>
  <c r="R51" i="34"/>
  <c r="J133" i="34"/>
  <c r="J140" i="34"/>
  <c r="J145" i="34"/>
  <c r="J153" i="34"/>
  <c r="J129" i="34"/>
  <c r="L106" i="34"/>
  <c r="L51" i="34"/>
  <c r="H161" i="34"/>
  <c r="H52" i="34"/>
  <c r="N32" i="34"/>
  <c r="M57" i="34"/>
  <c r="M73" i="34"/>
  <c r="M92" i="34"/>
  <c r="M105" i="34"/>
  <c r="P106" i="34"/>
  <c r="P107" i="34"/>
  <c r="P51" i="34"/>
  <c r="Q107" i="34"/>
  <c r="O51" i="34"/>
  <c r="O106" i="34"/>
  <c r="O107" i="34"/>
  <c r="Q106" i="34"/>
  <c r="Q51" i="34"/>
  <c r="S106" i="34"/>
  <c r="S107" i="34"/>
  <c r="S51" i="34"/>
  <c r="K161" i="34"/>
  <c r="K52" i="34"/>
  <c r="K133" i="34"/>
  <c r="K140" i="34"/>
  <c r="K145" i="34"/>
  <c r="K153" i="34"/>
  <c r="K129" i="34"/>
  <c r="I106" i="34"/>
  <c r="I51" i="34"/>
  <c r="J106" i="34"/>
  <c r="J107" i="34"/>
  <c r="J51" i="34"/>
  <c r="M103" i="34"/>
  <c r="I107" i="34"/>
  <c r="N106" i="34"/>
  <c r="N107" i="34"/>
  <c r="N51" i="34"/>
  <c r="L107" i="34"/>
  <c r="O100" i="34"/>
  <c r="M107" i="34"/>
  <c r="L117" i="34"/>
  <c r="L109" i="34"/>
  <c r="M106" i="34"/>
  <c r="M51" i="34"/>
  <c r="I133" i="34"/>
  <c r="I140" i="34"/>
  <c r="I145" i="34"/>
  <c r="I153" i="34"/>
  <c r="I129" i="34"/>
  <c r="R133" i="37"/>
  <c r="R140" i="37"/>
  <c r="R145" i="37"/>
  <c r="R153" i="37"/>
  <c r="R129" i="37"/>
  <c r="S117" i="37"/>
  <c r="S109" i="37"/>
  <c r="K133" i="35"/>
  <c r="K140" i="35"/>
  <c r="K145" i="35"/>
  <c r="K153" i="35"/>
  <c r="K129" i="35"/>
  <c r="S168" i="35"/>
  <c r="S131" i="35"/>
  <c r="S18" i="35"/>
  <c r="S101" i="35"/>
  <c r="S102" i="35"/>
  <c r="S135" i="35"/>
  <c r="S87" i="35"/>
  <c r="S10" i="35"/>
  <c r="S137" i="35"/>
  <c r="S147" i="35"/>
  <c r="Q162" i="35"/>
  <c r="Q130" i="35"/>
  <c r="Q31" i="35"/>
  <c r="Q99" i="35"/>
  <c r="Q100" i="35"/>
  <c r="Q103" i="35"/>
  <c r="Q136" i="35"/>
  <c r="Q146" i="35"/>
  <c r="Q138" i="35"/>
  <c r="Q150" i="35"/>
  <c r="L117" i="35"/>
  <c r="L109" i="35"/>
  <c r="R164" i="35"/>
  <c r="R134" i="35"/>
  <c r="R4" i="35"/>
  <c r="M57" i="35"/>
  <c r="M73" i="35"/>
  <c r="M92" i="35"/>
  <c r="N32" i="35"/>
  <c r="M105" i="35"/>
  <c r="M117" i="34"/>
  <c r="M109" i="34"/>
  <c r="O161" i="34"/>
  <c r="O30" i="34"/>
  <c r="O52" i="34"/>
  <c r="L161" i="34"/>
  <c r="L52" i="34"/>
  <c r="R161" i="34"/>
  <c r="R30" i="34"/>
  <c r="R52" i="34"/>
  <c r="I161" i="34"/>
  <c r="I52" i="34"/>
  <c r="Q161" i="34"/>
  <c r="Q30" i="34"/>
  <c r="Q52" i="34"/>
  <c r="N57" i="34"/>
  <c r="N73" i="34"/>
  <c r="N92" i="34"/>
  <c r="N105" i="34"/>
  <c r="O32" i="34"/>
  <c r="M161" i="34"/>
  <c r="M52" i="34"/>
  <c r="J161" i="34"/>
  <c r="J52" i="34"/>
  <c r="S161" i="34"/>
  <c r="S30" i="34"/>
  <c r="S52" i="34"/>
  <c r="L133" i="34"/>
  <c r="L140" i="34"/>
  <c r="L145" i="34"/>
  <c r="L153" i="34"/>
  <c r="L129" i="34"/>
  <c r="N161" i="34"/>
  <c r="N30" i="34"/>
  <c r="P30" i="34"/>
  <c r="P52" i="34"/>
  <c r="P161" i="34"/>
  <c r="S133" i="37"/>
  <c r="S140" i="37"/>
  <c r="S145" i="37"/>
  <c r="S153" i="37"/>
  <c r="S129" i="37"/>
  <c r="N57" i="35"/>
  <c r="N73" i="35"/>
  <c r="N92" i="35"/>
  <c r="N105" i="35"/>
  <c r="O32" i="35"/>
  <c r="S164" i="35"/>
  <c r="S4" i="35"/>
  <c r="R162" i="35"/>
  <c r="R130" i="35"/>
  <c r="R99" i="35"/>
  <c r="R100" i="35"/>
  <c r="R103" i="35"/>
  <c r="R31" i="35"/>
  <c r="R136" i="35"/>
  <c r="R146" i="35"/>
  <c r="R150" i="35"/>
  <c r="R138" i="35"/>
  <c r="L133" i="35"/>
  <c r="L140" i="35"/>
  <c r="L145" i="35"/>
  <c r="L153" i="35"/>
  <c r="L129" i="35"/>
  <c r="M117" i="35"/>
  <c r="M109" i="35"/>
  <c r="O105" i="34"/>
  <c r="P32" i="34"/>
  <c r="O57" i="34"/>
  <c r="O73" i="34"/>
  <c r="O92" i="34"/>
  <c r="N117" i="34"/>
  <c r="N109" i="34"/>
  <c r="N115" i="34"/>
  <c r="N52" i="34"/>
  <c r="O29" i="34"/>
  <c r="N27" i="34"/>
  <c r="M133" i="34"/>
  <c r="M140" i="34"/>
  <c r="M145" i="34"/>
  <c r="M153" i="34"/>
  <c r="M129" i="34"/>
  <c r="M133" i="35"/>
  <c r="M140" i="35"/>
  <c r="M145" i="35"/>
  <c r="M153" i="35"/>
  <c r="M129" i="35"/>
  <c r="S162" i="35"/>
  <c r="S130" i="35"/>
  <c r="S99" i="35"/>
  <c r="S100" i="35"/>
  <c r="S103" i="35"/>
  <c r="S31" i="35"/>
  <c r="S136" i="35"/>
  <c r="S146" i="35"/>
  <c r="S150" i="35"/>
  <c r="S138" i="35"/>
  <c r="N109" i="35"/>
  <c r="N117" i="35"/>
  <c r="O105" i="35"/>
  <c r="P32" i="35"/>
  <c r="O57" i="35"/>
  <c r="O73" i="35"/>
  <c r="O92" i="35"/>
  <c r="S134" i="35"/>
  <c r="O115" i="34"/>
  <c r="O27" i="34"/>
  <c r="P29" i="34"/>
  <c r="O90" i="34"/>
  <c r="N133" i="34"/>
  <c r="N140" i="34"/>
  <c r="N145" i="34"/>
  <c r="N153" i="34"/>
  <c r="N129" i="34"/>
  <c r="Q32" i="34"/>
  <c r="P57" i="34"/>
  <c r="P73" i="34"/>
  <c r="P92" i="34"/>
  <c r="P105" i="34"/>
  <c r="N168" i="34"/>
  <c r="N138" i="34"/>
  <c r="N131" i="34"/>
  <c r="N101" i="34"/>
  <c r="N102" i="34"/>
  <c r="N103" i="34"/>
  <c r="N18" i="34"/>
  <c r="N31" i="34"/>
  <c r="O117" i="34"/>
  <c r="O109" i="34"/>
  <c r="N133" i="35"/>
  <c r="N140" i="35"/>
  <c r="N145" i="35"/>
  <c r="N153" i="35"/>
  <c r="N129" i="35"/>
  <c r="Q32" i="35"/>
  <c r="P57" i="35"/>
  <c r="P73" i="35"/>
  <c r="P92" i="35"/>
  <c r="P105" i="35"/>
  <c r="O117" i="35"/>
  <c r="O109" i="35"/>
  <c r="O133" i="34"/>
  <c r="O140" i="34"/>
  <c r="O145" i="34"/>
  <c r="O153" i="34"/>
  <c r="O129" i="34"/>
  <c r="Q105" i="34"/>
  <c r="R32" i="34"/>
  <c r="Q57" i="34"/>
  <c r="Q73" i="34"/>
  <c r="Q92" i="34"/>
  <c r="P90" i="34"/>
  <c r="Q29" i="34"/>
  <c r="P27" i="34"/>
  <c r="P115" i="34"/>
  <c r="O168" i="34"/>
  <c r="O138" i="34"/>
  <c r="O131" i="34"/>
  <c r="O18" i="34"/>
  <c r="O31" i="34"/>
  <c r="O101" i="34"/>
  <c r="O102" i="34"/>
  <c r="O103" i="34"/>
  <c r="P117" i="34"/>
  <c r="P109" i="34"/>
  <c r="O133" i="35"/>
  <c r="O140" i="35"/>
  <c r="O145" i="35"/>
  <c r="O153" i="35"/>
  <c r="O129" i="35"/>
  <c r="Q57" i="35"/>
  <c r="Q73" i="35"/>
  <c r="Q92" i="35"/>
  <c r="R32" i="35"/>
  <c r="Q105" i="35"/>
  <c r="P109" i="35"/>
  <c r="P117" i="35"/>
  <c r="P168" i="34"/>
  <c r="P138" i="34"/>
  <c r="P101" i="34"/>
  <c r="P102" i="34"/>
  <c r="P103" i="34"/>
  <c r="P131" i="34"/>
  <c r="P18" i="34"/>
  <c r="P31" i="34"/>
  <c r="R57" i="34"/>
  <c r="R73" i="34"/>
  <c r="R92" i="34"/>
  <c r="R105" i="34"/>
  <c r="S32" i="34"/>
  <c r="P133" i="34"/>
  <c r="P140" i="34"/>
  <c r="P145" i="34"/>
  <c r="P153" i="34"/>
  <c r="P129" i="34"/>
  <c r="Q115" i="34"/>
  <c r="Q27" i="34"/>
  <c r="Q90" i="34"/>
  <c r="R29" i="34"/>
  <c r="Q117" i="34"/>
  <c r="Q109" i="34"/>
  <c r="R57" i="35"/>
  <c r="R73" i="35"/>
  <c r="R92" i="35"/>
  <c r="R105" i="35"/>
  <c r="S32" i="35"/>
  <c r="P133" i="35"/>
  <c r="P140" i="35"/>
  <c r="P145" i="35"/>
  <c r="P153" i="35"/>
  <c r="P129" i="35"/>
  <c r="Q117" i="35"/>
  <c r="Q109" i="35"/>
  <c r="Q168" i="34"/>
  <c r="Q138" i="34"/>
  <c r="Q131" i="34"/>
  <c r="Q101" i="34"/>
  <c r="Q102" i="34"/>
  <c r="Q103" i="34"/>
  <c r="Q18" i="34"/>
  <c r="Q31" i="34"/>
  <c r="Q129" i="34"/>
  <c r="Q133" i="34"/>
  <c r="Q140" i="34"/>
  <c r="Q145" i="34"/>
  <c r="Q153" i="34"/>
  <c r="R117" i="34"/>
  <c r="R109" i="34"/>
  <c r="R115" i="34"/>
  <c r="R90" i="34"/>
  <c r="S29" i="34"/>
  <c r="R27" i="34"/>
  <c r="S105" i="34"/>
  <c r="S57" i="34"/>
  <c r="S73" i="34"/>
  <c r="S92" i="34"/>
  <c r="Q133" i="35"/>
  <c r="Q140" i="35"/>
  <c r="Q145" i="35"/>
  <c r="Q153" i="35"/>
  <c r="Q129" i="35"/>
  <c r="R117" i="35"/>
  <c r="R109" i="35"/>
  <c r="S105" i="35"/>
  <c r="S57" i="35"/>
  <c r="S73" i="35"/>
  <c r="S92" i="35"/>
  <c r="S115" i="34"/>
  <c r="S27" i="34"/>
  <c r="S90" i="34"/>
  <c r="R133" i="34"/>
  <c r="R140" i="34"/>
  <c r="R145" i="34"/>
  <c r="R153" i="34"/>
  <c r="R129" i="34"/>
  <c r="S117" i="34"/>
  <c r="S109" i="34"/>
  <c r="R168" i="34"/>
  <c r="R138" i="34"/>
  <c r="R131" i="34"/>
  <c r="R18" i="34"/>
  <c r="R31" i="34"/>
  <c r="R101" i="34"/>
  <c r="R102" i="34"/>
  <c r="R103" i="34"/>
  <c r="R133" i="35"/>
  <c r="R140" i="35"/>
  <c r="R145" i="35"/>
  <c r="R153" i="35"/>
  <c r="R129" i="35"/>
  <c r="S117" i="35"/>
  <c r="S109" i="35"/>
  <c r="S133" i="34"/>
  <c r="S140" i="34"/>
  <c r="S145" i="34"/>
  <c r="S153" i="34"/>
  <c r="S129" i="34"/>
  <c r="S168" i="34"/>
  <c r="S138" i="34"/>
  <c r="S131" i="34"/>
  <c r="S18" i="34"/>
  <c r="S31" i="34"/>
  <c r="S101" i="34"/>
  <c r="S102" i="34"/>
  <c r="S103" i="34"/>
  <c r="S133" i="35"/>
  <c r="S140" i="35"/>
  <c r="S145" i="35"/>
  <c r="S153" i="35"/>
  <c r="S129" i="35"/>
  <c r="S106" i="48"/>
  <c r="S51" i="48"/>
  <c r="P115" i="48"/>
  <c r="P90" i="48"/>
  <c r="R161" i="48"/>
  <c r="R30" i="48"/>
  <c r="R52" i="48"/>
  <c r="P161" i="48"/>
  <c r="P30" i="48"/>
  <c r="P52" i="48"/>
  <c r="N105" i="48"/>
  <c r="O32" i="48"/>
  <c r="N57" i="48"/>
  <c r="N73" i="48"/>
  <c r="N92" i="48"/>
  <c r="S107" i="48"/>
  <c r="Q161" i="48"/>
  <c r="Q30" i="48"/>
  <c r="Q52" i="48"/>
  <c r="O168" i="48"/>
  <c r="O138" i="48"/>
  <c r="O101" i="48"/>
  <c r="O102" i="48"/>
  <c r="O103" i="48"/>
  <c r="O18" i="48"/>
  <c r="O31" i="48"/>
  <c r="O131" i="48"/>
  <c r="M109" i="48"/>
  <c r="M117" i="48"/>
  <c r="S121" i="48"/>
  <c r="S122" i="48"/>
  <c r="L133" i="48"/>
  <c r="L140" i="48"/>
  <c r="L145" i="48"/>
  <c r="L153" i="48"/>
  <c r="L129" i="48"/>
  <c r="N109" i="47"/>
  <c r="N115" i="47"/>
  <c r="N119" i="47"/>
  <c r="N127" i="47"/>
  <c r="N106" i="47"/>
  <c r="O87" i="47"/>
  <c r="O95" i="47"/>
  <c r="O57" i="47"/>
  <c r="O73" i="47"/>
  <c r="P32" i="47"/>
  <c r="L115" i="46"/>
  <c r="M29" i="46"/>
  <c r="L90" i="46"/>
  <c r="L91" i="46"/>
  <c r="L27" i="46"/>
  <c r="R161" i="46"/>
  <c r="R52" i="46"/>
  <c r="O161" i="46"/>
  <c r="O52" i="46"/>
  <c r="L109" i="46"/>
  <c r="L117" i="46"/>
  <c r="K133" i="46"/>
  <c r="K140" i="46"/>
  <c r="K145" i="46"/>
  <c r="K153" i="46"/>
  <c r="K129" i="46"/>
  <c r="I161" i="46"/>
  <c r="I52" i="46"/>
  <c r="S161" i="46"/>
  <c r="S52" i="46"/>
  <c r="K161" i="46"/>
  <c r="K52" i="46"/>
  <c r="N32" i="46"/>
  <c r="M105" i="46"/>
  <c r="M57" i="46"/>
  <c r="M73" i="46"/>
  <c r="M92" i="46"/>
  <c r="J161" i="46"/>
  <c r="J52" i="46"/>
  <c r="M161" i="46"/>
  <c r="M52" i="46"/>
  <c r="N161" i="46"/>
  <c r="N52" i="46"/>
  <c r="P52" i="46"/>
  <c r="P161" i="46"/>
  <c r="K168" i="46"/>
  <c r="K138" i="46"/>
  <c r="K131" i="46"/>
  <c r="K18" i="46"/>
  <c r="K31" i="46"/>
  <c r="K101" i="46"/>
  <c r="K102" i="46"/>
  <c r="K103" i="46"/>
  <c r="I51" i="45"/>
  <c r="I106" i="45"/>
  <c r="I107" i="45"/>
  <c r="P106" i="45"/>
  <c r="P51" i="45"/>
  <c r="H161" i="45"/>
  <c r="H52" i="45"/>
  <c r="R51" i="45"/>
  <c r="R106" i="45"/>
  <c r="R107" i="45"/>
  <c r="K161" i="45"/>
  <c r="K52" i="45"/>
  <c r="L161" i="45"/>
  <c r="L52" i="45"/>
  <c r="M51" i="45"/>
  <c r="M106" i="45"/>
  <c r="M107" i="45"/>
  <c r="N51" i="45"/>
  <c r="N106" i="45"/>
  <c r="N107" i="45"/>
  <c r="J129" i="45"/>
  <c r="J133" i="45"/>
  <c r="J140" i="45"/>
  <c r="J145" i="45"/>
  <c r="J153" i="45"/>
  <c r="J51" i="45"/>
  <c r="J106" i="45"/>
  <c r="J107" i="45"/>
  <c r="P100" i="45"/>
  <c r="P103" i="45"/>
  <c r="K117" i="45"/>
  <c r="K109" i="45"/>
  <c r="S161" i="45"/>
  <c r="S52" i="45"/>
  <c r="O106" i="45"/>
  <c r="O107" i="45"/>
  <c r="O51" i="45"/>
  <c r="Q51" i="45"/>
  <c r="Q106" i="45"/>
  <c r="Q107" i="45"/>
  <c r="P107" i="45"/>
  <c r="R100" i="45"/>
  <c r="R103" i="45"/>
  <c r="L57" i="45"/>
  <c r="L73" i="45"/>
  <c r="L92" i="45"/>
  <c r="M32" i="45"/>
  <c r="L105" i="45"/>
  <c r="M151" i="44"/>
  <c r="M150" i="44"/>
  <c r="M149" i="44"/>
  <c r="M148" i="44"/>
  <c r="M147" i="44"/>
  <c r="M146" i="44"/>
  <c r="M122" i="44"/>
  <c r="M121" i="44"/>
  <c r="R111" i="44"/>
  <c r="R124" i="44"/>
  <c r="N121" i="44"/>
  <c r="N122" i="44"/>
  <c r="K94" i="44"/>
  <c r="K97" i="44"/>
  <c r="K99" i="44"/>
  <c r="Q151" i="44"/>
  <c r="Q150" i="44"/>
  <c r="Q149" i="44"/>
  <c r="Q148" i="44"/>
  <c r="Q147" i="44"/>
  <c r="Q146" i="44"/>
  <c r="R102" i="44"/>
  <c r="R103" i="44"/>
  <c r="H149" i="44"/>
  <c r="H150" i="44"/>
  <c r="H146" i="44"/>
  <c r="H151" i="44"/>
  <c r="H147" i="44"/>
  <c r="H148" i="44"/>
  <c r="S122" i="44"/>
  <c r="S121" i="44"/>
  <c r="K122" i="44"/>
  <c r="K121" i="44"/>
  <c r="K124" i="44"/>
  <c r="K111" i="44"/>
  <c r="K151" i="44"/>
  <c r="K150" i="44"/>
  <c r="K149" i="44"/>
  <c r="K148" i="44"/>
  <c r="K147" i="44"/>
  <c r="K146" i="44"/>
  <c r="P102" i="44"/>
  <c r="M96" i="44"/>
  <c r="N160" i="44"/>
  <c r="N113" i="44"/>
  <c r="N114" i="44"/>
  <c r="N48" i="44"/>
  <c r="J160" i="44"/>
  <c r="J114" i="44"/>
  <c r="J113" i="44"/>
  <c r="J48" i="44"/>
  <c r="J151" i="44"/>
  <c r="J150" i="44"/>
  <c r="J149" i="44"/>
  <c r="J148" i="44"/>
  <c r="J147" i="44"/>
  <c r="J146" i="44"/>
  <c r="I122" i="44"/>
  <c r="I121" i="44"/>
  <c r="M99" i="44"/>
  <c r="M100" i="44"/>
  <c r="O94" i="44"/>
  <c r="O97" i="44"/>
  <c r="O99" i="44"/>
  <c r="I124" i="44"/>
  <c r="I111" i="44"/>
  <c r="L122" i="44"/>
  <c r="L121" i="44"/>
  <c r="J122" i="44"/>
  <c r="J121" i="44"/>
  <c r="L124" i="44"/>
  <c r="L111" i="44"/>
  <c r="J111" i="44"/>
  <c r="J124" i="44"/>
  <c r="H133" i="44"/>
  <c r="H140" i="44"/>
  <c r="H145" i="44"/>
  <c r="H153" i="44"/>
  <c r="H129" i="44"/>
  <c r="N99" i="44"/>
  <c r="N100" i="44"/>
  <c r="N103" i="44"/>
  <c r="P114" i="44"/>
  <c r="P113" i="44"/>
  <c r="P160" i="44"/>
  <c r="P48" i="44"/>
  <c r="Q124" i="44"/>
  <c r="Q111" i="44"/>
  <c r="M124" i="44"/>
  <c r="M111" i="44"/>
  <c r="I151" i="44"/>
  <c r="I150" i="44"/>
  <c r="I149" i="44"/>
  <c r="I148" i="44"/>
  <c r="I147" i="44"/>
  <c r="I146" i="44"/>
  <c r="I133" i="44"/>
  <c r="I140" i="44"/>
  <c r="I145" i="44"/>
  <c r="I153" i="44"/>
  <c r="I129" i="44"/>
  <c r="H122" i="44"/>
  <c r="H121" i="44"/>
  <c r="S160" i="44"/>
  <c r="S114" i="44"/>
  <c r="S113" i="44"/>
  <c r="S48" i="44"/>
  <c r="O124" i="44"/>
  <c r="O111" i="44"/>
  <c r="O151" i="44"/>
  <c r="O150" i="44"/>
  <c r="O149" i="44"/>
  <c r="O148" i="44"/>
  <c r="O147" i="44"/>
  <c r="O146" i="44"/>
  <c r="I96" i="44"/>
  <c r="I97" i="44"/>
  <c r="I107" i="44"/>
  <c r="J117" i="44"/>
  <c r="J109" i="44"/>
  <c r="I106" i="44"/>
  <c r="I51" i="44"/>
  <c r="N124" i="44"/>
  <c r="N111" i="44"/>
  <c r="N151" i="44"/>
  <c r="N150" i="44"/>
  <c r="N149" i="44"/>
  <c r="N148" i="44"/>
  <c r="N147" i="44"/>
  <c r="N146" i="44"/>
  <c r="M97" i="44"/>
  <c r="M107" i="44"/>
  <c r="Q96" i="44"/>
  <c r="Q97" i="44"/>
  <c r="Q107" i="44"/>
  <c r="H160" i="44"/>
  <c r="H114" i="44"/>
  <c r="H113" i="44"/>
  <c r="H48" i="44"/>
  <c r="H51" i="44"/>
  <c r="K160" i="44"/>
  <c r="K114" i="44"/>
  <c r="K113" i="44"/>
  <c r="K48" i="44"/>
  <c r="K105" i="44"/>
  <c r="K57" i="44"/>
  <c r="K73" i="44"/>
  <c r="K92" i="44"/>
  <c r="L32" i="44"/>
  <c r="S94" i="44"/>
  <c r="S97" i="44"/>
  <c r="S99" i="44"/>
  <c r="S100" i="44"/>
  <c r="S103" i="44"/>
  <c r="L114" i="44"/>
  <c r="L113" i="44"/>
  <c r="L160" i="44"/>
  <c r="L48" i="44"/>
  <c r="J102" i="44"/>
  <c r="J103" i="44"/>
  <c r="R97" i="44"/>
  <c r="O160" i="44"/>
  <c r="O114" i="44"/>
  <c r="O113" i="44"/>
  <c r="O48" i="44"/>
  <c r="P124" i="44"/>
  <c r="P111" i="44"/>
  <c r="L150" i="44"/>
  <c r="L146" i="44"/>
  <c r="L151" i="44"/>
  <c r="L147" i="44"/>
  <c r="L148" i="44"/>
  <c r="L149" i="44"/>
  <c r="H124" i="44"/>
  <c r="H111" i="44"/>
  <c r="O122" i="44"/>
  <c r="O121" i="44"/>
  <c r="S124" i="44"/>
  <c r="S111" i="44"/>
  <c r="S151" i="44"/>
  <c r="S150" i="44"/>
  <c r="S149" i="44"/>
  <c r="S148" i="44"/>
  <c r="S147" i="44"/>
  <c r="S146" i="44"/>
  <c r="P94" i="44"/>
  <c r="P97" i="44"/>
  <c r="L102" i="44"/>
  <c r="R122" i="44"/>
  <c r="R160" i="44"/>
  <c r="R113" i="44"/>
  <c r="R114" i="44"/>
  <c r="R48" i="44"/>
  <c r="R151" i="44"/>
  <c r="R150" i="44"/>
  <c r="R149" i="44"/>
  <c r="R148" i="44"/>
  <c r="R147" i="44"/>
  <c r="R146" i="44"/>
  <c r="M103" i="44"/>
  <c r="Q122" i="44"/>
  <c r="Q121" i="44"/>
  <c r="M133" i="48"/>
  <c r="M140" i="48"/>
  <c r="M145" i="48"/>
  <c r="M153" i="48"/>
  <c r="M129" i="48"/>
  <c r="P27" i="48"/>
  <c r="S161" i="48"/>
  <c r="S30" i="48"/>
  <c r="S52" i="48"/>
  <c r="O57" i="48"/>
  <c r="O73" i="48"/>
  <c r="O92" i="48"/>
  <c r="O105" i="48"/>
  <c r="P32" i="48"/>
  <c r="N117" i="48"/>
  <c r="N109" i="48"/>
  <c r="Q29" i="48"/>
  <c r="O106" i="47"/>
  <c r="O109" i="47"/>
  <c r="O115" i="47"/>
  <c r="O119" i="47"/>
  <c r="O127" i="47"/>
  <c r="P57" i="47"/>
  <c r="P73" i="47"/>
  <c r="Q32" i="47"/>
  <c r="P87" i="47"/>
  <c r="P95" i="47"/>
  <c r="M109" i="46"/>
  <c r="M117" i="46"/>
  <c r="L18" i="46"/>
  <c r="L31" i="46"/>
  <c r="L168" i="46"/>
  <c r="L138" i="46"/>
  <c r="L101" i="46"/>
  <c r="L102" i="46"/>
  <c r="L103" i="46"/>
  <c r="L131" i="46"/>
  <c r="O32" i="46"/>
  <c r="N105" i="46"/>
  <c r="N57" i="46"/>
  <c r="N73" i="46"/>
  <c r="N92" i="46"/>
  <c r="L133" i="46"/>
  <c r="L140" i="46"/>
  <c r="L145" i="46"/>
  <c r="L153" i="46"/>
  <c r="L129" i="46"/>
  <c r="M115" i="46"/>
  <c r="N90" i="46"/>
  <c r="M90" i="46"/>
  <c r="M27" i="46"/>
  <c r="Q52" i="45"/>
  <c r="Q161" i="45"/>
  <c r="O161" i="45"/>
  <c r="O52" i="45"/>
  <c r="J161" i="45"/>
  <c r="J52" i="45"/>
  <c r="N161" i="45"/>
  <c r="N52" i="45"/>
  <c r="I161" i="45"/>
  <c r="I52" i="45"/>
  <c r="L117" i="45"/>
  <c r="L109" i="45"/>
  <c r="K133" i="45"/>
  <c r="K140" i="45"/>
  <c r="K145" i="45"/>
  <c r="K153" i="45"/>
  <c r="K129" i="45"/>
  <c r="P161" i="45"/>
  <c r="P52" i="45"/>
  <c r="N32" i="45"/>
  <c r="M105" i="45"/>
  <c r="M57" i="45"/>
  <c r="M73" i="45"/>
  <c r="M92" i="45"/>
  <c r="M161" i="45"/>
  <c r="M52" i="45"/>
  <c r="R161" i="45"/>
  <c r="R52" i="45"/>
  <c r="L103" i="44"/>
  <c r="L106" i="44"/>
  <c r="L107" i="44"/>
  <c r="L51" i="44"/>
  <c r="J133" i="44"/>
  <c r="J140" i="44"/>
  <c r="J145" i="44"/>
  <c r="J153" i="44"/>
  <c r="J129" i="44"/>
  <c r="K117" i="44"/>
  <c r="K109" i="44"/>
  <c r="I161" i="44"/>
  <c r="I52" i="44"/>
  <c r="P106" i="44"/>
  <c r="P107" i="44"/>
  <c r="P51" i="44"/>
  <c r="J106" i="44"/>
  <c r="J107" i="44"/>
  <c r="J51" i="44"/>
  <c r="N106" i="44"/>
  <c r="N107" i="44"/>
  <c r="N51" i="44"/>
  <c r="K100" i="44"/>
  <c r="K103" i="44"/>
  <c r="L100" i="44"/>
  <c r="O106" i="44"/>
  <c r="O107" i="44"/>
  <c r="O51" i="44"/>
  <c r="R107" i="44"/>
  <c r="K106" i="44"/>
  <c r="K51" i="44"/>
  <c r="S106" i="44"/>
  <c r="S107" i="44"/>
  <c r="S51" i="44"/>
  <c r="K107" i="44"/>
  <c r="R106" i="44"/>
  <c r="R51" i="44"/>
  <c r="L57" i="44"/>
  <c r="L73" i="44"/>
  <c r="L92" i="44"/>
  <c r="M32" i="44"/>
  <c r="L105" i="44"/>
  <c r="H161" i="44"/>
  <c r="H52" i="44"/>
  <c r="O100" i="44"/>
  <c r="O103" i="44"/>
  <c r="P100" i="44"/>
  <c r="P103" i="44"/>
  <c r="O109" i="48"/>
  <c r="O117" i="48"/>
  <c r="P105" i="48"/>
  <c r="Q32" i="48"/>
  <c r="P57" i="48"/>
  <c r="P73" i="48"/>
  <c r="P92" i="48"/>
  <c r="Q90" i="48"/>
  <c r="R29" i="48"/>
  <c r="Q115" i="48"/>
  <c r="Q27" i="48"/>
  <c r="P138" i="48"/>
  <c r="P168" i="48"/>
  <c r="P131" i="48"/>
  <c r="P101" i="48"/>
  <c r="P102" i="48"/>
  <c r="P103" i="48"/>
  <c r="P18" i="48"/>
  <c r="P31" i="48"/>
  <c r="N133" i="48"/>
  <c r="N140" i="48"/>
  <c r="N145" i="48"/>
  <c r="N153" i="48"/>
  <c r="N129" i="48"/>
  <c r="R32" i="47"/>
  <c r="Q87" i="47"/>
  <c r="Q95" i="47"/>
  <c r="Q57" i="47"/>
  <c r="Q73" i="47"/>
  <c r="P109" i="47"/>
  <c r="P115" i="47"/>
  <c r="P119" i="47"/>
  <c r="P127" i="47"/>
  <c r="P106" i="47"/>
  <c r="M138" i="46"/>
  <c r="M168" i="46"/>
  <c r="M101" i="46"/>
  <c r="M131" i="46"/>
  <c r="M18" i="46"/>
  <c r="M31" i="46"/>
  <c r="O105" i="46"/>
  <c r="O57" i="46"/>
  <c r="O73" i="46"/>
  <c r="O92" i="46"/>
  <c r="P32" i="46"/>
  <c r="M129" i="46"/>
  <c r="M133" i="46"/>
  <c r="M140" i="46"/>
  <c r="M145" i="46"/>
  <c r="M153" i="46"/>
  <c r="N117" i="46"/>
  <c r="N109" i="46"/>
  <c r="M117" i="45"/>
  <c r="M109" i="45"/>
  <c r="N57" i="45"/>
  <c r="N73" i="45"/>
  <c r="N92" i="45"/>
  <c r="N105" i="45"/>
  <c r="O32" i="45"/>
  <c r="L133" i="45"/>
  <c r="L140" i="45"/>
  <c r="L145" i="45"/>
  <c r="L153" i="45"/>
  <c r="L129" i="45"/>
  <c r="K133" i="44"/>
  <c r="K140" i="44"/>
  <c r="K145" i="44"/>
  <c r="K153" i="44"/>
  <c r="K129" i="44"/>
  <c r="J161" i="44"/>
  <c r="J52" i="44"/>
  <c r="S161" i="44"/>
  <c r="S52" i="44"/>
  <c r="L161" i="44"/>
  <c r="L52" i="44"/>
  <c r="R161" i="44"/>
  <c r="R52" i="44"/>
  <c r="L117" i="44"/>
  <c r="L109" i="44"/>
  <c r="O161" i="44"/>
  <c r="O52" i="44"/>
  <c r="N161" i="44"/>
  <c r="N52" i="44"/>
  <c r="P52" i="44"/>
  <c r="P161" i="44"/>
  <c r="M105" i="44"/>
  <c r="M57" i="44"/>
  <c r="M73" i="44"/>
  <c r="M92" i="44"/>
  <c r="N32" i="44"/>
  <c r="K161" i="44"/>
  <c r="K52" i="44"/>
  <c r="Q105" i="48"/>
  <c r="R32" i="48"/>
  <c r="Q57" i="48"/>
  <c r="Q73" i="48"/>
  <c r="Q92" i="48"/>
  <c r="P109" i="48"/>
  <c r="P117" i="48"/>
  <c r="O133" i="48"/>
  <c r="O140" i="48"/>
  <c r="O145" i="48"/>
  <c r="O153" i="48"/>
  <c r="O129" i="48"/>
  <c r="R115" i="48"/>
  <c r="R90" i="48"/>
  <c r="R27" i="48"/>
  <c r="S29" i="48"/>
  <c r="Q168" i="48"/>
  <c r="Q131" i="48"/>
  <c r="Q138" i="48"/>
  <c r="Q101" i="48"/>
  <c r="Q102" i="48"/>
  <c r="Q103" i="48"/>
  <c r="Q18" i="48"/>
  <c r="Q31" i="48"/>
  <c r="Q109" i="47"/>
  <c r="Q115" i="47"/>
  <c r="Q119" i="47"/>
  <c r="Q127" i="47"/>
  <c r="Q106" i="47"/>
  <c r="S32" i="47"/>
  <c r="R87" i="47"/>
  <c r="R95" i="47"/>
  <c r="R57" i="47"/>
  <c r="R73" i="47"/>
  <c r="P105" i="46"/>
  <c r="P57" i="46"/>
  <c r="P73" i="46"/>
  <c r="P92" i="46"/>
  <c r="Q32" i="46"/>
  <c r="N129" i="46"/>
  <c r="N133" i="46"/>
  <c r="N140" i="46"/>
  <c r="N145" i="46"/>
  <c r="N153" i="46"/>
  <c r="M102" i="46"/>
  <c r="M103" i="46"/>
  <c r="N102" i="46"/>
  <c r="N103" i="46"/>
  <c r="O117" i="46"/>
  <c r="O109" i="46"/>
  <c r="N117" i="45"/>
  <c r="N109" i="45"/>
  <c r="O105" i="45"/>
  <c r="O57" i="45"/>
  <c r="O73" i="45"/>
  <c r="O92" i="45"/>
  <c r="P32" i="45"/>
  <c r="M129" i="45"/>
  <c r="M133" i="45"/>
  <c r="M140" i="45"/>
  <c r="M145" i="45"/>
  <c r="M153" i="45"/>
  <c r="M117" i="44"/>
  <c r="M109" i="44"/>
  <c r="L133" i="44"/>
  <c r="L140" i="44"/>
  <c r="L145" i="44"/>
  <c r="L153" i="44"/>
  <c r="L129" i="44"/>
  <c r="N105" i="44"/>
  <c r="N57" i="44"/>
  <c r="N73" i="44"/>
  <c r="N92" i="44"/>
  <c r="O32" i="44"/>
  <c r="P133" i="48"/>
  <c r="P140" i="48"/>
  <c r="P145" i="48"/>
  <c r="P153" i="48"/>
  <c r="P129" i="48"/>
  <c r="S115" i="48"/>
  <c r="S27" i="48"/>
  <c r="S90" i="48"/>
  <c r="Q117" i="48"/>
  <c r="Q109" i="48"/>
  <c r="R168" i="48"/>
  <c r="R138" i="48"/>
  <c r="R131" i="48"/>
  <c r="R101" i="48"/>
  <c r="R102" i="48"/>
  <c r="R103" i="48"/>
  <c r="R18" i="48"/>
  <c r="R31" i="48"/>
  <c r="R105" i="48"/>
  <c r="R57" i="48"/>
  <c r="R73" i="48"/>
  <c r="R92" i="48"/>
  <c r="S32" i="48"/>
  <c r="R109" i="47"/>
  <c r="R115" i="47"/>
  <c r="R119" i="47"/>
  <c r="R127" i="47"/>
  <c r="R106" i="47"/>
  <c r="S87" i="47"/>
  <c r="S95" i="47"/>
  <c r="S57" i="47"/>
  <c r="S73" i="47"/>
  <c r="O133" i="46"/>
  <c r="O140" i="46"/>
  <c r="O145" i="46"/>
  <c r="O153" i="46"/>
  <c r="O129" i="46"/>
  <c r="R32" i="46"/>
  <c r="Q105" i="46"/>
  <c r="Q57" i="46"/>
  <c r="Q73" i="46"/>
  <c r="Q92" i="46"/>
  <c r="P109" i="46"/>
  <c r="P117" i="46"/>
  <c r="O117" i="45"/>
  <c r="O109" i="45"/>
  <c r="P57" i="45"/>
  <c r="P73" i="45"/>
  <c r="P92" i="45"/>
  <c r="Q32" i="45"/>
  <c r="P105" i="45"/>
  <c r="N129" i="45"/>
  <c r="N133" i="45"/>
  <c r="N140" i="45"/>
  <c r="N145" i="45"/>
  <c r="N153" i="45"/>
  <c r="O105" i="44"/>
  <c r="O57" i="44"/>
  <c r="O73" i="44"/>
  <c r="O92" i="44"/>
  <c r="P32" i="44"/>
  <c r="N117" i="44"/>
  <c r="N109" i="44"/>
  <c r="M129" i="44"/>
  <c r="M133" i="44"/>
  <c r="M140" i="44"/>
  <c r="M145" i="44"/>
  <c r="M153" i="44"/>
  <c r="S168" i="48"/>
  <c r="S138" i="48"/>
  <c r="S101" i="48"/>
  <c r="S102" i="48"/>
  <c r="S103" i="48"/>
  <c r="S131" i="48"/>
  <c r="S18" i="48"/>
  <c r="S31" i="48"/>
  <c r="S105" i="48"/>
  <c r="S57" i="48"/>
  <c r="S73" i="48"/>
  <c r="S92" i="48"/>
  <c r="Q133" i="48"/>
  <c r="Q140" i="48"/>
  <c r="Q145" i="48"/>
  <c r="Q153" i="48"/>
  <c r="Q129" i="48"/>
  <c r="R117" i="48"/>
  <c r="R109" i="48"/>
  <c r="S109" i="47"/>
  <c r="S115" i="47"/>
  <c r="S119" i="47"/>
  <c r="S127" i="47"/>
  <c r="S106" i="47"/>
  <c r="Q109" i="46"/>
  <c r="Q117" i="46"/>
  <c r="S32" i="46"/>
  <c r="R105" i="46"/>
  <c r="R57" i="46"/>
  <c r="R73" i="46"/>
  <c r="R92" i="46"/>
  <c r="P133" i="46"/>
  <c r="P140" i="46"/>
  <c r="P145" i="46"/>
  <c r="P153" i="46"/>
  <c r="P129" i="46"/>
  <c r="R32" i="45"/>
  <c r="Q57" i="45"/>
  <c r="Q73" i="45"/>
  <c r="Q92" i="45"/>
  <c r="Q105" i="45"/>
  <c r="P109" i="45"/>
  <c r="P117" i="45"/>
  <c r="O133" i="45"/>
  <c r="O140" i="45"/>
  <c r="O145" i="45"/>
  <c r="O153" i="45"/>
  <c r="O129" i="45"/>
  <c r="N133" i="44"/>
  <c r="N140" i="44"/>
  <c r="N145" i="44"/>
  <c r="N153" i="44"/>
  <c r="N129" i="44"/>
  <c r="P57" i="44"/>
  <c r="P73" i="44"/>
  <c r="P92" i="44"/>
  <c r="Q32" i="44"/>
  <c r="P105" i="44"/>
  <c r="O117" i="44"/>
  <c r="O109" i="44"/>
  <c r="R133" i="48"/>
  <c r="R140" i="48"/>
  <c r="R145" i="48"/>
  <c r="R153" i="48"/>
  <c r="R129" i="48"/>
  <c r="S109" i="48"/>
  <c r="S117" i="48"/>
  <c r="R117" i="46"/>
  <c r="R109" i="46"/>
  <c r="S105" i="46"/>
  <c r="S57" i="46"/>
  <c r="S73" i="46"/>
  <c r="S92" i="46"/>
  <c r="Q133" i="46"/>
  <c r="Q140" i="46"/>
  <c r="Q145" i="46"/>
  <c r="Q153" i="46"/>
  <c r="Q129" i="46"/>
  <c r="Q117" i="45"/>
  <c r="Q109" i="45"/>
  <c r="P133" i="45"/>
  <c r="P140" i="45"/>
  <c r="P145" i="45"/>
  <c r="P153" i="45"/>
  <c r="P129" i="45"/>
  <c r="R57" i="45"/>
  <c r="R73" i="45"/>
  <c r="R92" i="45"/>
  <c r="R105" i="45"/>
  <c r="S32" i="45"/>
  <c r="Q105" i="44"/>
  <c r="Q57" i="44"/>
  <c r="Q73" i="44"/>
  <c r="Q92" i="44"/>
  <c r="R32" i="44"/>
  <c r="O133" i="44"/>
  <c r="O140" i="44"/>
  <c r="O145" i="44"/>
  <c r="O153" i="44"/>
  <c r="O129" i="44"/>
  <c r="P117" i="44"/>
  <c r="P109" i="44"/>
  <c r="S129" i="48"/>
  <c r="S133" i="48"/>
  <c r="S140" i="48"/>
  <c r="S145" i="48"/>
  <c r="S153" i="48"/>
  <c r="S117" i="46"/>
  <c r="S109" i="46"/>
  <c r="R129" i="46"/>
  <c r="R133" i="46"/>
  <c r="R140" i="46"/>
  <c r="R145" i="46"/>
  <c r="R153" i="46"/>
  <c r="S105" i="45"/>
  <c r="S57" i="45"/>
  <c r="S73" i="45"/>
  <c r="S92" i="45"/>
  <c r="R117" i="45"/>
  <c r="R109" i="45"/>
  <c r="Q133" i="45"/>
  <c r="Q140" i="45"/>
  <c r="Q145" i="45"/>
  <c r="Q153" i="45"/>
  <c r="Q129" i="45"/>
  <c r="Q117" i="44"/>
  <c r="Q109" i="44"/>
  <c r="R105" i="44"/>
  <c r="R57" i="44"/>
  <c r="R73" i="44"/>
  <c r="R92" i="44"/>
  <c r="S32" i="44"/>
  <c r="P133" i="44"/>
  <c r="P140" i="44"/>
  <c r="P145" i="44"/>
  <c r="P153" i="44"/>
  <c r="P129" i="44"/>
  <c r="S133" i="46"/>
  <c r="S140" i="46"/>
  <c r="S145" i="46"/>
  <c r="S153" i="46"/>
  <c r="S129" i="46"/>
  <c r="R129" i="45"/>
  <c r="R133" i="45"/>
  <c r="R140" i="45"/>
  <c r="R145" i="45"/>
  <c r="R153" i="45"/>
  <c r="S117" i="45"/>
  <c r="S109" i="45"/>
  <c r="S105" i="44"/>
  <c r="S57" i="44"/>
  <c r="S73" i="44"/>
  <c r="S92" i="44"/>
  <c r="Q129" i="44"/>
  <c r="Q133" i="44"/>
  <c r="Q140" i="44"/>
  <c r="Q145" i="44"/>
  <c r="Q153" i="44"/>
  <c r="R109" i="44"/>
  <c r="R117" i="44"/>
  <c r="S133" i="45"/>
  <c r="S140" i="45"/>
  <c r="S145" i="45"/>
  <c r="S153" i="45"/>
  <c r="S129" i="45"/>
  <c r="R133" i="44"/>
  <c r="R140" i="44"/>
  <c r="R145" i="44"/>
  <c r="R153" i="44"/>
  <c r="R129" i="44"/>
  <c r="S117" i="44"/>
  <c r="S109" i="44"/>
  <c r="S133" i="44"/>
  <c r="S140" i="44"/>
  <c r="S145" i="44"/>
  <c r="S153" i="44"/>
  <c r="S129" i="44"/>
  <c r="S117" i="65" l="1"/>
  <c r="S109" i="65"/>
  <c r="R133" i="65"/>
  <c r="R140" i="65" s="1"/>
  <c r="R145" i="65" s="1"/>
  <c r="R153" i="65" s="1"/>
  <c r="R129" i="65"/>
  <c r="Q129" i="64"/>
  <c r="Q133" i="64"/>
  <c r="Q140" i="64" s="1"/>
  <c r="Q145" i="64" s="1"/>
  <c r="Q153" i="64" s="1"/>
  <c r="R109" i="64"/>
  <c r="R117" i="64"/>
  <c r="S57" i="64"/>
  <c r="S73" i="64" s="1"/>
  <c r="S92" i="64" s="1"/>
  <c r="S105" i="64"/>
  <c r="R117" i="63"/>
  <c r="R109" i="63"/>
  <c r="S57" i="63"/>
  <c r="S73" i="63" s="1"/>
  <c r="S92" i="63" s="1"/>
  <c r="S105" i="63"/>
  <c r="Q133" i="63"/>
  <c r="Q140" i="63" s="1"/>
  <c r="Q145" i="63" s="1"/>
  <c r="Q153" i="63" s="1"/>
  <c r="Q129" i="63"/>
  <c r="M27" i="62"/>
  <c r="M93" i="62"/>
  <c r="L107" i="62"/>
  <c r="L141" i="62"/>
  <c r="L113" i="62"/>
  <c r="L18" i="62"/>
  <c r="L31" i="62" s="1"/>
  <c r="P117" i="61"/>
  <c r="P109" i="61"/>
  <c r="O133" i="61"/>
  <c r="O140" i="61" s="1"/>
  <c r="O145" i="61" s="1"/>
  <c r="O153" i="61" s="1"/>
  <c r="O129" i="61"/>
  <c r="Q105" i="61"/>
  <c r="Q57" i="61"/>
  <c r="Q73" i="61" s="1"/>
  <c r="Q92" i="61" s="1"/>
  <c r="R32" i="61"/>
  <c r="O109" i="60"/>
  <c r="O115" i="60" s="1"/>
  <c r="O119" i="60" s="1"/>
  <c r="O127" i="60" s="1"/>
  <c r="O106" i="60"/>
  <c r="Q32" i="60"/>
  <c r="P87" i="60"/>
  <c r="P95" i="60" s="1"/>
  <c r="P57" i="60"/>
  <c r="P73" i="60" s="1"/>
  <c r="O168" i="59"/>
  <c r="O138" i="59"/>
  <c r="O131" i="59"/>
  <c r="O18" i="59"/>
  <c r="O31" i="59" s="1"/>
  <c r="O101" i="59"/>
  <c r="O102" i="59" s="1"/>
  <c r="O103" i="59" s="1"/>
  <c r="N129" i="59"/>
  <c r="N133" i="59"/>
  <c r="N140" i="59" s="1"/>
  <c r="N145" i="59" s="1"/>
  <c r="N153" i="59" s="1"/>
  <c r="Q29" i="59"/>
  <c r="P27" i="59"/>
  <c r="P115" i="59"/>
  <c r="P90" i="59"/>
  <c r="O109" i="59"/>
  <c r="O117" i="59"/>
  <c r="P105" i="59"/>
  <c r="Q32" i="59"/>
  <c r="P57" i="59"/>
  <c r="P73" i="59" s="1"/>
  <c r="P92" i="59" s="1"/>
  <c r="N105" i="58"/>
  <c r="O32" i="58"/>
  <c r="N57" i="58"/>
  <c r="N73" i="58" s="1"/>
  <c r="N92" i="58" s="1"/>
  <c r="L133" i="58"/>
  <c r="L140" i="58" s="1"/>
  <c r="L145" i="58" s="1"/>
  <c r="L153" i="58" s="1"/>
  <c r="L129" i="58"/>
  <c r="M117" i="58"/>
  <c r="M109" i="58"/>
  <c r="J133" i="57"/>
  <c r="J140" i="57" s="1"/>
  <c r="J145" i="57" s="1"/>
  <c r="J153" i="57" s="1"/>
  <c r="J129" i="57"/>
  <c r="S161" i="57"/>
  <c r="S30" i="57"/>
  <c r="S52" i="57" s="1"/>
  <c r="S149" i="57"/>
  <c r="S150" i="57"/>
  <c r="O161" i="57"/>
  <c r="O30" i="57"/>
  <c r="N161" i="57"/>
  <c r="N52" i="57"/>
  <c r="P161" i="57"/>
  <c r="P30" i="57"/>
  <c r="P52" i="57" s="1"/>
  <c r="K117" i="57"/>
  <c r="K109" i="57"/>
  <c r="K161" i="57"/>
  <c r="K52" i="57"/>
  <c r="J161" i="57"/>
  <c r="J52" i="57"/>
  <c r="I161" i="57"/>
  <c r="I52" i="57"/>
  <c r="M161" i="57"/>
  <c r="M52" i="57"/>
  <c r="R161" i="57"/>
  <c r="R30" i="57"/>
  <c r="R52" i="57" s="1"/>
  <c r="R149" i="57"/>
  <c r="R150" i="57"/>
  <c r="L102" i="57"/>
  <c r="L103" i="57" s="1"/>
  <c r="M102" i="57"/>
  <c r="M103" i="57" s="1"/>
  <c r="M32" i="57"/>
  <c r="L105" i="57"/>
  <c r="L57" i="57"/>
  <c r="L73" i="57" s="1"/>
  <c r="L92" i="57" s="1"/>
  <c r="Q30" i="57"/>
  <c r="Q52" i="57" s="1"/>
  <c r="Q161" i="57"/>
  <c r="Q149" i="57"/>
  <c r="Q150" i="57"/>
  <c r="H149" i="56"/>
  <c r="M107" i="56"/>
  <c r="J133" i="56"/>
  <c r="J140" i="56" s="1"/>
  <c r="J145" i="56" s="1"/>
  <c r="J153" i="56" s="1"/>
  <c r="J129" i="56"/>
  <c r="M51" i="56"/>
  <c r="M106" i="56"/>
  <c r="H161" i="56"/>
  <c r="H52" i="56"/>
  <c r="N32" i="56"/>
  <c r="M57" i="56"/>
  <c r="M73" i="56" s="1"/>
  <c r="M92" i="56" s="1"/>
  <c r="M105" i="56"/>
  <c r="K168" i="56"/>
  <c r="K138" i="56"/>
  <c r="K131" i="56"/>
  <c r="K18" i="56"/>
  <c r="K31" i="56" s="1"/>
  <c r="K101" i="56"/>
  <c r="K102" i="56" s="1"/>
  <c r="K103" i="56" s="1"/>
  <c r="O106" i="56"/>
  <c r="O107" i="56" s="1"/>
  <c r="O51" i="56"/>
  <c r="K106" i="56"/>
  <c r="K51" i="56"/>
  <c r="N106" i="56"/>
  <c r="N107" i="56" s="1"/>
  <c r="N51" i="56"/>
  <c r="J122" i="56"/>
  <c r="J121" i="56"/>
  <c r="S106" i="56"/>
  <c r="S107" i="56" s="1"/>
  <c r="S51" i="56"/>
  <c r="P106" i="56"/>
  <c r="P107" i="56" s="1"/>
  <c r="P51" i="56"/>
  <c r="H150" i="56"/>
  <c r="Q51" i="56"/>
  <c r="Q106" i="56"/>
  <c r="Q107" i="56" s="1"/>
  <c r="J106" i="56"/>
  <c r="J51" i="56"/>
  <c r="L115" i="56"/>
  <c r="M29" i="56"/>
  <c r="L27" i="56"/>
  <c r="L90" i="56"/>
  <c r="L91" i="56" s="1"/>
  <c r="L106" i="56"/>
  <c r="L107" i="56" s="1"/>
  <c r="L51" i="56"/>
  <c r="N100" i="56"/>
  <c r="J96" i="56"/>
  <c r="J97" i="56" s="1"/>
  <c r="J107" i="56" s="1"/>
  <c r="K96" i="56"/>
  <c r="K97" i="56" s="1"/>
  <c r="K107" i="56" s="1"/>
  <c r="L117" i="56"/>
  <c r="L109" i="56"/>
  <c r="I106" i="56"/>
  <c r="I107" i="56" s="1"/>
  <c r="I51" i="56"/>
  <c r="R106" i="56"/>
  <c r="R107" i="56" s="1"/>
  <c r="R51" i="56"/>
  <c r="I129" i="56"/>
  <c r="I133" i="56"/>
  <c r="I140" i="56" s="1"/>
  <c r="I145" i="56" s="1"/>
  <c r="I153" i="56" s="1"/>
  <c r="L122" i="55"/>
  <c r="L121" i="55"/>
  <c r="R124" i="55"/>
  <c r="R111" i="55"/>
  <c r="S160" i="55"/>
  <c r="S114" i="55"/>
  <c r="S113" i="55"/>
  <c r="S48" i="55"/>
  <c r="N151" i="55"/>
  <c r="N150" i="55"/>
  <c r="N149" i="55"/>
  <c r="N148" i="55"/>
  <c r="N147" i="55"/>
  <c r="N146" i="55"/>
  <c r="I160" i="55"/>
  <c r="I114" i="55"/>
  <c r="I113" i="55"/>
  <c r="I48" i="55"/>
  <c r="I151" i="55"/>
  <c r="I150" i="55"/>
  <c r="I149" i="55"/>
  <c r="I148" i="55"/>
  <c r="I147" i="55"/>
  <c r="I146" i="55"/>
  <c r="L162" i="55"/>
  <c r="L130" i="55"/>
  <c r="L99" i="55"/>
  <c r="L100" i="55" s="1"/>
  <c r="L31" i="55"/>
  <c r="K102" i="55"/>
  <c r="P114" i="55"/>
  <c r="P113" i="55"/>
  <c r="P160" i="55"/>
  <c r="P48" i="55"/>
  <c r="L138" i="55"/>
  <c r="N122" i="55"/>
  <c r="N121" i="55"/>
  <c r="J124" i="55"/>
  <c r="J111" i="55"/>
  <c r="O160" i="55"/>
  <c r="O114" i="55"/>
  <c r="O113" i="55"/>
  <c r="O48" i="55"/>
  <c r="K124" i="55"/>
  <c r="K111" i="55"/>
  <c r="K151" i="55"/>
  <c r="K150" i="55"/>
  <c r="K149" i="55"/>
  <c r="K148" i="55"/>
  <c r="K147" i="55"/>
  <c r="K146" i="55"/>
  <c r="S122" i="55"/>
  <c r="S121" i="55"/>
  <c r="J121" i="55"/>
  <c r="J122" i="55"/>
  <c r="R160" i="55"/>
  <c r="R113" i="55"/>
  <c r="R114" i="55"/>
  <c r="R48" i="55"/>
  <c r="J151" i="55"/>
  <c r="J150" i="55"/>
  <c r="J149" i="55"/>
  <c r="J148" i="55"/>
  <c r="J147" i="55"/>
  <c r="J146" i="55"/>
  <c r="I96" i="55"/>
  <c r="I97" i="55" s="1"/>
  <c r="K96" i="55"/>
  <c r="N99" i="55"/>
  <c r="N100" i="55" s="1"/>
  <c r="N103" i="55" s="1"/>
  <c r="M100" i="55"/>
  <c r="M96" i="55"/>
  <c r="J105" i="55"/>
  <c r="K32" i="55"/>
  <c r="J57" i="55"/>
  <c r="J73" i="55" s="1"/>
  <c r="J92" i="55" s="1"/>
  <c r="O94" i="55"/>
  <c r="L102" i="55"/>
  <c r="L103" i="55" s="1"/>
  <c r="P99" i="55"/>
  <c r="K94" i="55"/>
  <c r="K97" i="55" s="1"/>
  <c r="O102" i="55"/>
  <c r="P102" i="55"/>
  <c r="Q106" i="55"/>
  <c r="Q51" i="55"/>
  <c r="L124" i="55"/>
  <c r="L111" i="55"/>
  <c r="L114" i="55"/>
  <c r="L160" i="55"/>
  <c r="L48" i="55"/>
  <c r="L113" i="55"/>
  <c r="L150" i="55"/>
  <c r="L146" i="55"/>
  <c r="L151" i="55"/>
  <c r="L147" i="55"/>
  <c r="L148" i="55"/>
  <c r="L149" i="55"/>
  <c r="H149" i="55"/>
  <c r="H150" i="55"/>
  <c r="H146" i="55"/>
  <c r="H151" i="55"/>
  <c r="H147" i="55"/>
  <c r="H148" i="55"/>
  <c r="H122" i="55"/>
  <c r="H121" i="55"/>
  <c r="K160" i="55"/>
  <c r="K114" i="55"/>
  <c r="K113" i="55"/>
  <c r="K48" i="55"/>
  <c r="O124" i="55"/>
  <c r="O111" i="55"/>
  <c r="O151" i="55"/>
  <c r="O150" i="55"/>
  <c r="O149" i="55"/>
  <c r="O148" i="55"/>
  <c r="O147" i="55"/>
  <c r="O146" i="55"/>
  <c r="P124" i="55"/>
  <c r="P111" i="55"/>
  <c r="N160" i="55"/>
  <c r="N113" i="55"/>
  <c r="N114" i="55"/>
  <c r="N48" i="55"/>
  <c r="P97" i="55"/>
  <c r="O96" i="55"/>
  <c r="K122" i="55"/>
  <c r="K121" i="55"/>
  <c r="R94" i="55"/>
  <c r="R97" i="55" s="1"/>
  <c r="N97" i="55"/>
  <c r="M151" i="55"/>
  <c r="M150" i="55"/>
  <c r="M149" i="55"/>
  <c r="M148" i="55"/>
  <c r="M147" i="55"/>
  <c r="M146" i="55"/>
  <c r="I117" i="55"/>
  <c r="I109" i="55"/>
  <c r="S99" i="55"/>
  <c r="S100" i="55" s="1"/>
  <c r="M103" i="55"/>
  <c r="Q122" i="55"/>
  <c r="Q121" i="55"/>
  <c r="I122" i="55"/>
  <c r="I121" i="55"/>
  <c r="I124" i="55"/>
  <c r="I111" i="55"/>
  <c r="L134" i="55"/>
  <c r="R121" i="55"/>
  <c r="R122" i="55"/>
  <c r="S103" i="55"/>
  <c r="J99" i="55"/>
  <c r="Q97" i="55"/>
  <c r="Q107" i="55" s="1"/>
  <c r="M124" i="55"/>
  <c r="M111" i="55"/>
  <c r="Q99" i="55"/>
  <c r="Q100" i="55" s="1"/>
  <c r="Q103" i="55" s="1"/>
  <c r="I99" i="55"/>
  <c r="I100" i="55" s="1"/>
  <c r="I103" i="55" s="1"/>
  <c r="Q124" i="55"/>
  <c r="Q111" i="55"/>
  <c r="M122" i="55"/>
  <c r="M121" i="55"/>
  <c r="M106" i="55"/>
  <c r="M51" i="55"/>
  <c r="H160" i="55"/>
  <c r="H114" i="55"/>
  <c r="H113" i="55"/>
  <c r="H48" i="55"/>
  <c r="H51" i="55" s="1"/>
  <c r="L136" i="55"/>
  <c r="P122" i="55"/>
  <c r="S124" i="55"/>
  <c r="S111" i="55"/>
  <c r="S151" i="55"/>
  <c r="S150" i="55"/>
  <c r="S149" i="55"/>
  <c r="S148" i="55"/>
  <c r="S147" i="55"/>
  <c r="S146" i="55"/>
  <c r="H124" i="55"/>
  <c r="H111" i="55"/>
  <c r="J160" i="55"/>
  <c r="J48" i="55"/>
  <c r="J113" i="55"/>
  <c r="J114" i="55"/>
  <c r="R151" i="55"/>
  <c r="R150" i="55"/>
  <c r="R149" i="55"/>
  <c r="R148" i="55"/>
  <c r="R147" i="55"/>
  <c r="R146" i="55"/>
  <c r="O122" i="55"/>
  <c r="O121" i="55"/>
  <c r="L97" i="55"/>
  <c r="M94" i="55"/>
  <c r="M97" i="55" s="1"/>
  <c r="M107" i="55" s="1"/>
  <c r="Q151" i="55"/>
  <c r="Q150" i="55"/>
  <c r="Q149" i="55"/>
  <c r="Q148" i="55"/>
  <c r="Q147" i="55"/>
  <c r="Q146" i="55"/>
  <c r="Q96" i="55"/>
  <c r="O99" i="55"/>
  <c r="O100" i="55" s="1"/>
  <c r="S129" i="65" l="1"/>
  <c r="S133" i="65"/>
  <c r="S140" i="65" s="1"/>
  <c r="S145" i="65" s="1"/>
  <c r="S153" i="65" s="1"/>
  <c r="R129" i="64"/>
  <c r="R133" i="64"/>
  <c r="R140" i="64" s="1"/>
  <c r="R145" i="64" s="1"/>
  <c r="R153" i="64" s="1"/>
  <c r="S117" i="64"/>
  <c r="S109" i="64"/>
  <c r="S117" i="63"/>
  <c r="S109" i="63"/>
  <c r="R133" i="63"/>
  <c r="R140" i="63" s="1"/>
  <c r="R145" i="63" s="1"/>
  <c r="R153" i="63" s="1"/>
  <c r="R129" i="63"/>
  <c r="M141" i="62"/>
  <c r="M113" i="62"/>
  <c r="M107" i="62"/>
  <c r="M18" i="62"/>
  <c r="M31" i="62" s="1"/>
  <c r="Q117" i="61"/>
  <c r="Q109" i="61"/>
  <c r="P133" i="61"/>
  <c r="P140" i="61" s="1"/>
  <c r="P145" i="61" s="1"/>
  <c r="P153" i="61" s="1"/>
  <c r="P129" i="61"/>
  <c r="R105" i="61"/>
  <c r="S32" i="61"/>
  <c r="R57" i="61"/>
  <c r="R73" i="61" s="1"/>
  <c r="R92" i="61" s="1"/>
  <c r="Q87" i="60"/>
  <c r="Q95" i="60" s="1"/>
  <c r="Q57" i="60"/>
  <c r="Q73" i="60" s="1"/>
  <c r="R32" i="60"/>
  <c r="P106" i="60"/>
  <c r="P109" i="60"/>
  <c r="P115" i="60" s="1"/>
  <c r="P119" i="60" s="1"/>
  <c r="P127" i="60" s="1"/>
  <c r="P109" i="59"/>
  <c r="P117" i="59"/>
  <c r="R29" i="59"/>
  <c r="Q115" i="59"/>
  <c r="Q90" i="59"/>
  <c r="Q27" i="59"/>
  <c r="R32" i="59"/>
  <c r="Q105" i="59"/>
  <c r="Q57" i="59"/>
  <c r="Q73" i="59" s="1"/>
  <c r="Q92" i="59" s="1"/>
  <c r="O133" i="59"/>
  <c r="O140" i="59" s="1"/>
  <c r="O145" i="59" s="1"/>
  <c r="O153" i="59" s="1"/>
  <c r="O129" i="59"/>
  <c r="P168" i="59"/>
  <c r="P18" i="59"/>
  <c r="P31" i="59" s="1"/>
  <c r="P101" i="59"/>
  <c r="P102" i="59" s="1"/>
  <c r="P103" i="59" s="1"/>
  <c r="P131" i="59"/>
  <c r="P138" i="59"/>
  <c r="M129" i="58"/>
  <c r="M133" i="58"/>
  <c r="M140" i="58" s="1"/>
  <c r="M145" i="58" s="1"/>
  <c r="M153" i="58" s="1"/>
  <c r="O105" i="58"/>
  <c r="O57" i="58"/>
  <c r="O73" i="58" s="1"/>
  <c r="O92" i="58" s="1"/>
  <c r="P32" i="58"/>
  <c r="N117" i="58"/>
  <c r="N109" i="58"/>
  <c r="M105" i="57"/>
  <c r="N32" i="57"/>
  <c r="M57" i="57"/>
  <c r="M73" i="57" s="1"/>
  <c r="M92" i="57" s="1"/>
  <c r="L117" i="57"/>
  <c r="L109" i="57"/>
  <c r="K133" i="57"/>
  <c r="K140" i="57" s="1"/>
  <c r="K145" i="57" s="1"/>
  <c r="K153" i="57" s="1"/>
  <c r="K129" i="57"/>
  <c r="O52" i="57"/>
  <c r="O27" i="57"/>
  <c r="P29" i="57"/>
  <c r="O115" i="57"/>
  <c r="R161" i="56"/>
  <c r="R52" i="56"/>
  <c r="R150" i="56"/>
  <c r="R149" i="56"/>
  <c r="L168" i="56"/>
  <c r="L131" i="56"/>
  <c r="L138" i="56"/>
  <c r="L18" i="56"/>
  <c r="L31" i="56" s="1"/>
  <c r="L101" i="56"/>
  <c r="L102" i="56" s="1"/>
  <c r="L103" i="56" s="1"/>
  <c r="J161" i="56"/>
  <c r="J52" i="56"/>
  <c r="J149" i="56"/>
  <c r="J150" i="56"/>
  <c r="J151" i="56"/>
  <c r="N57" i="56"/>
  <c r="N73" i="56" s="1"/>
  <c r="N92" i="56" s="1"/>
  <c r="N105" i="56"/>
  <c r="O32" i="56"/>
  <c r="I161" i="56"/>
  <c r="I52" i="56"/>
  <c r="L133" i="56"/>
  <c r="L140" i="56" s="1"/>
  <c r="L145" i="56" s="1"/>
  <c r="L153" i="56" s="1"/>
  <c r="L129" i="56"/>
  <c r="L161" i="56"/>
  <c r="L52" i="56"/>
  <c r="L149" i="56"/>
  <c r="L151" i="56"/>
  <c r="L150" i="56"/>
  <c r="M115" i="56"/>
  <c r="M90" i="56"/>
  <c r="N29" i="56"/>
  <c r="M27" i="56"/>
  <c r="M151" i="56" s="1"/>
  <c r="P161" i="56"/>
  <c r="P52" i="56"/>
  <c r="P149" i="56"/>
  <c r="P150" i="56"/>
  <c r="K161" i="56"/>
  <c r="K52" i="56"/>
  <c r="K151" i="56"/>
  <c r="K150" i="56"/>
  <c r="K149" i="56"/>
  <c r="M117" i="56"/>
  <c r="M109" i="56"/>
  <c r="M161" i="56"/>
  <c r="M52" i="56"/>
  <c r="M150" i="56"/>
  <c r="M149" i="56"/>
  <c r="Q161" i="56"/>
  <c r="Q52" i="56"/>
  <c r="Q150" i="56"/>
  <c r="Q149" i="56"/>
  <c r="S161" i="56"/>
  <c r="S52" i="56"/>
  <c r="S149" i="56"/>
  <c r="S150" i="56"/>
  <c r="N161" i="56"/>
  <c r="N52" i="56"/>
  <c r="O161" i="56"/>
  <c r="O52" i="56"/>
  <c r="O149" i="56"/>
  <c r="O150" i="56"/>
  <c r="O103" i="55"/>
  <c r="I106" i="55"/>
  <c r="I107" i="55" s="1"/>
  <c r="I51" i="55"/>
  <c r="J100" i="55"/>
  <c r="J103" i="55" s="1"/>
  <c r="I129" i="55"/>
  <c r="I133" i="55"/>
  <c r="I140" i="55" s="1"/>
  <c r="I145" i="55" s="1"/>
  <c r="I153" i="55" s="1"/>
  <c r="Q161" i="55"/>
  <c r="Q52" i="55"/>
  <c r="P106" i="55"/>
  <c r="P107" i="55" s="1"/>
  <c r="P51" i="55"/>
  <c r="K103" i="55"/>
  <c r="K100" i="55"/>
  <c r="O97" i="55"/>
  <c r="O107" i="55" s="1"/>
  <c r="H161" i="55"/>
  <c r="H52" i="55"/>
  <c r="M161" i="55"/>
  <c r="M52" i="55"/>
  <c r="N106" i="55"/>
  <c r="N107" i="55" s="1"/>
  <c r="N51" i="55"/>
  <c r="P100" i="55"/>
  <c r="K105" i="55"/>
  <c r="L32" i="55"/>
  <c r="K57" i="55"/>
  <c r="K73" i="55" s="1"/>
  <c r="K92" i="55" s="1"/>
  <c r="J106" i="55"/>
  <c r="J107" i="55" s="1"/>
  <c r="J51" i="55"/>
  <c r="K51" i="55"/>
  <c r="K106" i="55"/>
  <c r="K107" i="55" s="1"/>
  <c r="L106" i="55"/>
  <c r="L107" i="55" s="1"/>
  <c r="L51" i="55"/>
  <c r="P103" i="55"/>
  <c r="J117" i="55"/>
  <c r="J109" i="55"/>
  <c r="R106" i="55"/>
  <c r="R107" i="55" s="1"/>
  <c r="R51" i="55"/>
  <c r="O106" i="55"/>
  <c r="O51" i="55"/>
  <c r="S51" i="55"/>
  <c r="S106" i="55"/>
  <c r="S107" i="55" s="1"/>
  <c r="R100" i="55"/>
  <c r="R103" i="55" s="1"/>
  <c r="S133" i="64" l="1"/>
  <c r="S140" i="64" s="1"/>
  <c r="S145" i="64" s="1"/>
  <c r="S153" i="64" s="1"/>
  <c r="S129" i="64"/>
  <c r="S133" i="63"/>
  <c r="S140" i="63" s="1"/>
  <c r="S145" i="63" s="1"/>
  <c r="S153" i="63" s="1"/>
  <c r="S129" i="63"/>
  <c r="S105" i="61"/>
  <c r="S57" i="61"/>
  <c r="S73" i="61" s="1"/>
  <c r="S92" i="61" s="1"/>
  <c r="R109" i="61"/>
  <c r="R117" i="61"/>
  <c r="Q129" i="61"/>
  <c r="Q133" i="61"/>
  <c r="Q140" i="61" s="1"/>
  <c r="Q145" i="61" s="1"/>
  <c r="Q153" i="61" s="1"/>
  <c r="S32" i="60"/>
  <c r="R87" i="60"/>
  <c r="R95" i="60" s="1"/>
  <c r="R57" i="60"/>
  <c r="R73" i="60" s="1"/>
  <c r="Q109" i="60"/>
  <c r="Q115" i="60" s="1"/>
  <c r="Q119" i="60" s="1"/>
  <c r="Q127" i="60" s="1"/>
  <c r="Q106" i="60"/>
  <c r="Q117" i="59"/>
  <c r="Q109" i="59"/>
  <c r="R57" i="59"/>
  <c r="R73" i="59" s="1"/>
  <c r="R92" i="59" s="1"/>
  <c r="S32" i="59"/>
  <c r="R105" i="59"/>
  <c r="R115" i="59"/>
  <c r="R90" i="59"/>
  <c r="R27" i="59"/>
  <c r="S29" i="59"/>
  <c r="Q168" i="59"/>
  <c r="Q18" i="59"/>
  <c r="Q31" i="59" s="1"/>
  <c r="Q131" i="59"/>
  <c r="Q101" i="59"/>
  <c r="Q102" i="59" s="1"/>
  <c r="Q103" i="59" s="1"/>
  <c r="Q138" i="59"/>
  <c r="P133" i="59"/>
  <c r="P140" i="59" s="1"/>
  <c r="P145" i="59" s="1"/>
  <c r="P153" i="59" s="1"/>
  <c r="P129" i="59"/>
  <c r="O117" i="58"/>
  <c r="O109" i="58"/>
  <c r="N133" i="58"/>
  <c r="N140" i="58" s="1"/>
  <c r="N145" i="58" s="1"/>
  <c r="N153" i="58" s="1"/>
  <c r="N129" i="58"/>
  <c r="P105" i="58"/>
  <c r="P57" i="58"/>
  <c r="P73" i="58" s="1"/>
  <c r="P92" i="58" s="1"/>
  <c r="Q32" i="58"/>
  <c r="P115" i="57"/>
  <c r="P90" i="57"/>
  <c r="Q29" i="57"/>
  <c r="P27" i="57"/>
  <c r="O32" i="57"/>
  <c r="N105" i="57"/>
  <c r="N57" i="57"/>
  <c r="N73" i="57" s="1"/>
  <c r="N92" i="57" s="1"/>
  <c r="L133" i="57"/>
  <c r="L140" i="57" s="1"/>
  <c r="L145" i="57" s="1"/>
  <c r="L153" i="57" s="1"/>
  <c r="L129" i="57"/>
  <c r="O168" i="57"/>
  <c r="O138" i="57"/>
  <c r="O131" i="57"/>
  <c r="O18" i="57"/>
  <c r="O31" i="57" s="1"/>
  <c r="O101" i="57"/>
  <c r="O102" i="57" s="1"/>
  <c r="O103" i="57" s="1"/>
  <c r="M109" i="57"/>
  <c r="M117" i="57"/>
  <c r="M168" i="56"/>
  <c r="M138" i="56"/>
  <c r="M131" i="56"/>
  <c r="M101" i="56"/>
  <c r="M102" i="56" s="1"/>
  <c r="M103" i="56" s="1"/>
  <c r="M18" i="56"/>
  <c r="M31" i="56" s="1"/>
  <c r="M133" i="56"/>
  <c r="M140" i="56" s="1"/>
  <c r="M145" i="56" s="1"/>
  <c r="M153" i="56" s="1"/>
  <c r="M129" i="56"/>
  <c r="N90" i="56"/>
  <c r="N115" i="56"/>
  <c r="O29" i="56"/>
  <c r="N27" i="56"/>
  <c r="O105" i="56"/>
  <c r="O57" i="56"/>
  <c r="O73" i="56" s="1"/>
  <c r="O92" i="56" s="1"/>
  <c r="P32" i="56"/>
  <c r="N109" i="56"/>
  <c r="N117" i="56"/>
  <c r="K161" i="55"/>
  <c r="K52" i="55"/>
  <c r="L57" i="55"/>
  <c r="L73" i="55" s="1"/>
  <c r="L92" i="55" s="1"/>
  <c r="L105" i="55"/>
  <c r="M32" i="55"/>
  <c r="P52" i="55"/>
  <c r="P161" i="55"/>
  <c r="S161" i="55"/>
  <c r="S52" i="55"/>
  <c r="L161" i="55"/>
  <c r="L52" i="55"/>
  <c r="K117" i="55"/>
  <c r="K109" i="55"/>
  <c r="O161" i="55"/>
  <c r="O52" i="55"/>
  <c r="R161" i="55"/>
  <c r="R52" i="55"/>
  <c r="J161" i="55"/>
  <c r="J52" i="55"/>
  <c r="J133" i="55"/>
  <c r="J140" i="55" s="1"/>
  <c r="J145" i="55" s="1"/>
  <c r="J153" i="55" s="1"/>
  <c r="J129" i="55"/>
  <c r="N161" i="55"/>
  <c r="N52" i="55"/>
  <c r="I161" i="55"/>
  <c r="I52" i="55"/>
  <c r="S117" i="61" l="1"/>
  <c r="S109" i="61"/>
  <c r="R133" i="61"/>
  <c r="R140" i="61" s="1"/>
  <c r="R145" i="61" s="1"/>
  <c r="R153" i="61" s="1"/>
  <c r="R129" i="61"/>
  <c r="R109" i="60"/>
  <c r="R115" i="60" s="1"/>
  <c r="R119" i="60" s="1"/>
  <c r="R127" i="60" s="1"/>
  <c r="R106" i="60"/>
  <c r="S87" i="60"/>
  <c r="S95" i="60" s="1"/>
  <c r="S57" i="60"/>
  <c r="S73" i="60" s="1"/>
  <c r="R168" i="59"/>
  <c r="R138" i="59"/>
  <c r="R131" i="59"/>
  <c r="R101" i="59"/>
  <c r="R102" i="59" s="1"/>
  <c r="R103" i="59" s="1"/>
  <c r="R18" i="59"/>
  <c r="R31" i="59" s="1"/>
  <c r="S57" i="59"/>
  <c r="S73" i="59" s="1"/>
  <c r="S92" i="59" s="1"/>
  <c r="S105" i="59"/>
  <c r="S90" i="59"/>
  <c r="S27" i="59"/>
  <c r="S115" i="59"/>
  <c r="R117" i="59"/>
  <c r="R109" i="59"/>
  <c r="Q133" i="59"/>
  <c r="Q140" i="59" s="1"/>
  <c r="Q145" i="59" s="1"/>
  <c r="Q153" i="59" s="1"/>
  <c r="Q129" i="59"/>
  <c r="R32" i="58"/>
  <c r="Q105" i="58"/>
  <c r="Q57" i="58"/>
  <c r="Q73" i="58" s="1"/>
  <c r="Q92" i="58" s="1"/>
  <c r="P117" i="58"/>
  <c r="P109" i="58"/>
  <c r="O133" i="58"/>
  <c r="O140" i="58" s="1"/>
  <c r="O145" i="58" s="1"/>
  <c r="O153" i="58" s="1"/>
  <c r="O129" i="58"/>
  <c r="P168" i="57"/>
  <c r="P131" i="57"/>
  <c r="P18" i="57"/>
  <c r="P31" i="57" s="1"/>
  <c r="P101" i="57"/>
  <c r="P102" i="57" s="1"/>
  <c r="P103" i="57" s="1"/>
  <c r="P138" i="57"/>
  <c r="Q151" i="57"/>
  <c r="Q90" i="57"/>
  <c r="R29" i="57"/>
  <c r="Q27" i="57"/>
  <c r="Q115" i="57"/>
  <c r="M129" i="57"/>
  <c r="M133" i="57"/>
  <c r="M140" i="57" s="1"/>
  <c r="M145" i="57" s="1"/>
  <c r="M153" i="57" s="1"/>
  <c r="N117" i="57"/>
  <c r="N109" i="57"/>
  <c r="O105" i="57"/>
  <c r="O57" i="57"/>
  <c r="O73" i="57" s="1"/>
  <c r="O92" i="57" s="1"/>
  <c r="P32" i="57"/>
  <c r="N133" i="56"/>
  <c r="N140" i="56" s="1"/>
  <c r="N145" i="56" s="1"/>
  <c r="N153" i="56" s="1"/>
  <c r="N129" i="56"/>
  <c r="O117" i="56"/>
  <c r="O109" i="56"/>
  <c r="N168" i="56"/>
  <c r="N138" i="56"/>
  <c r="N101" i="56"/>
  <c r="N102" i="56" s="1"/>
  <c r="N103" i="56" s="1"/>
  <c r="N131" i="56"/>
  <c r="N18" i="56"/>
  <c r="N31" i="56" s="1"/>
  <c r="P105" i="56"/>
  <c r="Q32" i="56"/>
  <c r="P57" i="56"/>
  <c r="P73" i="56" s="1"/>
  <c r="P92" i="56" s="1"/>
  <c r="O115" i="56"/>
  <c r="P29" i="56"/>
  <c r="O27" i="56"/>
  <c r="O90" i="56"/>
  <c r="L117" i="55"/>
  <c r="L109" i="55"/>
  <c r="K133" i="55"/>
  <c r="K140" i="55" s="1"/>
  <c r="K145" i="55" s="1"/>
  <c r="K153" i="55" s="1"/>
  <c r="K129" i="55"/>
  <c r="M105" i="55"/>
  <c r="N32" i="55"/>
  <c r="M57" i="55"/>
  <c r="M73" i="55" s="1"/>
  <c r="M92" i="55" s="1"/>
  <c r="S133" i="61" l="1"/>
  <c r="S140" i="61" s="1"/>
  <c r="S145" i="61" s="1"/>
  <c r="S153" i="61" s="1"/>
  <c r="S129" i="61"/>
  <c r="S109" i="60"/>
  <c r="S115" i="60" s="1"/>
  <c r="S119" i="60" s="1"/>
  <c r="S127" i="60" s="1"/>
  <c r="S106" i="60"/>
  <c r="R129" i="59"/>
  <c r="R133" i="59"/>
  <c r="R140" i="59" s="1"/>
  <c r="R145" i="59" s="1"/>
  <c r="R153" i="59" s="1"/>
  <c r="S117" i="59"/>
  <c r="S109" i="59"/>
  <c r="S168" i="59"/>
  <c r="S138" i="59"/>
  <c r="S18" i="59"/>
  <c r="S31" i="59" s="1"/>
  <c r="S101" i="59"/>
  <c r="S102" i="59" s="1"/>
  <c r="S103" i="59" s="1"/>
  <c r="S131" i="59"/>
  <c r="P133" i="58"/>
  <c r="P140" i="58" s="1"/>
  <c r="P145" i="58" s="1"/>
  <c r="P153" i="58" s="1"/>
  <c r="P129" i="58"/>
  <c r="Q117" i="58"/>
  <c r="Q109" i="58"/>
  <c r="R105" i="58"/>
  <c r="S32" i="58"/>
  <c r="R57" i="58"/>
  <c r="R73" i="58" s="1"/>
  <c r="R92" i="58" s="1"/>
  <c r="O117" i="57"/>
  <c r="O109" i="57"/>
  <c r="R115" i="57"/>
  <c r="R90" i="57"/>
  <c r="S29" i="57"/>
  <c r="R27" i="57"/>
  <c r="Q32" i="57"/>
  <c r="P105" i="57"/>
  <c r="P57" i="57"/>
  <c r="P73" i="57" s="1"/>
  <c r="P92" i="57" s="1"/>
  <c r="N133" i="57"/>
  <c r="N140" i="57" s="1"/>
  <c r="N145" i="57" s="1"/>
  <c r="N153" i="57" s="1"/>
  <c r="N129" i="57"/>
  <c r="Q168" i="57"/>
  <c r="Q101" i="57"/>
  <c r="Q102" i="57" s="1"/>
  <c r="Q103" i="57" s="1"/>
  <c r="Q138" i="57"/>
  <c r="Q131" i="57"/>
  <c r="Q18" i="57"/>
  <c r="Q31" i="57" s="1"/>
  <c r="R151" i="57"/>
  <c r="O168" i="56"/>
  <c r="O138" i="56"/>
  <c r="O131" i="56"/>
  <c r="O18" i="56"/>
  <c r="O31" i="56" s="1"/>
  <c r="O101" i="56"/>
  <c r="O102" i="56" s="1"/>
  <c r="O103" i="56" s="1"/>
  <c r="R32" i="56"/>
  <c r="Q57" i="56"/>
  <c r="Q73" i="56" s="1"/>
  <c r="Q92" i="56" s="1"/>
  <c r="Q105" i="56"/>
  <c r="P115" i="56"/>
  <c r="Q29" i="56"/>
  <c r="P27" i="56"/>
  <c r="P90" i="56"/>
  <c r="P117" i="56"/>
  <c r="P109" i="56"/>
  <c r="O133" i="56"/>
  <c r="O140" i="56" s="1"/>
  <c r="O145" i="56" s="1"/>
  <c r="O153" i="56" s="1"/>
  <c r="O129" i="56"/>
  <c r="O151" i="56"/>
  <c r="O32" i="55"/>
  <c r="N105" i="55"/>
  <c r="N57" i="55"/>
  <c r="N73" i="55" s="1"/>
  <c r="N92" i="55" s="1"/>
  <c r="M117" i="55"/>
  <c r="M109" i="55"/>
  <c r="L133" i="55"/>
  <c r="L140" i="55" s="1"/>
  <c r="L145" i="55" s="1"/>
  <c r="L153" i="55" s="1"/>
  <c r="L129" i="55"/>
  <c r="S133" i="59" l="1"/>
  <c r="S140" i="59" s="1"/>
  <c r="S145" i="59" s="1"/>
  <c r="S153" i="59" s="1"/>
  <c r="S129" i="59"/>
  <c r="R117" i="58"/>
  <c r="R109" i="58"/>
  <c r="Q133" i="58"/>
  <c r="Q140" i="58" s="1"/>
  <c r="Q145" i="58" s="1"/>
  <c r="Q153" i="58" s="1"/>
  <c r="Q129" i="58"/>
  <c r="S105" i="58"/>
  <c r="S57" i="58"/>
  <c r="S73" i="58" s="1"/>
  <c r="S92" i="58" s="1"/>
  <c r="R32" i="57"/>
  <c r="Q105" i="57"/>
  <c r="Q57" i="57"/>
  <c r="Q73" i="57" s="1"/>
  <c r="Q92" i="57" s="1"/>
  <c r="R168" i="57"/>
  <c r="R138" i="57"/>
  <c r="R131" i="57"/>
  <c r="R101" i="57"/>
  <c r="R102" i="57" s="1"/>
  <c r="R103" i="57" s="1"/>
  <c r="R18" i="57"/>
  <c r="R31" i="57" s="1"/>
  <c r="P109" i="57"/>
  <c r="P117" i="57"/>
  <c r="S115" i="57"/>
  <c r="S27" i="57"/>
  <c r="S90" i="57"/>
  <c r="O133" i="57"/>
  <c r="O140" i="57" s="1"/>
  <c r="O145" i="57" s="1"/>
  <c r="O153" i="57" s="1"/>
  <c r="O129" i="57"/>
  <c r="P168" i="56"/>
  <c r="P131" i="56"/>
  <c r="P138" i="56"/>
  <c r="P18" i="56"/>
  <c r="P31" i="56" s="1"/>
  <c r="P101" i="56"/>
  <c r="P102" i="56" s="1"/>
  <c r="P103" i="56" s="1"/>
  <c r="Q115" i="56"/>
  <c r="Q90" i="56"/>
  <c r="R29" i="56"/>
  <c r="Q27" i="56"/>
  <c r="R105" i="56"/>
  <c r="R57" i="56"/>
  <c r="R73" i="56" s="1"/>
  <c r="R92" i="56" s="1"/>
  <c r="S32" i="56"/>
  <c r="P133" i="56"/>
  <c r="P140" i="56" s="1"/>
  <c r="P145" i="56" s="1"/>
  <c r="P153" i="56" s="1"/>
  <c r="P129" i="56"/>
  <c r="P151" i="56"/>
  <c r="Q117" i="56"/>
  <c r="Q109" i="56"/>
  <c r="N117" i="55"/>
  <c r="N109" i="55"/>
  <c r="M133" i="55"/>
  <c r="M140" i="55" s="1"/>
  <c r="M145" i="55" s="1"/>
  <c r="M153" i="55" s="1"/>
  <c r="M129" i="55"/>
  <c r="O105" i="55"/>
  <c r="P32" i="55"/>
  <c r="O57" i="55"/>
  <c r="O73" i="55" s="1"/>
  <c r="O92" i="55" s="1"/>
  <c r="S117" i="58" l="1"/>
  <c r="S109" i="58"/>
  <c r="R133" i="58"/>
  <c r="R140" i="58" s="1"/>
  <c r="R145" i="58" s="1"/>
  <c r="R153" i="58" s="1"/>
  <c r="R129" i="58"/>
  <c r="P133" i="57"/>
  <c r="P140" i="57" s="1"/>
  <c r="P145" i="57" s="1"/>
  <c r="P153" i="57" s="1"/>
  <c r="P129" i="57"/>
  <c r="Q109" i="57"/>
  <c r="Q117" i="57"/>
  <c r="S168" i="57"/>
  <c r="S138" i="57"/>
  <c r="S131" i="57"/>
  <c r="S18" i="57"/>
  <c r="S31" i="57" s="1"/>
  <c r="S101" i="57"/>
  <c r="S102" i="57" s="1"/>
  <c r="S103" i="57" s="1"/>
  <c r="S151" i="57"/>
  <c r="S32" i="57"/>
  <c r="R105" i="57"/>
  <c r="R57" i="57"/>
  <c r="R73" i="57" s="1"/>
  <c r="R92" i="57" s="1"/>
  <c r="Q129" i="56"/>
  <c r="Q133" i="56"/>
  <c r="Q140" i="56" s="1"/>
  <c r="Q145" i="56" s="1"/>
  <c r="Q153" i="56" s="1"/>
  <c r="S105" i="56"/>
  <c r="S57" i="56"/>
  <c r="S73" i="56" s="1"/>
  <c r="S92" i="56" s="1"/>
  <c r="R90" i="56"/>
  <c r="R115" i="56"/>
  <c r="S29" i="56"/>
  <c r="R27" i="56"/>
  <c r="R109" i="56"/>
  <c r="R117" i="56"/>
  <c r="Q168" i="56"/>
  <c r="Q138" i="56"/>
  <c r="Q131" i="56"/>
  <c r="Q101" i="56"/>
  <c r="Q102" i="56" s="1"/>
  <c r="Q103" i="56" s="1"/>
  <c r="Q18" i="56"/>
  <c r="Q31" i="56" s="1"/>
  <c r="R151" i="56"/>
  <c r="Q151" i="56"/>
  <c r="P57" i="55"/>
  <c r="P73" i="55" s="1"/>
  <c r="P92" i="55" s="1"/>
  <c r="P105" i="55"/>
  <c r="Q32" i="55"/>
  <c r="O117" i="55"/>
  <c r="O109" i="55"/>
  <c r="N133" i="55"/>
  <c r="N140" i="55" s="1"/>
  <c r="N145" i="55" s="1"/>
  <c r="N153" i="55" s="1"/>
  <c r="N129" i="55"/>
  <c r="S133" i="58" l="1"/>
  <c r="S140" i="58" s="1"/>
  <c r="S145" i="58" s="1"/>
  <c r="S153" i="58" s="1"/>
  <c r="S129" i="58"/>
  <c r="R117" i="57"/>
  <c r="R109" i="57"/>
  <c r="Q133" i="57"/>
  <c r="Q140" i="57" s="1"/>
  <c r="Q145" i="57" s="1"/>
  <c r="Q153" i="57" s="1"/>
  <c r="Q129" i="57"/>
  <c r="S105" i="57"/>
  <c r="S57" i="57"/>
  <c r="S73" i="57" s="1"/>
  <c r="S92" i="57" s="1"/>
  <c r="R168" i="56"/>
  <c r="R138" i="56"/>
  <c r="R131" i="56"/>
  <c r="R101" i="56"/>
  <c r="R102" i="56" s="1"/>
  <c r="R103" i="56" s="1"/>
  <c r="R18" i="56"/>
  <c r="R31" i="56" s="1"/>
  <c r="S115" i="56"/>
  <c r="S27" i="56"/>
  <c r="S90" i="56"/>
  <c r="S117" i="56"/>
  <c r="S109" i="56"/>
  <c r="R133" i="56"/>
  <c r="R140" i="56" s="1"/>
  <c r="R145" i="56" s="1"/>
  <c r="R153" i="56" s="1"/>
  <c r="R129" i="56"/>
  <c r="O133" i="55"/>
  <c r="O140" i="55" s="1"/>
  <c r="O145" i="55" s="1"/>
  <c r="O153" i="55" s="1"/>
  <c r="O129" i="55"/>
  <c r="Q105" i="55"/>
  <c r="R32" i="55"/>
  <c r="Q57" i="55"/>
  <c r="Q73" i="55" s="1"/>
  <c r="Q92" i="55" s="1"/>
  <c r="P117" i="55"/>
  <c r="P109" i="55"/>
  <c r="S117" i="57" l="1"/>
  <c r="S109" i="57"/>
  <c r="R129" i="57"/>
  <c r="R133" i="57"/>
  <c r="R140" i="57" s="1"/>
  <c r="R145" i="57" s="1"/>
  <c r="R153" i="57" s="1"/>
  <c r="S168" i="56"/>
  <c r="S138" i="56"/>
  <c r="S131" i="56"/>
  <c r="S18" i="56"/>
  <c r="S31" i="56" s="1"/>
  <c r="S101" i="56"/>
  <c r="S102" i="56" s="1"/>
  <c r="S103" i="56" s="1"/>
  <c r="S133" i="56"/>
  <c r="S140" i="56" s="1"/>
  <c r="S145" i="56" s="1"/>
  <c r="S153" i="56" s="1"/>
  <c r="S129" i="56"/>
  <c r="S151" i="56"/>
  <c r="R105" i="55"/>
  <c r="S32" i="55"/>
  <c r="R57" i="55"/>
  <c r="R73" i="55" s="1"/>
  <c r="R92" i="55" s="1"/>
  <c r="Q117" i="55"/>
  <c r="Q109" i="55"/>
  <c r="P133" i="55"/>
  <c r="P140" i="55" s="1"/>
  <c r="P145" i="55" s="1"/>
  <c r="P153" i="55" s="1"/>
  <c r="P129" i="55"/>
  <c r="S133" i="57" l="1"/>
  <c r="S140" i="57" s="1"/>
  <c r="S145" i="57" s="1"/>
  <c r="S153" i="57" s="1"/>
  <c r="S129" i="57"/>
  <c r="S105" i="55"/>
  <c r="S57" i="55"/>
  <c r="S73" i="55" s="1"/>
  <c r="S92" i="55" s="1"/>
  <c r="Q129" i="55"/>
  <c r="Q133" i="55"/>
  <c r="Q140" i="55" s="1"/>
  <c r="Q145" i="55" s="1"/>
  <c r="Q153" i="55" s="1"/>
  <c r="R109" i="55"/>
  <c r="R117" i="55"/>
  <c r="R133" i="55" l="1"/>
  <c r="R140" i="55" s="1"/>
  <c r="R145" i="55" s="1"/>
  <c r="R153" i="55" s="1"/>
  <c r="R129" i="55"/>
  <c r="S117" i="55"/>
  <c r="S109" i="55"/>
  <c r="S133" i="55" l="1"/>
  <c r="S140" i="55" s="1"/>
  <c r="S145" i="55" s="1"/>
  <c r="S153" i="55" s="1"/>
  <c r="S129" i="5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Kylli</author>
  </authors>
  <commentList>
    <comment ref="H3" authorId="0" shapeId="0" xr:uid="{8BE3D2A6-E627-4350-A4F4-76DD6FABCD39}">
      <text>
        <r>
          <rPr>
            <b/>
            <sz val="9"/>
            <color indexed="81"/>
            <rFont val="Tahoma"/>
            <family val="2"/>
            <charset val="186"/>
          </rPr>
          <t>Kylli:</t>
        </r>
        <r>
          <rPr>
            <sz val="9"/>
            <color indexed="81"/>
            <rFont val="Tahoma"/>
            <family val="2"/>
            <charset val="186"/>
          </rPr>
          <t xml:space="preserve">
tegelik aprill - detsember</t>
        </r>
      </text>
    </comment>
    <comment ref="I3" authorId="0" shapeId="0" xr:uid="{89EC635C-931D-4104-95B7-38447081EB6E}">
      <text>
        <r>
          <rPr>
            <b/>
            <sz val="9"/>
            <color indexed="81"/>
            <rFont val="Tahoma"/>
            <family val="2"/>
            <charset val="186"/>
          </rPr>
          <t>Kylli:</t>
        </r>
        <r>
          <rPr>
            <sz val="9"/>
            <color indexed="81"/>
            <rFont val="Tahoma"/>
            <family val="2"/>
            <charset val="186"/>
          </rPr>
          <t xml:space="preserve">
prognoos 2018 kinnitatud eelarve ja tegevuskava </t>
        </r>
      </text>
    </comment>
    <comment ref="H21" authorId="0" shapeId="0" xr:uid="{755441F5-D86E-48C5-B942-73303827CA0A}">
      <text>
        <r>
          <rPr>
            <b/>
            <sz val="9"/>
            <color indexed="81"/>
            <rFont val="Tahoma"/>
            <charset val="186"/>
          </rPr>
          <t>Kylli:</t>
        </r>
        <r>
          <rPr>
            <sz val="9"/>
            <color indexed="81"/>
            <rFont val="Tahoma"/>
            <charset val="186"/>
          </rPr>
          <t xml:space="preserve">
sh 356 059.56 RKAS</t>
        </r>
      </text>
    </comment>
    <comment ref="I36" authorId="0" shapeId="0" xr:uid="{B1331C79-CDD5-46D5-A9A2-7AC02C8523EA}">
      <text>
        <r>
          <rPr>
            <b/>
            <sz val="9"/>
            <color indexed="81"/>
            <rFont val="Tahoma"/>
            <family val="2"/>
            <charset val="186"/>
          </rPr>
          <t>Kylli:</t>
        </r>
        <r>
          <rPr>
            <sz val="9"/>
            <color indexed="81"/>
            <rFont val="Tahoma"/>
            <family val="2"/>
            <charset val="186"/>
          </rPr>
          <t xml:space="preserve">
siia on arvestatud PM EAS toetus</t>
        </r>
      </text>
    </comment>
    <comment ref="H54" authorId="0" shapeId="0" xr:uid="{F4F13A3C-E17E-4D35-B740-02E2EF69AEF5}">
      <text>
        <r>
          <rPr>
            <b/>
            <sz val="9"/>
            <color indexed="81"/>
            <rFont val="Tahoma"/>
            <family val="2"/>
            <charset val="186"/>
          </rPr>
          <t>Kylli:</t>
        </r>
        <r>
          <rPr>
            <sz val="9"/>
            <color indexed="81"/>
            <rFont val="Tahoma"/>
            <family val="2"/>
            <charset val="186"/>
          </rPr>
          <t xml:space="preserve">
osad kohad täitmata</t>
        </r>
      </text>
    </comment>
    <comment ref="I57" authorId="0" shapeId="0" xr:uid="{888198F4-B6F4-48F0-84FD-7D9482EF80D2}">
      <text>
        <r>
          <rPr>
            <b/>
            <sz val="9"/>
            <color indexed="81"/>
            <rFont val="Tahoma"/>
            <family val="2"/>
            <charset val="186"/>
          </rPr>
          <t>Kylli:</t>
        </r>
        <r>
          <rPr>
            <sz val="9"/>
            <color indexed="81"/>
            <rFont val="Tahoma"/>
            <family val="2"/>
            <charset val="186"/>
          </rPr>
          <t xml:space="preserve">
2018 investeeringute kava</t>
        </r>
      </text>
    </comment>
    <comment ref="J57" authorId="0" shapeId="0" xr:uid="{1F85F6FA-8EC2-4328-B827-902427E0CE3A}">
      <text>
        <r>
          <rPr>
            <b/>
            <sz val="9"/>
            <color indexed="81"/>
            <rFont val="Tahoma"/>
            <family val="2"/>
            <charset val="186"/>
          </rPr>
          <t>Kylli:</t>
        </r>
        <r>
          <rPr>
            <sz val="9"/>
            <color indexed="81"/>
            <rFont val="Tahoma"/>
            <family val="2"/>
            <charset val="186"/>
          </rPr>
          <t xml:space="preserve">
2500 PM+koge
4300 kai
200 ekspo</t>
        </r>
      </text>
    </comment>
    <comment ref="K57" authorId="0" shapeId="0" xr:uid="{98CCE010-EE1D-4850-975D-1061500BEBE8}">
      <text>
        <r>
          <rPr>
            <b/>
            <sz val="9"/>
            <color indexed="81"/>
            <rFont val="Tahoma"/>
            <family val="2"/>
            <charset val="186"/>
          </rPr>
          <t>Kylli:</t>
        </r>
        <r>
          <rPr>
            <sz val="9"/>
            <color indexed="81"/>
            <rFont val="Tahoma"/>
            <family val="2"/>
            <charset val="186"/>
          </rPr>
          <t xml:space="preserve">
1000 ajaloolised laevad, sh ST
1500 kaid
500 LS ekspo
</t>
        </r>
      </text>
    </comment>
    <comment ref="L57" authorId="0" shapeId="0" xr:uid="{E7D15A64-A2B0-4991-AC37-76F4696595A9}">
      <text>
        <r>
          <rPr>
            <b/>
            <sz val="9"/>
            <color indexed="81"/>
            <rFont val="Tahoma"/>
            <family val="2"/>
            <charset val="186"/>
          </rPr>
          <t>Kylli:</t>
        </r>
        <r>
          <rPr>
            <sz val="9"/>
            <color indexed="81"/>
            <rFont val="Tahoma"/>
            <family val="2"/>
            <charset val="186"/>
          </rPr>
          <t xml:space="preserve">
500 kaid
700 ajaloolised laevad
200 ekspo ja muud</t>
        </r>
      </text>
    </comment>
    <comment ref="M57" authorId="0" shapeId="0" xr:uid="{2993A07E-DB15-488E-AFED-631EF2056822}">
      <text>
        <r>
          <rPr>
            <b/>
            <sz val="9"/>
            <color indexed="81"/>
            <rFont val="Tahoma"/>
            <family val="2"/>
            <charset val="186"/>
          </rPr>
          <t>Kylli:</t>
        </r>
        <r>
          <rPr>
            <sz val="9"/>
            <color indexed="81"/>
            <rFont val="Tahoma"/>
            <family val="2"/>
            <charset val="186"/>
          </rPr>
          <t xml:space="preserve">
400 ekspo
400 laevad?</t>
        </r>
      </text>
    </comment>
    <comment ref="H59" authorId="0" shapeId="0" xr:uid="{C99D488C-E63B-4CF3-90B5-5F00B9CB946D}">
      <text>
        <r>
          <rPr>
            <b/>
            <sz val="9"/>
            <color indexed="81"/>
            <rFont val="Tahoma"/>
            <family val="2"/>
            <charset val="186"/>
          </rPr>
          <t>Kylli:</t>
        </r>
        <r>
          <rPr>
            <sz val="9"/>
            <color indexed="81"/>
            <rFont val="Tahoma"/>
            <family val="2"/>
            <charset val="186"/>
          </rPr>
          <t xml:space="preserve">
30m mänguväljak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Tiina </author>
  </authors>
  <commentList>
    <comment ref="P36" authorId="0" shapeId="0" xr:uid="{C0D236F6-14C1-42CF-AAA2-0237B2FD2FE9}">
      <text>
        <r>
          <rPr>
            <b/>
            <sz val="9"/>
            <color indexed="81"/>
            <rFont val="Segoe UI"/>
            <family val="2"/>
            <charset val="186"/>
          </rPr>
          <t>Tiina :</t>
        </r>
        <r>
          <rPr>
            <sz val="9"/>
            <color indexed="81"/>
            <rFont val="Segoe UI"/>
            <family val="2"/>
            <charset val="186"/>
          </rPr>
          <t xml:space="preserve">
2018 personalikulud 6051 +13%
Halduskulud 550
RKAS 176+10%
Pillid 55
Hooldusremont 72
Välissõidud 80
IT 5
Tartu linn 100</t>
        </r>
      </text>
    </comment>
    <comment ref="N58" authorId="0" shapeId="0" xr:uid="{F79819D2-CDFB-4095-81CA-5F17604FC44A}">
      <text>
        <r>
          <rPr>
            <b/>
            <sz val="9"/>
            <color indexed="81"/>
            <rFont val="Segoe UI"/>
            <family val="2"/>
            <charset val="186"/>
          </rPr>
          <t>Tiina :</t>
        </r>
        <r>
          <rPr>
            <sz val="9"/>
            <color indexed="81"/>
            <rFont val="Segoe UI"/>
            <family val="2"/>
            <charset val="186"/>
          </rPr>
          <t xml:space="preserve">
Bilansis võlad tarnijatele põhivara eest 604439,41</t>
        </r>
      </text>
    </comment>
    <comment ref="Q58" authorId="0" shapeId="0" xr:uid="{FC620843-03D5-492E-BCC8-BCE846B6EB22}">
      <text>
        <r>
          <rPr>
            <b/>
            <sz val="9"/>
            <color indexed="81"/>
            <rFont val="Segoe UI"/>
            <family val="2"/>
            <charset val="186"/>
          </rPr>
          <t>Tiina :</t>
        </r>
        <r>
          <rPr>
            <sz val="9"/>
            <color indexed="81"/>
            <rFont val="Segoe UI"/>
            <family val="2"/>
            <charset val="186"/>
          </rPr>
          <t xml:space="preserve">
Black Box investeering
2020-200 tuh. eurot projekteering
2021-5000 tuh.eurot I etapp
2020-5000 tuh.eurot Ii etapp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Pearaamat</author>
  </authors>
  <commentList>
    <comment ref="P14" authorId="0" shapeId="0" xr:uid="{781C2128-D22B-4F14-B5E8-64CD3E85CB24}">
      <text>
        <r>
          <rPr>
            <b/>
            <sz val="9"/>
            <color indexed="81"/>
            <rFont val="Tahoma"/>
          </rPr>
          <t>Pearaamat:</t>
        </r>
        <r>
          <rPr>
            <sz val="9"/>
            <color indexed="81"/>
            <rFont val="Tahoma"/>
          </rPr>
          <t xml:space="preserve">
Punasemaja renoveerimine-projekteerimine</t>
        </r>
      </text>
    </comment>
    <comment ref="P15" authorId="0" shapeId="0" xr:uid="{0DC42090-6C1A-47BA-A96C-E8BC8183A766}">
      <text>
        <r>
          <rPr>
            <b/>
            <sz val="9"/>
            <color indexed="81"/>
            <rFont val="Tahoma"/>
          </rPr>
          <t>Pearaamat:
6670-174 +58</t>
        </r>
      </text>
    </comment>
    <comment ref="Q15" authorId="0" shapeId="0" xr:uid="{56E67FDF-A0D7-45CA-BE9A-FB4CCEBB1DF5}">
      <text>
        <r>
          <rPr>
            <b/>
            <sz val="9"/>
            <color indexed="81"/>
            <rFont val="Tahoma"/>
            <family val="2"/>
          </rPr>
          <t>Pearaamat:</t>
        </r>
        <r>
          <rPr>
            <sz val="9"/>
            <color indexed="81"/>
            <rFont val="Tahoma"/>
            <family val="2"/>
          </rPr>
          <t xml:space="preserve">
6552 +62 -185</t>
        </r>
      </text>
    </comment>
    <comment ref="R15" authorId="0" shapeId="0" xr:uid="{754C9833-0EAD-4CE3-8188-B09F17F677C2}">
      <text>
        <r>
          <rPr>
            <b/>
            <sz val="9"/>
            <color indexed="81"/>
            <rFont val="Tahoma"/>
          </rPr>
          <t>Pearaamat:</t>
        </r>
        <r>
          <rPr>
            <sz val="9"/>
            <color indexed="81"/>
            <rFont val="Tahoma"/>
          </rPr>
          <t xml:space="preserve">
6637´+372-190</t>
        </r>
      </text>
    </comment>
  </commentList>
</comments>
</file>

<file path=xl/sharedStrings.xml><?xml version="1.0" encoding="utf-8"?>
<sst xmlns="http://schemas.openxmlformats.org/spreadsheetml/2006/main" count="16232" uniqueCount="616">
  <si>
    <t>juhend</t>
  </si>
  <si>
    <t>rida</t>
  </si>
  <si>
    <t>konto: liik/klass/rühm, grupp</t>
  </si>
  <si>
    <t>märk</t>
  </si>
  <si>
    <t>BILANSS, tuh EUR</t>
  </si>
  <si>
    <t>B1</t>
  </si>
  <si>
    <t>VARAD</t>
  </si>
  <si>
    <t>B2</t>
  </si>
  <si>
    <t>KÄIBEVARA</t>
  </si>
  <si>
    <t>B3</t>
  </si>
  <si>
    <t>100+101</t>
  </si>
  <si>
    <t>+</t>
  </si>
  <si>
    <t>Raha ja finantsinvesteeringud</t>
  </si>
  <si>
    <t>B4</t>
  </si>
  <si>
    <t>102+103</t>
  </si>
  <si>
    <t>Nõuded ja ettemaksed</t>
  </si>
  <si>
    <t>B5</t>
  </si>
  <si>
    <t>106+107</t>
  </si>
  <si>
    <t>Immateriaalne käibevara ja bioloogiline vara</t>
  </si>
  <si>
    <t>B6</t>
  </si>
  <si>
    <t>Varud</t>
  </si>
  <si>
    <t>B7</t>
  </si>
  <si>
    <t>PÕHIVARA</t>
  </si>
  <si>
    <t>B8</t>
  </si>
  <si>
    <t>Osalused avalikus sektoris</t>
  </si>
  <si>
    <t>B9</t>
  </si>
  <si>
    <t>Pikaajalised finantsinvesteeringud</t>
  </si>
  <si>
    <t>B10</t>
  </si>
  <si>
    <t>152+153</t>
  </si>
  <si>
    <t>Pikaajalised nõuded ja ettemaksed</t>
  </si>
  <si>
    <t>B11</t>
  </si>
  <si>
    <t>Kinnisvara</t>
  </si>
  <si>
    <t>B12</t>
  </si>
  <si>
    <t>155+156</t>
  </si>
  <si>
    <t>Materiaalne ja immateriaalne põhivara</t>
  </si>
  <si>
    <t>B13</t>
  </si>
  <si>
    <t>Bioloogilised varad</t>
  </si>
  <si>
    <t>B14</t>
  </si>
  <si>
    <t>1032+1532; eristus</t>
  </si>
  <si>
    <t>Laenu- ja liisingnõuded kokku</t>
  </si>
  <si>
    <t>B15</t>
  </si>
  <si>
    <t>KOHUSTUSED JA NETOVARA</t>
  </si>
  <si>
    <t>B16</t>
  </si>
  <si>
    <t>20+25+28</t>
  </si>
  <si>
    <t>KOHUSTUSED</t>
  </si>
  <si>
    <t>B17</t>
  </si>
  <si>
    <t>20; eristus</t>
  </si>
  <si>
    <t>Lühiajalised kohustised kokku</t>
  </si>
  <si>
    <t>B18</t>
  </si>
  <si>
    <t>200+201+202+203+250+253</t>
  </si>
  <si>
    <t>Võlad ja ettemaksed</t>
  </si>
  <si>
    <t>B19</t>
  </si>
  <si>
    <t>206+256</t>
  </si>
  <si>
    <t>Eraldised</t>
  </si>
  <si>
    <t>B20</t>
  </si>
  <si>
    <t>Sihtfinantseerimine</t>
  </si>
  <si>
    <t>B21</t>
  </si>
  <si>
    <t>208+258</t>
  </si>
  <si>
    <t>Laenukohustused</t>
  </si>
  <si>
    <t>B22</t>
  </si>
  <si>
    <t>209+259</t>
  </si>
  <si>
    <t>Tuletisinstrumendid</t>
  </si>
  <si>
    <t>B23</t>
  </si>
  <si>
    <t>VÄHEMUSOSA</t>
  </si>
  <si>
    <t>B24</t>
  </si>
  <si>
    <t>NETOVARA</t>
  </si>
  <si>
    <t>B25</t>
  </si>
  <si>
    <t>290+291+292+297</t>
  </si>
  <si>
    <t>Kapital ja reservid</t>
  </si>
  <si>
    <t>B26</t>
  </si>
  <si>
    <t>Akumuleeritud tulem</t>
  </si>
  <si>
    <t>B27</t>
  </si>
  <si>
    <r>
      <t xml:space="preserve">+ /  </t>
    </r>
    <r>
      <rPr>
        <b/>
        <sz val="9"/>
        <rFont val="Calibri"/>
        <family val="2"/>
        <charset val="186"/>
      </rPr>
      <t>̶</t>
    </r>
  </si>
  <si>
    <t>Aruandeperioodi tulem</t>
  </si>
  <si>
    <t>kontroll: Bilansi tasakaal:peab = 0!</t>
  </si>
  <si>
    <t>TULEMIARUANNE, tuh EUR</t>
  </si>
  <si>
    <t>T1</t>
  </si>
  <si>
    <t>TEGEVUSTULUD</t>
  </si>
  <si>
    <t>T2</t>
  </si>
  <si>
    <t>MAKSU- JA KINDLUSTUSTULU</t>
  </si>
  <si>
    <t>T3</t>
  </si>
  <si>
    <t>KAUPADE JA TEENUSTE MÜÜK</t>
  </si>
  <si>
    <t>T4</t>
  </si>
  <si>
    <t xml:space="preserve">SAADUD TOETUSED </t>
  </si>
  <si>
    <t>T5</t>
  </si>
  <si>
    <t>MUUD TULUD</t>
  </si>
  <si>
    <t>T6</t>
  </si>
  <si>
    <t xml:space="preserve">ANTUD TOETUSED </t>
  </si>
  <si>
    <t>T7</t>
  </si>
  <si>
    <r>
      <t xml:space="preserve">  </t>
    </r>
    <r>
      <rPr>
        <b/>
        <sz val="9"/>
        <rFont val="Calibri"/>
        <family val="2"/>
        <charset val="186"/>
      </rPr>
      <t>̶</t>
    </r>
  </si>
  <si>
    <t>Sotsiaaltoetused</t>
  </si>
  <si>
    <t>T8</t>
  </si>
  <si>
    <t>Muud toetused</t>
  </si>
  <si>
    <t>T9</t>
  </si>
  <si>
    <t>5+6</t>
  </si>
  <si>
    <t>TEGEVUSKULUD</t>
  </si>
  <si>
    <t>T10</t>
  </si>
  <si>
    <t>Tööjõukulud</t>
  </si>
  <si>
    <t>T11</t>
  </si>
  <si>
    <t>Majandamiskulud</t>
  </si>
  <si>
    <t>T12</t>
  </si>
  <si>
    <t>Muud tegevuskulud (maksud, AH)</t>
  </si>
  <si>
    <t>T13</t>
  </si>
  <si>
    <t>Põhivara kulum ja ümberhindlus</t>
  </si>
  <si>
    <t>T14</t>
  </si>
  <si>
    <t>TEGEVUSTULEM</t>
  </si>
  <si>
    <t>T15</t>
  </si>
  <si>
    <t>Finantstulu ja -kulu</t>
  </si>
  <si>
    <t>T16</t>
  </si>
  <si>
    <t>MAJANDUSTULEM</t>
  </si>
  <si>
    <t>T17</t>
  </si>
  <si>
    <t>Ettevõtja tulumaks</t>
  </si>
  <si>
    <t>T18</t>
  </si>
  <si>
    <t>Vähemusosale kuuluv kasum/kahjum</t>
  </si>
  <si>
    <t>T19</t>
  </si>
  <si>
    <t>ARUANDEPERIOODI TULEM</t>
  </si>
  <si>
    <t>kontroll: Tulem OK: peab = 0!</t>
  </si>
  <si>
    <t>TÄIENDAV INFO</t>
  </si>
  <si>
    <t>Töötajate keskmine arv</t>
  </si>
  <si>
    <t>Turuosa</t>
  </si>
  <si>
    <t>käive</t>
  </si>
  <si>
    <t>INVESTEERIMISTEGEVUS, tuh EUR</t>
  </si>
  <si>
    <t>I1</t>
  </si>
  <si>
    <t>154+155+156+157</t>
  </si>
  <si>
    <t xml:space="preserve">DT </t>
  </si>
  <si>
    <t>Põhivara soetus, tasumine</t>
  </si>
  <si>
    <t>I2</t>
  </si>
  <si>
    <t>15+381</t>
  </si>
  <si>
    <t xml:space="preserve">CT </t>
  </si>
  <si>
    <t>Põhivara müük - laekumine</t>
  </si>
  <si>
    <t>I3</t>
  </si>
  <si>
    <t>CT</t>
  </si>
  <si>
    <t>Saadud SF - PV soetus</t>
  </si>
  <si>
    <t>I4</t>
  </si>
  <si>
    <t>4502</t>
  </si>
  <si>
    <t>DT</t>
  </si>
  <si>
    <t>Antud SF - PV soetus</t>
  </si>
  <si>
    <t>I5</t>
  </si>
  <si>
    <t>Saadud liitumistasud</t>
  </si>
  <si>
    <t>I6</t>
  </si>
  <si>
    <t>Osaluste soetus</t>
  </si>
  <si>
    <t>I7</t>
  </si>
  <si>
    <t>150</t>
  </si>
  <si>
    <t>Osaluste müük</t>
  </si>
  <si>
    <t>I8</t>
  </si>
  <si>
    <t>Muude aktsiate ja osade soetus</t>
  </si>
  <si>
    <t>I9</t>
  </si>
  <si>
    <t>Muude aktsiate ja osade müük</t>
  </si>
  <si>
    <t>I10</t>
  </si>
  <si>
    <t>1032+1532</t>
  </si>
  <si>
    <t>Antud laenud</t>
  </si>
  <si>
    <t>I11</t>
  </si>
  <si>
    <t>Tagasilaekunud laenud</t>
  </si>
  <si>
    <t>I12</t>
  </si>
  <si>
    <t>Dividendid - laekumine</t>
  </si>
  <si>
    <t>I13</t>
  </si>
  <si>
    <t>65, v.a. mitterahaline: 652000, 652030, 655400, 655410</t>
  </si>
  <si>
    <t>I14</t>
  </si>
  <si>
    <t>Kokku</t>
  </si>
  <si>
    <t>FINANTSEERIMISTEGEVUS, tuh EUR</t>
  </si>
  <si>
    <t>F1</t>
  </si>
  <si>
    <t>2080+2580</t>
  </si>
  <si>
    <t>Võlakirjade emiteerimine</t>
  </si>
  <si>
    <t>F2</t>
  </si>
  <si>
    <t>Võlakirjade lunastamine</t>
  </si>
  <si>
    <t>F3</t>
  </si>
  <si>
    <t>2081+2581</t>
  </si>
  <si>
    <t>Laenude võtmine</t>
  </si>
  <si>
    <t>F4</t>
  </si>
  <si>
    <t>Laenude tagasimaksmine</t>
  </si>
  <si>
    <t>F5</t>
  </si>
  <si>
    <t>2082+2582</t>
  </si>
  <si>
    <t>Kapitalirendikohustiste tasumine</t>
  </si>
  <si>
    <t>F6</t>
  </si>
  <si>
    <t>203200</t>
  </si>
  <si>
    <t>Viitvõlgade tasumine (intress jm)</t>
  </si>
  <si>
    <t>F7</t>
  </si>
  <si>
    <t>2083+2583</t>
  </si>
  <si>
    <t>Faktooringu tasumine</t>
  </si>
  <si>
    <t>F8</t>
  </si>
  <si>
    <t>Eraldiste tasumine</t>
  </si>
  <si>
    <t>F9</t>
  </si>
  <si>
    <t>290+291</t>
  </si>
  <si>
    <t>Omakap sissemakse laekumine</t>
  </si>
  <si>
    <t>F10</t>
  </si>
  <si>
    <t>F11</t>
  </si>
  <si>
    <t>F12</t>
  </si>
  <si>
    <t>Standard</t>
  </si>
  <si>
    <t>A1</t>
  </si>
  <si>
    <t>A2</t>
  </si>
  <si>
    <t>T1+T6+T9-T13</t>
  </si>
  <si>
    <t>rahaline ärikasum e. tegevustulem (EBITDA)</t>
  </si>
  <si>
    <t>A3</t>
  </si>
  <si>
    <t>rahaline kasumlikkus</t>
  </si>
  <si>
    <t>A4</t>
  </si>
  <si>
    <t>-T1/(T6+T9)</t>
  </si>
  <si>
    <t>kulu kattekordaja</t>
  </si>
  <si>
    <t>A5</t>
  </si>
  <si>
    <t xml:space="preserve">T14 </t>
  </si>
  <si>
    <t>tegevustulem</t>
  </si>
  <si>
    <t>A6</t>
  </si>
  <si>
    <t>T14/T1</t>
  </si>
  <si>
    <t>tegevustulemi puudujäägi ulatus</t>
  </si>
  <si>
    <t>A7</t>
  </si>
  <si>
    <t>B26+B27</t>
  </si>
  <si>
    <t>tegevustulemi puudujäägi kate akumul tulemiga</t>
  </si>
  <si>
    <t>võlakohustised ja likviidsus</t>
  </si>
  <si>
    <t>A8</t>
  </si>
  <si>
    <t>B3+B9</t>
  </si>
  <si>
    <t>Likviidsed varad</t>
  </si>
  <si>
    <t>A9</t>
  </si>
  <si>
    <t xml:space="preserve">Võlakohustus </t>
  </si>
  <si>
    <t>Neto-võlg=Võlakohustus--Likviidsed varad</t>
  </si>
  <si>
    <t>Neto-Võlakoormus</t>
  </si>
  <si>
    <t>A12</t>
  </si>
  <si>
    <t xml:space="preserve">võlakohustuste katteperiood </t>
  </si>
  <si>
    <t>A13</t>
  </si>
  <si>
    <t>F2+F4+F5+F6+F7+F8</t>
  </si>
  <si>
    <t>aastane finantskohustis</t>
  </si>
  <si>
    <t>A14</t>
  </si>
  <si>
    <t>fin-kohustise kattekordaja (DSCR)</t>
  </si>
  <si>
    <t>A15</t>
  </si>
  <si>
    <t>B2--B17</t>
  </si>
  <si>
    <t>käibekapital=käibevara--lühikohustis</t>
  </si>
  <si>
    <t>A16</t>
  </si>
  <si>
    <t>B2/B17</t>
  </si>
  <si>
    <t>lühikohustise kattekordaja</t>
  </si>
  <si>
    <t>A17</t>
  </si>
  <si>
    <t>-B3/((T6+T9-T13+T15)/12)</t>
  </si>
  <si>
    <t>1 kuu kulude kattevõime aastalõpu rahaga</t>
  </si>
  <si>
    <t>antud laenumahu riskisus</t>
  </si>
  <si>
    <t>A18</t>
  </si>
  <si>
    <t>B14/B1</t>
  </si>
  <si>
    <t>laenuportfelli osakaal varades</t>
  </si>
  <si>
    <t>A19</t>
  </si>
  <si>
    <t>B24/B14</t>
  </si>
  <si>
    <t>kapitali adekvaatsus</t>
  </si>
  <si>
    <t>varade ja kapitali kasutamise efektiivsus</t>
  </si>
  <si>
    <t>A20</t>
  </si>
  <si>
    <t>B7/B1</t>
  </si>
  <si>
    <t>põhivara osakaal varadest</t>
  </si>
  <si>
    <t>A21</t>
  </si>
  <si>
    <t>I1/B12</t>
  </si>
  <si>
    <t>mat pv inv osakaal mat põhivarast</t>
  </si>
  <si>
    <t>A22</t>
  </si>
  <si>
    <t>T1/B1</t>
  </si>
  <si>
    <t>varade kasutamise efektiivsus</t>
  </si>
  <si>
    <t>A23</t>
  </si>
  <si>
    <t>T1/B12</t>
  </si>
  <si>
    <t>mat pv kasutamise efektiivsus</t>
  </si>
  <si>
    <t>A24</t>
  </si>
  <si>
    <t>B24/B1</t>
  </si>
  <si>
    <t>omakap e. netovara kordaja</t>
  </si>
  <si>
    <t>omatulu ja toetused</t>
  </si>
  <si>
    <t>A25</t>
  </si>
  <si>
    <t>T3/T1</t>
  </si>
  <si>
    <t>omatulu=netokäibe osakaal kogutulust</t>
  </si>
  <si>
    <t>A26</t>
  </si>
  <si>
    <t>(T2+T4)/T1</t>
  </si>
  <si>
    <t>saadud toetuste osakaal tulus</t>
  </si>
  <si>
    <t>A27</t>
  </si>
  <si>
    <t>T6/(T6+T9)</t>
  </si>
  <si>
    <t>antud toetuste osakaal kogukulust</t>
  </si>
  <si>
    <t>A28</t>
  </si>
  <si>
    <t>T3/B1</t>
  </si>
  <si>
    <t>N/A</t>
  </si>
  <si>
    <t>varade käibe efekt=netokäive/varad</t>
  </si>
  <si>
    <t>T3/B12</t>
  </si>
  <si>
    <t>pv käibe efekt=netokäive/mat+immat pv</t>
  </si>
  <si>
    <t>äritegevuse kasumlikkus</t>
  </si>
  <si>
    <t>T19/T1</t>
  </si>
  <si>
    <t>puhaskasumimäär</t>
  </si>
  <si>
    <t>T19/B1</t>
  </si>
  <si>
    <t>varade kasumlikkus (ROA)</t>
  </si>
  <si>
    <t>T19/B24</t>
  </si>
  <si>
    <t>omakapitali kasumlikkus (ROE)</t>
  </si>
  <si>
    <t>Tulud kokku</t>
  </si>
  <si>
    <t>sh müügitulu</t>
  </si>
  <si>
    <t>sh saadud toetused</t>
  </si>
  <si>
    <t>Kulud kokku</t>
  </si>
  <si>
    <t>sh tegevus- ja ülalpidamiskulu</t>
  </si>
  <si>
    <t>sh antud toetused</t>
  </si>
  <si>
    <t>Ärikasum</t>
  </si>
  <si>
    <t>Puhaskasum</t>
  </si>
  <si>
    <t>Varad kokku</t>
  </si>
  <si>
    <t>Käibevara</t>
  </si>
  <si>
    <t>Põhivara</t>
  </si>
  <si>
    <t>Kohustised kokku</t>
  </si>
  <si>
    <t>sh lühikohustised</t>
  </si>
  <si>
    <t>sh laenukohustised</t>
  </si>
  <si>
    <t>Omakapital e. netovara</t>
  </si>
  <si>
    <t>Rahandusministri määrus nr 29, 16.05.2012</t>
  </si>
  <si>
    <t>Kohaliku omavalitsuse üksuse ja kohaliku omavalitsuse üksuse arvestusüksuse finantsdistsipliini tagamise meetmete arvutusmetoodika</t>
  </si>
  <si>
    <t>Rahandusministri määrus nr 24, 01.07.2015</t>
  </si>
  <si>
    <t>Keskvalitsuse juriidilise isiku finantsplaanile esitatavad nõuded, finantsplaani esitamise kord ning põhitegevuse tulemi ja netovõlakoormuse arvestusmetoodika</t>
  </si>
  <si>
    <t>LISA</t>
  </si>
  <si>
    <t>Sihtasutuste finantseesmärkgid</t>
  </si>
  <si>
    <t>SISUKORD:</t>
  </si>
  <si>
    <t>1.</t>
  </si>
  <si>
    <t>Eesti Laulu- ja Tantsupeo Sihtasutus</t>
  </si>
  <si>
    <t>2.</t>
  </si>
  <si>
    <t>Integratsiooni Sihtasutus</t>
  </si>
  <si>
    <t>3.</t>
  </si>
  <si>
    <t>Sihtasutus A. H. Tammsaare Muuseum Vargamäel</t>
  </si>
  <si>
    <t>4.</t>
  </si>
  <si>
    <t>Sihtasutus Eesti Draamateater</t>
  </si>
  <si>
    <t>5.</t>
  </si>
  <si>
    <t>Sihtasutus Eesti Filharmoonia Kammerkoor</t>
  </si>
  <si>
    <t>6.</t>
  </si>
  <si>
    <t>Sihtasutus Eesti Filmi Instituut</t>
  </si>
  <si>
    <t>7.</t>
  </si>
  <si>
    <t>Sihtasutus Eesti Kontsert</t>
  </si>
  <si>
    <t>8.</t>
  </si>
  <si>
    <t>Sihtasutus Eesti Kunstimuuseum</t>
  </si>
  <si>
    <t>9.</t>
  </si>
  <si>
    <t>Sihtasutus Eesti Riiklik Sümfooniaorkester</t>
  </si>
  <si>
    <t>10.</t>
  </si>
  <si>
    <t>Sihtasutus Eesti Spordi- ja Olümpiamuuseum</t>
  </si>
  <si>
    <t>11.</t>
  </si>
  <si>
    <t>Sihtasutus Eesti Tervishoiu Muuseum</t>
  </si>
  <si>
    <t>12.</t>
  </si>
  <si>
    <t>Sihtasutus Eesti Vabaõhumuuseum</t>
  </si>
  <si>
    <t>13.</t>
  </si>
  <si>
    <t>Sihtasutus Endla Teater</t>
  </si>
  <si>
    <t>14.</t>
  </si>
  <si>
    <t>Sihtasutus Haapsalu ja Läänemaa Muuseumid</t>
  </si>
  <si>
    <t>15.</t>
  </si>
  <si>
    <t>Sihtasutus Hiiumaa Muuseumid</t>
  </si>
  <si>
    <t>16.</t>
  </si>
  <si>
    <t>Sihtaustus Jõulumäe Tervisespordikeskus</t>
  </si>
  <si>
    <t>17.</t>
  </si>
  <si>
    <t>Sihtasutus Kultuurileht</t>
  </si>
  <si>
    <t>18.</t>
  </si>
  <si>
    <t>Sihtasutus Narva Muuseum</t>
  </si>
  <si>
    <t>19.</t>
  </si>
  <si>
    <t>Sihtasutus NUKU</t>
  </si>
  <si>
    <t>20.</t>
  </si>
  <si>
    <t>Sihtasutus Pärnu Muuseum</t>
  </si>
  <si>
    <t>21.</t>
  </si>
  <si>
    <t>Sihtasutus Rakvere Teatrimaja</t>
  </si>
  <si>
    <t>22.</t>
  </si>
  <si>
    <t>Sihtasutus Tartu Jaani Kirik</t>
  </si>
  <si>
    <t>23.</t>
  </si>
  <si>
    <t>Sihtasutus Teater NO99</t>
  </si>
  <si>
    <t>24.</t>
  </si>
  <si>
    <t>Sihtasutus Teater Vanemuine</t>
  </si>
  <si>
    <t>25.</t>
  </si>
  <si>
    <t>Sihtasutus Tehvandi Spordikeskus</t>
  </si>
  <si>
    <t>26.</t>
  </si>
  <si>
    <t>Sihtasutus Ugala Teater</t>
  </si>
  <si>
    <t>27.</t>
  </si>
  <si>
    <t>Sihtasutus UNESCO Eesti Rahvuslik Komisjon</t>
  </si>
  <si>
    <t>28.</t>
  </si>
  <si>
    <t>Sihtasutus Vanalinna Teatrimaja</t>
  </si>
  <si>
    <t>29.</t>
  </si>
  <si>
    <t>Sihtasutus Vene Teater</t>
  </si>
  <si>
    <t>30.</t>
  </si>
  <si>
    <t>Sihtasutus Virumaa Muuseumid</t>
  </si>
  <si>
    <t xml:space="preserve"> </t>
  </si>
  <si>
    <t>Sihtasutus Eesti Meremuuseum</t>
  </si>
  <si>
    <t>Sihtasutus Kunstihoone</t>
  </si>
  <si>
    <t>Sihtasutus Saaremaa Muuseum</t>
  </si>
  <si>
    <t>31.</t>
  </si>
  <si>
    <t>32.</t>
  </si>
  <si>
    <t>33.</t>
  </si>
  <si>
    <t>Tervishoiumuuseum SA, TP011323</t>
  </si>
  <si>
    <t>Kontakt:</t>
  </si>
  <si>
    <t>Piret Mägi 611 3143</t>
  </si>
  <si>
    <t>B28</t>
  </si>
  <si>
    <t>B1-B15</t>
  </si>
  <si>
    <t>T20</t>
  </si>
  <si>
    <t>B27-T19</t>
  </si>
  <si>
    <t>3502+257</t>
  </si>
  <si>
    <t>101900+151910, 103690</t>
  </si>
  <si>
    <t>Omakap vähendamine</t>
  </si>
  <si>
    <t>298</t>
  </si>
  <si>
    <t>Divid tasumine</t>
  </si>
  <si>
    <t>F13</t>
  </si>
  <si>
    <t>F14</t>
  </si>
  <si>
    <t>kontroll3: Põhivara OK: peab = 0!</t>
  </si>
  <si>
    <t>F15</t>
  </si>
  <si>
    <t>kontroll4: Laenukohustus OK: peab = 0!</t>
  </si>
  <si>
    <t>F16</t>
  </si>
  <si>
    <t>kontroll5: Kapital&amp;reservid OK: peab = 0!</t>
  </si>
  <si>
    <t>F17</t>
  </si>
  <si>
    <t>kontroll6: Akumul tulem OK: peab = 0!</t>
  </si>
  <si>
    <t>Positsioon - bilanss</t>
  </si>
  <si>
    <t>A1a</t>
  </si>
  <si>
    <t>B2+B8+B9+B10</t>
  </si>
  <si>
    <t>Finantsvarad</t>
  </si>
  <si>
    <t>A1b</t>
  </si>
  <si>
    <t>aastane muutus</t>
  </si>
  <si>
    <t>A1c</t>
  </si>
  <si>
    <t>Kohustused</t>
  </si>
  <si>
    <t>A1d</t>
  </si>
  <si>
    <t>4.2.</t>
  </si>
  <si>
    <t>A1b-A1d</t>
  </si>
  <si>
    <t>A2a</t>
  </si>
  <si>
    <t>B1-A1a</t>
  </si>
  <si>
    <t>Mitte-Finantsvarad</t>
  </si>
  <si>
    <t>A2b</t>
  </si>
  <si>
    <t>A2c</t>
  </si>
  <si>
    <t>Netovara</t>
  </si>
  <si>
    <t>A2d</t>
  </si>
  <si>
    <t>4.3.</t>
  </si>
  <si>
    <t>A2d-A2b</t>
  </si>
  <si>
    <t>Positsioon - kontroll</t>
  </si>
  <si>
    <t>Positsioon - tulem ja RV</t>
  </si>
  <si>
    <t>4.4.</t>
  </si>
  <si>
    <t>(T16-T13+T18)+(I1+I2)+(F9+F10+F11)</t>
  </si>
  <si>
    <t>4.6.</t>
  </si>
  <si>
    <t>A1-A3</t>
  </si>
  <si>
    <t>kontroll7: Pos OK: peab = 0!</t>
  </si>
  <si>
    <t>Tegevuse tulemlikkus</t>
  </si>
  <si>
    <t>5.1.1.</t>
  </si>
  <si>
    <t>A5a</t>
  </si>
  <si>
    <t>5.1.2.</t>
  </si>
  <si>
    <t>A5a/T1</t>
  </si>
  <si>
    <t>5.3.</t>
  </si>
  <si>
    <t>5.4.</t>
  </si>
  <si>
    <t>A6a</t>
  </si>
  <si>
    <t>5.5.1.</t>
  </si>
  <si>
    <t>A6b</t>
  </si>
  <si>
    <t>5.5.2.</t>
  </si>
  <si>
    <t>A6c</t>
  </si>
  <si>
    <t>6.1.1.</t>
  </si>
  <si>
    <t>A7a</t>
  </si>
  <si>
    <t>6.1.2.</t>
  </si>
  <si>
    <t>A7b</t>
  </si>
  <si>
    <t>6.1.3.</t>
  </si>
  <si>
    <t>A7b--A7a</t>
  </si>
  <si>
    <t>6.1.4.</t>
  </si>
  <si>
    <t>A7/T1</t>
  </si>
  <si>
    <t>L</t>
  </si>
  <si>
    <t>6.2.</t>
  </si>
  <si>
    <t>A7/A4a</t>
  </si>
  <si>
    <t>6.3.1.</t>
  </si>
  <si>
    <t>A10a</t>
  </si>
  <si>
    <t>6.3.2.</t>
  </si>
  <si>
    <t xml:space="preserve">A10 </t>
  </si>
  <si>
    <t>A4a/A10a</t>
  </si>
  <si>
    <t>6.4.1.</t>
  </si>
  <si>
    <t>A11a</t>
  </si>
  <si>
    <t>6.4.2.</t>
  </si>
  <si>
    <t xml:space="preserve">A11 </t>
  </si>
  <si>
    <t>6.4.3.</t>
  </si>
  <si>
    <t>7.1.1.</t>
  </si>
  <si>
    <t>7.1.2.</t>
  </si>
  <si>
    <t>8.1.1.</t>
  </si>
  <si>
    <t>8.1.2.</t>
  </si>
  <si>
    <t>8.1.3.</t>
  </si>
  <si>
    <t>8.1.4.</t>
  </si>
  <si>
    <t>8.2.</t>
  </si>
  <si>
    <t>9.1.1.</t>
  </si>
  <si>
    <t>9.1.2.</t>
  </si>
  <si>
    <t>9.1.3.</t>
  </si>
  <si>
    <t>10.1.1.</t>
  </si>
  <si>
    <t>10.1.2.</t>
  </si>
  <si>
    <t>10.2.1.</t>
  </si>
  <si>
    <t>10.2.2.</t>
  </si>
  <si>
    <t>10.2.3.</t>
  </si>
  <si>
    <t>10.2.4.</t>
  </si>
  <si>
    <t>Koondpilt</t>
  </si>
  <si>
    <t>Riigieelarve seadus §6 lg2 ja 3: KVJI põhitegevustulem peab olema tasakaalus; võib olla puudujäägis kuni 30% põhitegevuse tulust, kui puudujääk kaetakse akumul tulemiga</t>
  </si>
  <si>
    <t>Riigieelarve seadus §10: KVJI Netovõlakoormuse lubatud piir: 40% sama eelarveaasta põhitegevuse tuludest. Ületamisel vajalik taotleda VV luba</t>
  </si>
  <si>
    <t>Narva Muuseum SA, TP011321</t>
  </si>
  <si>
    <t>Annely Kaldäär 3599 246, pearaamat@narvamuuseum.ee</t>
  </si>
  <si>
    <t>KULTUURIMINISTEERIUMI ASUTAJAÕIGUSTE TEOSTAMISE ARUANNE 2017. A KOHTA</t>
  </si>
  <si>
    <t>Eesti Kunstimuuseum SA, TP011330</t>
  </si>
  <si>
    <t>Kai Meritam   5013922</t>
  </si>
  <si>
    <t>Ugala Teater SA, TP011312</t>
  </si>
  <si>
    <t>Helle Konts 433 0775</t>
  </si>
  <si>
    <t>Eesti Filharmoonia Kammerkoor, TP011328</t>
  </si>
  <si>
    <t>Täitja: nimi, telefon</t>
  </si>
  <si>
    <t>Janika Tänak, 53 477 444</t>
  </si>
  <si>
    <r>
      <t xml:space="preserve">+ /  </t>
    </r>
    <r>
      <rPr>
        <b/>
        <sz val="9"/>
        <rFont val="Calibri"/>
        <family val="2"/>
      </rPr>
      <t>̶</t>
    </r>
  </si>
  <si>
    <r>
      <t xml:space="preserve">  </t>
    </r>
    <r>
      <rPr>
        <b/>
        <sz val="9"/>
        <rFont val="Calibri"/>
        <family val="2"/>
      </rPr>
      <t>̶</t>
    </r>
  </si>
  <si>
    <t>Rakvere Teatrimaja SA, TP011310</t>
  </si>
  <si>
    <t>Tuuli Jaansen telef. 32 95 448</t>
  </si>
  <si>
    <r>
      <rPr>
        <b/>
        <i/>
        <sz val="9"/>
        <rFont val="Arial"/>
        <family val="2"/>
        <charset val="186"/>
      </rPr>
      <t xml:space="preserve">+ /  </t>
    </r>
    <r>
      <rPr>
        <b/>
        <sz val="9"/>
        <rFont val="Calibri"/>
        <family val="2"/>
        <charset val="186"/>
      </rPr>
      <t>̶</t>
    </r>
  </si>
  <si>
    <r>
      <rPr>
        <b/>
        <i/>
        <sz val="9"/>
        <rFont val="Arial"/>
        <family val="2"/>
        <charset val="186"/>
      </rPr>
      <t xml:space="preserve">  </t>
    </r>
    <r>
      <rPr>
        <b/>
        <sz val="9"/>
        <rFont val="Calibri"/>
        <family val="2"/>
        <charset val="186"/>
      </rPr>
      <t>̶</t>
    </r>
  </si>
  <si>
    <t>Vabaõhumuuseum SA, TP011028/011324</t>
  </si>
  <si>
    <t>Kersti Paavo 654 9102</t>
  </si>
  <si>
    <t>Selgituseks:</t>
  </si>
  <si>
    <t>saadud põhivara soetuseks</t>
  </si>
  <si>
    <t>kontoklass 3502:</t>
  </si>
  <si>
    <t>varasema kasutamata jäägi arvel</t>
  </si>
  <si>
    <t>Liberty suvemõis</t>
  </si>
  <si>
    <t>Muud investeeringud</t>
  </si>
  <si>
    <t>TP011313</t>
  </si>
  <si>
    <t>Tehvandi SpordiKeskus SA</t>
  </si>
  <si>
    <t>Silva Tigane  51 69 635 silva@tehvandi.ee</t>
  </si>
  <si>
    <t>3502</t>
  </si>
  <si>
    <t>101900+151910</t>
  </si>
  <si>
    <t>Omakap vähend, ka divid maksmine</t>
  </si>
  <si>
    <t>positsioon ja tegevuse tulemlikkus</t>
  </si>
  <si>
    <t>6.4.</t>
  </si>
  <si>
    <t>T19+I14</t>
  </si>
  <si>
    <t>positsioon (puudujääk/ülejääk)</t>
  </si>
  <si>
    <t>6.5.1.</t>
  </si>
  <si>
    <t>6.5.2.</t>
  </si>
  <si>
    <t>A2/T1</t>
  </si>
  <si>
    <t>6.5.3.</t>
  </si>
  <si>
    <t>6.5.4.</t>
  </si>
  <si>
    <t>6.5.5.</t>
  </si>
  <si>
    <t>6.5.6.</t>
  </si>
  <si>
    <t>6.6.1.</t>
  </si>
  <si>
    <t>6.6.2.</t>
  </si>
  <si>
    <t>6.6.3.</t>
  </si>
  <si>
    <t>A10</t>
  </si>
  <si>
    <t>A9--A8</t>
  </si>
  <si>
    <t>6.6.4.</t>
  </si>
  <si>
    <t>A11</t>
  </si>
  <si>
    <t>A10/T1</t>
  </si>
  <si>
    <t>6.7.</t>
  </si>
  <si>
    <t>A10/A2</t>
  </si>
  <si>
    <t>6.8.1.</t>
  </si>
  <si>
    <t>6.8.2.</t>
  </si>
  <si>
    <t>A2/A13</t>
  </si>
  <si>
    <t>6.9.1.</t>
  </si>
  <si>
    <t>6.9.2.</t>
  </si>
  <si>
    <t>6.9.3.</t>
  </si>
  <si>
    <t>6.10.1.</t>
  </si>
  <si>
    <t>6.10.2.</t>
  </si>
  <si>
    <t>6.11.1.</t>
  </si>
  <si>
    <t>6.11.2.</t>
  </si>
  <si>
    <t>6.11.3.</t>
  </si>
  <si>
    <t>6.11.4.</t>
  </si>
  <si>
    <t>6.12.</t>
  </si>
  <si>
    <t>6.13.1.</t>
  </si>
  <si>
    <t>6.13.2.</t>
  </si>
  <si>
    <t>6.13.3.</t>
  </si>
  <si>
    <t>tegevuse käive, kasumlikkus ja efektiivsus</t>
  </si>
  <si>
    <t>6.14.1.</t>
  </si>
  <si>
    <t>6.14.2.</t>
  </si>
  <si>
    <t>A29</t>
  </si>
  <si>
    <t>6.15.1.</t>
  </si>
  <si>
    <t>A30</t>
  </si>
  <si>
    <t>6.15.2.</t>
  </si>
  <si>
    <t>A31</t>
  </si>
  <si>
    <t>6.15.3.</t>
  </si>
  <si>
    <t>A32</t>
  </si>
  <si>
    <t>6.15.4.</t>
  </si>
  <si>
    <t>A33</t>
  </si>
  <si>
    <t>Riigieelarve seadus §10: Netovõlakoormuse lubatud piir: 40% sama eelarveaasta põhitegevuse tuludest. Ületamisel vajalik taotleda VV luba</t>
  </si>
  <si>
    <t>Teater Vanemuine, TP011046/011318</t>
  </si>
  <si>
    <t>Tiina Lood, 7440114,tiina@vanemuine.ee, korrigeeritud 27.04.2018</t>
  </si>
  <si>
    <t>UNESCO Eesti RK SA, TP011307</t>
  </si>
  <si>
    <t>Ave Epner, tel 5167173</t>
  </si>
  <si>
    <t>Eesti Laulu- ja Tantsupeo SA, TP011306</t>
  </si>
  <si>
    <t>Anne Kuusemets tel. 6273126</t>
  </si>
  <si>
    <t>Jõulumäe Tervisespordikeskus, TP011314</t>
  </si>
  <si>
    <t>J. Lemmik, 4456117</t>
  </si>
  <si>
    <t>TP 011041/011320</t>
  </si>
  <si>
    <t>NUKU Sihtasutus</t>
  </si>
  <si>
    <t>Viktor Stepanov, 5187818</t>
  </si>
  <si>
    <t>Ruta Juzulenaite  614 7726</t>
  </si>
  <si>
    <t>TP</t>
  </si>
  <si>
    <t>SA Eesti Draamateater</t>
  </si>
  <si>
    <t>Täitja:</t>
  </si>
  <si>
    <r>
      <rPr>
        <sz val="8"/>
        <rFont val="Arial"/>
        <family val="2"/>
        <charset val="186"/>
      </rPr>
      <t>Meelike Aav (</t>
    </r>
    <r>
      <rPr>
        <sz val="8"/>
        <color indexed="12"/>
        <rFont val="Arial"/>
        <family val="2"/>
        <charset val="186"/>
      </rPr>
      <t>meelike.aav@draamateater.ee</t>
    </r>
    <r>
      <rPr>
        <sz val="8"/>
        <rFont val="Arial"/>
        <family val="2"/>
        <charset val="186"/>
      </rPr>
      <t>), Rein Oja (</t>
    </r>
    <r>
      <rPr>
        <sz val="8"/>
        <color indexed="12"/>
        <rFont val="Arial"/>
        <family val="2"/>
        <charset val="186"/>
      </rPr>
      <t>rein.oja@draamateater.ee</t>
    </r>
    <r>
      <rPr>
        <sz val="8"/>
        <rFont val="Arial"/>
        <family val="2"/>
        <charset val="186"/>
      </rPr>
      <t>)</t>
    </r>
  </si>
  <si>
    <t>Kultuurileht SA, TP011316</t>
  </si>
  <si>
    <t>Eldi Kreison tel. 6833 103</t>
  </si>
  <si>
    <t>TP 011701</t>
  </si>
  <si>
    <t>SA Eesti Spordi- ja Olümpiamuuseum</t>
  </si>
  <si>
    <t>Täitja: nimi, telefon M.Peitel 7300 756</t>
  </si>
  <si>
    <t>Asutuse nimi</t>
  </si>
  <si>
    <t>Täitja: Kaie Siilivask, +372 5669 9696</t>
  </si>
  <si>
    <t>SA Kunstihoone (kuni 2017 SA Tallinna Kunstihoone Fond)</t>
  </si>
  <si>
    <t>Pärnu Muuseum SA, TP011329</t>
  </si>
  <si>
    <t>Kai Juhanson 44 33 231</t>
  </si>
  <si>
    <t>Hiiumaa Muuseumid SA</t>
  </si>
  <si>
    <t>Rita Tsarjov 4632093</t>
  </si>
  <si>
    <t>TP011327</t>
  </si>
  <si>
    <t>MUUD TULUD/Sihtfinantseerimise tulu</t>
  </si>
  <si>
    <t>Integratsiooni SA, TP015303</t>
  </si>
  <si>
    <t>Marina Mõškova 6 599 845</t>
  </si>
  <si>
    <t>Virumaa Muuseumid SA, TP011303</t>
  </si>
  <si>
    <t>Rutt Somelar   tel.32 25508</t>
  </si>
  <si>
    <t>Haapsalu ja Läänemaa Muuseumid SA, TP011322</t>
  </si>
  <si>
    <t>Madis Niinelt 6276066</t>
  </si>
  <si>
    <t>Eesti Riiklik Sümfooniaorkester, TP011011/011326</t>
  </si>
  <si>
    <t>Ülle Vassar 50 84 383</t>
  </si>
  <si>
    <r>
      <t xml:space="preserve">+ /  </t>
    </r>
    <r>
      <rPr>
        <b/>
        <sz val="8"/>
        <rFont val="Calibri"/>
        <family val="2"/>
        <charset val="186"/>
      </rPr>
      <t>̶</t>
    </r>
  </si>
  <si>
    <r>
      <t xml:space="preserve">  </t>
    </r>
    <r>
      <rPr>
        <b/>
        <sz val="8"/>
        <rFont val="Calibri"/>
        <family val="2"/>
        <charset val="186"/>
      </rPr>
      <t>̶</t>
    </r>
  </si>
  <si>
    <t>TP  011332</t>
  </si>
  <si>
    <t>Asutuse nimi: SA Saaremaa Muuseum</t>
  </si>
  <si>
    <t>Helgi Sõrm 453 3706</t>
  </si>
  <si>
    <t>A.H.Tammsaare Muuseum Vargamäel, TP015304</t>
  </si>
  <si>
    <t>Agnija Kesamaa, 5594 4382</t>
  </si>
  <si>
    <t>Tegelik</t>
  </si>
  <si>
    <t>Eelarve</t>
  </si>
  <si>
    <t>Eelarvestrateegia</t>
  </si>
  <si>
    <t>laekumata arved, suurte näituste ettemaksed,</t>
  </si>
  <si>
    <t>PM arendus+sadam+LS ekspo +inventar ja transpordivahendid</t>
  </si>
  <si>
    <t>tasumata arved, maksukohustused, töötasu- ja puhkusekohustused, saadud ettemaksed, hoonestusõiguse.lep.</t>
  </si>
  <si>
    <t>üleantud varad</t>
  </si>
  <si>
    <t>kulum hakkab kasumit vähendama</t>
  </si>
  <si>
    <t>toetused tulusse, kulud investeeringuteks</t>
  </si>
  <si>
    <t>omatulu prognoos</t>
  </si>
  <si>
    <t>Tegevustoetus+PM kaasfin+EAS toetus+muud toetused</t>
  </si>
  <si>
    <t>ML-5, PM+7</t>
  </si>
  <si>
    <t>Kasarmuhoone läbi RKASi</t>
  </si>
  <si>
    <t>Eesti Meremuuseum SA</t>
  </si>
  <si>
    <t>Endla Teater SA, TP011317</t>
  </si>
  <si>
    <t>Elo Siigur, 4420653</t>
  </si>
  <si>
    <t>Teater NO99, TP011319</t>
  </si>
  <si>
    <t>Marju Väli  668 8789</t>
  </si>
  <si>
    <t>Tartu Jaani Kirik SA, TP011304</t>
  </si>
  <si>
    <t xml:space="preserve">Juhani Jaeger, 56628741; tartu.jaani@eelk.ee </t>
  </si>
  <si>
    <t>I.Batajeva</t>
  </si>
  <si>
    <t>Vene Teater SA, TP011301</t>
  </si>
  <si>
    <t>SA Eesti Filmi Instituut</t>
  </si>
  <si>
    <t>SA Eesti Kontsert, TP011010/011325</t>
  </si>
  <si>
    <t>Vanalinna Teatrimaja SA, TP011301</t>
  </si>
  <si>
    <t>Marju Väli 6688 789, marju@no99.ee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</si>
</sst>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#,##0.0"/>
    <numFmt numFmtId="165" formatCode="0.0%"/>
    <numFmt numFmtId="166" formatCode="mm/dd/yyyy"/>
    <numFmt numFmtId="167" formatCode="dd/mm/yyyy"/>
    <numFmt numFmtId="168" formatCode="#,##0.000"/>
    <numFmt numFmtId="169" formatCode="0.0"/>
  </numFmts>
  <fonts count="71" x14ac:knownFonts="1">
    <font>
      <sz val="11"/>
      <color theme="1"/>
      <name val="Calibri"/>
      <family val="2"/>
      <charset val="186"/>
      <scheme val="minor"/>
    </font>
    <font>
      <sz val="8"/>
      <name val="Arial"/>
      <family val="2"/>
      <charset val="186"/>
    </font>
    <font>
      <b/>
      <sz val="8"/>
      <name val="Arial"/>
      <family val="2"/>
      <charset val="186"/>
    </font>
    <font>
      <b/>
      <i/>
      <sz val="8"/>
      <name val="Arial"/>
      <family val="2"/>
      <charset val="186"/>
    </font>
    <font>
      <b/>
      <i/>
      <sz val="9"/>
      <name val="Arial"/>
      <family val="2"/>
      <charset val="186"/>
    </font>
    <font>
      <i/>
      <sz val="8"/>
      <name val="Arial"/>
      <family val="2"/>
      <charset val="186"/>
    </font>
    <font>
      <b/>
      <sz val="9"/>
      <name val="Calibri"/>
      <family val="2"/>
      <charset val="186"/>
    </font>
    <font>
      <sz val="11"/>
      <color theme="1"/>
      <name val="Calibri"/>
      <family val="2"/>
      <charset val="186"/>
      <scheme val="minor"/>
    </font>
    <font>
      <sz val="8"/>
      <color theme="1"/>
      <name val="Arial"/>
      <family val="2"/>
      <charset val="186"/>
    </font>
    <font>
      <b/>
      <sz val="8"/>
      <color theme="1"/>
      <name val="Arial"/>
      <family val="2"/>
      <charset val="186"/>
    </font>
    <font>
      <i/>
      <sz val="8"/>
      <color rgb="FF000099"/>
      <name val="Arial"/>
      <family val="2"/>
      <charset val="186"/>
    </font>
    <font>
      <i/>
      <sz val="8"/>
      <color rgb="FF0033CC"/>
      <name val="Arial"/>
      <family val="2"/>
      <charset val="186"/>
    </font>
    <font>
      <sz val="8"/>
      <color rgb="FF000099"/>
      <name val="Arial"/>
      <family val="2"/>
      <charset val="186"/>
    </font>
    <font>
      <b/>
      <i/>
      <sz val="8"/>
      <color rgb="FFFF0000"/>
      <name val="Arial"/>
      <family val="2"/>
      <charset val="186"/>
    </font>
    <font>
      <i/>
      <sz val="8"/>
      <color rgb="FFFF0000"/>
      <name val="Arial"/>
      <family val="2"/>
      <charset val="186"/>
    </font>
    <font>
      <b/>
      <sz val="11"/>
      <color theme="1"/>
      <name val="Calibri"/>
      <family val="2"/>
      <charset val="186"/>
      <scheme val="minor"/>
    </font>
    <font>
      <sz val="11"/>
      <color indexed="8"/>
      <name val="Calibri"/>
      <family val="2"/>
      <charset val="186"/>
    </font>
    <font>
      <sz val="8"/>
      <color indexed="8"/>
      <name val="Arial"/>
      <family val="2"/>
      <charset val="186"/>
    </font>
    <font>
      <b/>
      <sz val="8"/>
      <color indexed="8"/>
      <name val="Arial"/>
      <family val="2"/>
      <charset val="186"/>
    </font>
    <font>
      <i/>
      <sz val="8"/>
      <color indexed="18"/>
      <name val="Arial"/>
      <family val="2"/>
      <charset val="186"/>
    </font>
    <font>
      <b/>
      <i/>
      <sz val="8"/>
      <color indexed="18"/>
      <name val="Arial"/>
      <family val="2"/>
      <charset val="186"/>
    </font>
    <font>
      <i/>
      <sz val="8"/>
      <color indexed="30"/>
      <name val="Arial"/>
      <family val="2"/>
      <charset val="186"/>
    </font>
    <font>
      <i/>
      <sz val="8"/>
      <color indexed="10"/>
      <name val="Arial"/>
      <family val="2"/>
      <charset val="186"/>
    </font>
    <font>
      <b/>
      <i/>
      <sz val="8"/>
      <color indexed="10"/>
      <name val="Arial"/>
      <family val="2"/>
      <charset val="186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color rgb="FF7030A0"/>
      <name val="Arial"/>
      <family val="2"/>
      <charset val="186"/>
    </font>
    <font>
      <sz val="8"/>
      <color indexed="18"/>
      <name val="Arial"/>
      <family val="2"/>
      <charset val="186"/>
    </font>
    <font>
      <i/>
      <sz val="8"/>
      <color indexed="8"/>
      <name val="Arial"/>
      <family val="2"/>
      <charset val="186"/>
    </font>
    <font>
      <b/>
      <sz val="8"/>
      <color indexed="36"/>
      <name val="Arial"/>
      <family val="2"/>
      <charset val="186"/>
    </font>
    <font>
      <b/>
      <sz val="8"/>
      <color rgb="FFFF0000"/>
      <name val="Arial"/>
      <family val="2"/>
      <charset val="186"/>
    </font>
    <font>
      <sz val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sz val="8"/>
      <color theme="1"/>
      <name val="Arial"/>
      <family val="2"/>
    </font>
    <font>
      <b/>
      <sz val="8"/>
      <color indexed="8"/>
      <name val="Arial"/>
      <family val="2"/>
    </font>
    <font>
      <b/>
      <i/>
      <sz val="8"/>
      <name val="Arial"/>
      <family val="2"/>
    </font>
    <font>
      <b/>
      <i/>
      <sz val="9"/>
      <name val="Arial"/>
      <family val="2"/>
    </font>
    <font>
      <i/>
      <sz val="8"/>
      <name val="Arial"/>
      <family val="2"/>
    </font>
    <font>
      <i/>
      <sz val="8"/>
      <color rgb="FF000099"/>
      <name val="Arial"/>
      <family val="2"/>
    </font>
    <font>
      <b/>
      <i/>
      <sz val="8"/>
      <color indexed="18"/>
      <name val="Arial"/>
      <family val="2"/>
    </font>
    <font>
      <i/>
      <sz val="8"/>
      <color indexed="18"/>
      <name val="Arial"/>
      <family val="2"/>
    </font>
    <font>
      <i/>
      <sz val="8"/>
      <color rgb="FF0033CC"/>
      <name val="Arial"/>
      <family val="2"/>
    </font>
    <font>
      <i/>
      <sz val="8"/>
      <color indexed="30"/>
      <name val="Arial"/>
      <family val="2"/>
    </font>
    <font>
      <sz val="8"/>
      <color rgb="FF000099"/>
      <name val="Arial"/>
      <family val="2"/>
    </font>
    <font>
      <b/>
      <sz val="9"/>
      <name val="Calibri"/>
      <family val="2"/>
    </font>
    <font>
      <b/>
      <i/>
      <sz val="8"/>
      <color indexed="10"/>
      <name val="Arial"/>
      <family val="2"/>
    </font>
    <font>
      <i/>
      <sz val="8"/>
      <color indexed="10"/>
      <name val="Arial"/>
      <family val="2"/>
    </font>
    <font>
      <i/>
      <sz val="8"/>
      <color rgb="FFFF0000"/>
      <name val="Arial"/>
      <family val="2"/>
    </font>
    <font>
      <b/>
      <i/>
      <sz val="8"/>
      <color rgb="FFFF0000"/>
      <name val="Arial"/>
      <family val="2"/>
    </font>
    <font>
      <b/>
      <sz val="8"/>
      <color rgb="FF7030A0"/>
      <name val="Arial"/>
      <family val="2"/>
    </font>
    <font>
      <b/>
      <sz val="8"/>
      <color theme="1"/>
      <name val="Arial"/>
      <family val="2"/>
    </font>
    <font>
      <b/>
      <sz val="8"/>
      <color indexed="20"/>
      <name val="Arial"/>
      <family val="2"/>
      <charset val="186"/>
    </font>
    <font>
      <b/>
      <i/>
      <sz val="8"/>
      <color rgb="FF000099"/>
      <name val="Arial"/>
      <family val="2"/>
      <charset val="186"/>
    </font>
    <font>
      <i/>
      <sz val="8"/>
      <color theme="1"/>
      <name val="Arial"/>
      <family val="2"/>
      <charset val="186"/>
    </font>
    <font>
      <b/>
      <sz val="9"/>
      <color indexed="81"/>
      <name val="Segoe UI"/>
      <family val="2"/>
      <charset val="186"/>
    </font>
    <font>
      <sz val="9"/>
      <color indexed="81"/>
      <name val="Segoe UI"/>
      <family val="2"/>
      <charset val="186"/>
    </font>
    <font>
      <sz val="10"/>
      <name val="Arial"/>
      <family val="2"/>
      <charset val="186"/>
    </font>
    <font>
      <sz val="8"/>
      <color indexed="12"/>
      <name val="Arial"/>
      <family val="2"/>
      <charset val="186"/>
    </font>
    <font>
      <sz val="10"/>
      <name val="Mangal"/>
      <family val="2"/>
      <charset val="186"/>
    </font>
    <font>
      <b/>
      <sz val="8"/>
      <name val="Calibri"/>
      <family val="2"/>
      <charset val="186"/>
    </font>
    <font>
      <b/>
      <sz val="9"/>
      <color indexed="81"/>
      <name val="Tahoma"/>
      <family val="2"/>
      <charset val="186"/>
    </font>
    <font>
      <sz val="9"/>
      <color indexed="81"/>
      <name val="Tahoma"/>
      <family val="2"/>
      <charset val="186"/>
    </font>
    <font>
      <b/>
      <sz val="9"/>
      <color indexed="81"/>
      <name val="Tahoma"/>
      <charset val="186"/>
    </font>
    <font>
      <sz val="9"/>
      <color indexed="81"/>
      <name val="Tahoma"/>
      <charset val="186"/>
    </font>
    <font>
      <b/>
      <sz val="9"/>
      <color indexed="81"/>
      <name val="Tahoma"/>
    </font>
    <font>
      <sz val="9"/>
      <color indexed="81"/>
      <name val="Tahoma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color theme="1"/>
      <name val="Calibri"/>
      <family val="2"/>
      <scheme val="minor"/>
    </font>
    <font>
      <sz val="11"/>
      <name val="Calibri"/>
      <family val="2"/>
      <charset val="186"/>
      <scheme val="minor"/>
    </font>
  </fonts>
  <fills count="24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26"/>
      </patternFill>
    </fill>
    <fill>
      <patternFill patternType="solid">
        <fgColor indexed="55"/>
        <bgColor indexed="23"/>
      </patternFill>
    </fill>
    <fill>
      <patternFill patternType="solid">
        <fgColor indexed="9"/>
        <bgColor indexed="26"/>
      </patternFill>
    </fill>
    <fill>
      <patternFill patternType="solid">
        <fgColor indexed="22"/>
        <bgColor indexed="31"/>
      </patternFill>
    </fill>
    <fill>
      <patternFill patternType="solid">
        <fgColor indexed="44"/>
        <bgColor indexed="31"/>
      </patternFill>
    </fill>
    <fill>
      <patternFill patternType="solid">
        <fgColor rgb="FF00B0F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indexed="13"/>
        <bgColor indexed="3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/>
      <top style="thin">
        <color indexed="0"/>
      </top>
      <bottom style="thin">
        <color indexed="0"/>
      </bottom>
      <diagonal/>
    </border>
    <border>
      <left/>
      <right/>
      <top style="thin">
        <color indexed="0"/>
      </top>
      <bottom style="thin">
        <color indexed="0"/>
      </bottom>
      <diagonal/>
    </border>
    <border>
      <left/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/>
      <diagonal/>
    </border>
    <border>
      <left style="thin">
        <color indexed="0"/>
      </left>
      <right style="thin">
        <color indexed="0"/>
      </right>
      <top/>
      <bottom/>
      <diagonal/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0"/>
      </left>
      <right style="thin">
        <color indexed="8"/>
      </right>
      <top style="thin">
        <color indexed="0"/>
      </top>
      <bottom style="thin">
        <color indexed="0"/>
      </bottom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0"/>
      </bottom>
      <diagonal/>
    </border>
  </borders>
  <cellStyleXfs count="17">
    <xf numFmtId="0" fontId="0" fillId="0" borderId="0"/>
    <xf numFmtId="9" fontId="7" fillId="0" borderId="0" applyFont="0" applyFill="0" applyBorder="0" applyAlignment="0" applyProtection="0"/>
    <xf numFmtId="0" fontId="16" fillId="0" borderId="0"/>
    <xf numFmtId="9" fontId="16" fillId="0" borderId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9" fontId="16" fillId="0" borderId="0"/>
    <xf numFmtId="0" fontId="25" fillId="0" borderId="0"/>
    <xf numFmtId="9" fontId="16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16" fillId="0" borderId="0"/>
    <xf numFmtId="9" fontId="16" fillId="0" borderId="0" applyFill="0" applyBorder="0" applyAlignment="0" applyProtection="0"/>
    <xf numFmtId="0" fontId="57" fillId="0" borderId="0"/>
    <xf numFmtId="9" fontId="59" fillId="0" borderId="0" applyFill="0" applyBorder="0" applyAlignment="0" applyProtection="0"/>
  </cellStyleXfs>
  <cellXfs count="781">
    <xf numFmtId="0" fontId="0" fillId="0" borderId="0" xfId="0"/>
    <xf numFmtId="0" fontId="1" fillId="0" borderId="0" xfId="0" applyFont="1" applyBorder="1" applyAlignment="1">
      <alignment horizontal="center"/>
    </xf>
    <xf numFmtId="1" fontId="2" fillId="0" borderId="0" xfId="0" applyNumberFormat="1" applyFont="1"/>
    <xf numFmtId="0" fontId="1" fillId="0" borderId="0" xfId="0" applyFont="1" applyBorder="1" applyAlignment="1">
      <alignment horizontal="left"/>
    </xf>
    <xf numFmtId="1" fontId="8" fillId="0" borderId="0" xfId="0" applyNumberFormat="1" applyFont="1"/>
    <xf numFmtId="0" fontId="2" fillId="0" borderId="0" xfId="0" applyFont="1" applyBorder="1" applyAlignment="1">
      <alignment horizontal="center"/>
    </xf>
    <xf numFmtId="1" fontId="3" fillId="0" borderId="0" xfId="0" applyNumberFormat="1" applyFont="1"/>
    <xf numFmtId="0" fontId="1" fillId="0" borderId="0" xfId="0" applyFont="1" applyBorder="1"/>
    <xf numFmtId="0" fontId="1" fillId="0" borderId="0" xfId="0" applyFont="1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4" fillId="0" borderId="0" xfId="0" quotePrefix="1" applyFont="1" applyAlignment="1">
      <alignment horizontal="center"/>
    </xf>
    <xf numFmtId="0" fontId="5" fillId="0" borderId="0" xfId="0" applyFont="1" applyAlignment="1">
      <alignment horizontal="center"/>
    </xf>
    <xf numFmtId="0" fontId="1" fillId="0" borderId="0" xfId="0" applyFont="1" applyFill="1"/>
    <xf numFmtId="0" fontId="1" fillId="0" borderId="0" xfId="0" applyFont="1" applyFill="1" applyAlignment="1">
      <alignment horizontal="left"/>
    </xf>
    <xf numFmtId="0" fontId="10" fillId="0" borderId="0" xfId="0" applyFont="1" applyAlignment="1">
      <alignment horizontal="left"/>
    </xf>
    <xf numFmtId="0" fontId="10" fillId="0" borderId="0" xfId="0" applyFont="1" applyAlignment="1">
      <alignment horizontal="right"/>
    </xf>
    <xf numFmtId="0" fontId="11" fillId="0" borderId="0" xfId="0" applyFont="1"/>
    <xf numFmtId="0" fontId="1" fillId="0" borderId="0" xfId="0" applyFont="1" applyAlignment="1"/>
    <xf numFmtId="0" fontId="12" fillId="0" borderId="0" xfId="0" applyFont="1"/>
    <xf numFmtId="0" fontId="5" fillId="3" borderId="0" xfId="0" applyFont="1" applyFill="1"/>
    <xf numFmtId="0" fontId="5" fillId="3" borderId="0" xfId="0" applyFont="1" applyFill="1" applyAlignment="1">
      <alignment horizontal="left"/>
    </xf>
    <xf numFmtId="0" fontId="5" fillId="3" borderId="0" xfId="0" applyFont="1" applyFill="1" applyAlignment="1">
      <alignment horizontal="center"/>
    </xf>
    <xf numFmtId="0" fontId="1" fillId="0" borderId="0" xfId="0" applyFont="1" applyFill="1" applyAlignment="1">
      <alignment horizontal="center"/>
    </xf>
    <xf numFmtId="0" fontId="1" fillId="3" borderId="0" xfId="0" applyFont="1" applyFill="1"/>
    <xf numFmtId="0" fontId="1" fillId="3" borderId="0" xfId="0" applyFont="1" applyFill="1" applyAlignment="1">
      <alignment horizontal="left"/>
    </xf>
    <xf numFmtId="0" fontId="1" fillId="3" borderId="0" xfId="0" applyFont="1" applyFill="1" applyAlignment="1">
      <alignment horizontal="center"/>
    </xf>
    <xf numFmtId="49" fontId="2" fillId="0" borderId="0" xfId="0" applyNumberFormat="1" applyFont="1" applyFill="1"/>
    <xf numFmtId="49" fontId="1" fillId="0" borderId="0" xfId="0" applyNumberFormat="1" applyFont="1" applyFill="1"/>
    <xf numFmtId="0" fontId="2" fillId="0" borderId="0" xfId="0" applyFont="1"/>
    <xf numFmtId="0" fontId="2" fillId="0" borderId="0" xfId="0" applyFont="1" applyAlignment="1">
      <alignment horizontal="center"/>
    </xf>
    <xf numFmtId="1" fontId="2" fillId="0" borderId="0" xfId="0" applyNumberFormat="1" applyFont="1" applyAlignment="1">
      <alignment vertical="center"/>
    </xf>
    <xf numFmtId="0" fontId="1" fillId="0" borderId="0" xfId="0" quotePrefix="1" applyFont="1" applyAlignment="1">
      <alignment horizontal="left" vertical="center" wrapText="1"/>
    </xf>
    <xf numFmtId="0" fontId="1" fillId="0" borderId="0" xfId="0" applyFont="1" applyAlignment="1">
      <alignment wrapText="1"/>
    </xf>
    <xf numFmtId="0" fontId="1" fillId="0" borderId="0" xfId="0" quotePrefix="1" applyFont="1"/>
    <xf numFmtId="0" fontId="1" fillId="0" borderId="0" xfId="0" quotePrefix="1" applyFont="1" applyAlignment="1"/>
    <xf numFmtId="0" fontId="1" fillId="0" borderId="0" xfId="0" quotePrefix="1" applyFont="1" applyAlignment="1">
      <alignment horizontal="left"/>
    </xf>
    <xf numFmtId="0" fontId="2" fillId="0" borderId="0" xfId="0" applyFont="1" applyAlignment="1">
      <alignment horizontal="right"/>
    </xf>
    <xf numFmtId="14" fontId="1" fillId="0" borderId="0" xfId="0" quotePrefix="1" applyNumberFormat="1" applyFont="1"/>
    <xf numFmtId="0" fontId="1" fillId="0" borderId="0" xfId="0" applyFont="1" applyBorder="1" applyAlignment="1">
      <alignment horizontal="left" vertical="center" wrapText="1"/>
    </xf>
    <xf numFmtId="1" fontId="9" fillId="0" borderId="0" xfId="0" applyNumberFormat="1" applyFont="1"/>
    <xf numFmtId="1" fontId="9" fillId="0" borderId="0" xfId="0" applyNumberFormat="1" applyFont="1" applyAlignment="1">
      <alignment horizontal="left"/>
    </xf>
    <xf numFmtId="1" fontId="9" fillId="0" borderId="0" xfId="0" applyNumberFormat="1" applyFont="1" applyAlignment="1">
      <alignment horizontal="center"/>
    </xf>
    <xf numFmtId="1" fontId="8" fillId="0" borderId="0" xfId="0" applyNumberFormat="1" applyFont="1" applyAlignment="1">
      <alignment horizontal="left"/>
    </xf>
    <xf numFmtId="49" fontId="2" fillId="0" borderId="0" xfId="0" applyNumberFormat="1" applyFont="1" applyFill="1" applyBorder="1"/>
    <xf numFmtId="0" fontId="15" fillId="0" borderId="0" xfId="0" applyFont="1"/>
    <xf numFmtId="49" fontId="2" fillId="0" borderId="1" xfId="0" applyNumberFormat="1" applyFont="1" applyFill="1" applyBorder="1"/>
    <xf numFmtId="0" fontId="8" fillId="0" borderId="0" xfId="0" applyFont="1"/>
    <xf numFmtId="1" fontId="17" fillId="0" borderId="0" xfId="0" applyNumberFormat="1" applyFont="1" applyFill="1" applyBorder="1" applyAlignment="1" applyProtection="1"/>
    <xf numFmtId="49" fontId="2" fillId="0" borderId="2" xfId="0" quotePrefix="1" applyNumberFormat="1" applyFont="1" applyFill="1" applyBorder="1" applyAlignment="1" applyProtection="1"/>
    <xf numFmtId="1" fontId="18" fillId="0" borderId="3" xfId="0" applyNumberFormat="1" applyFont="1" applyFill="1" applyBorder="1" applyAlignment="1" applyProtection="1"/>
    <xf numFmtId="1" fontId="18" fillId="0" borderId="4" xfId="0" applyNumberFormat="1" applyFont="1" applyFill="1" applyBorder="1" applyAlignment="1" applyProtection="1"/>
    <xf numFmtId="1" fontId="18" fillId="0" borderId="5" xfId="0" applyNumberFormat="1" applyFont="1" applyFill="1" applyBorder="1" applyAlignment="1" applyProtection="1"/>
    <xf numFmtId="49" fontId="2" fillId="6" borderId="2" xfId="0" applyNumberFormat="1" applyFont="1" applyFill="1" applyBorder="1" applyAlignment="1" applyProtection="1"/>
    <xf numFmtId="14" fontId="2" fillId="6" borderId="2" xfId="0" applyNumberFormat="1" applyFont="1" applyFill="1" applyBorder="1" applyAlignment="1" applyProtection="1">
      <alignment horizontal="center"/>
    </xf>
    <xf numFmtId="49" fontId="2" fillId="0" borderId="6" xfId="0" applyNumberFormat="1" applyFont="1" applyFill="1" applyBorder="1" applyAlignment="1" applyProtection="1"/>
    <xf numFmtId="3" fontId="1" fillId="7" borderId="2" xfId="0" applyNumberFormat="1" applyFont="1" applyFill="1" applyBorder="1" applyAlignment="1" applyProtection="1"/>
    <xf numFmtId="49" fontId="2" fillId="0" borderId="7" xfId="0" applyNumberFormat="1" applyFont="1" applyFill="1" applyBorder="1" applyAlignment="1" applyProtection="1"/>
    <xf numFmtId="3" fontId="1" fillId="2" borderId="2" xfId="0" applyNumberFormat="1" applyFont="1" applyFill="1" applyBorder="1" applyAlignment="1" applyProtection="1"/>
    <xf numFmtId="49" fontId="20" fillId="0" borderId="7" xfId="0" applyNumberFormat="1" applyFont="1" applyFill="1" applyBorder="1" applyAlignment="1" applyProtection="1"/>
    <xf numFmtId="3" fontId="19" fillId="2" borderId="2" xfId="0" applyNumberFormat="1" applyFont="1" applyFill="1" applyBorder="1" applyAlignment="1" applyProtection="1"/>
    <xf numFmtId="3" fontId="21" fillId="2" borderId="2" xfId="0" applyNumberFormat="1" applyFont="1" applyFill="1" applyBorder="1" applyAlignment="1" applyProtection="1"/>
    <xf numFmtId="49" fontId="23" fillId="6" borderId="8" xfId="0" applyNumberFormat="1" applyFont="1" applyFill="1" applyBorder="1" applyAlignment="1" applyProtection="1"/>
    <xf numFmtId="3" fontId="22" fillId="7" borderId="2" xfId="0" applyNumberFormat="1" applyFont="1" applyFill="1" applyBorder="1" applyAlignment="1" applyProtection="1"/>
    <xf numFmtId="0" fontId="2" fillId="6" borderId="2" xfId="0" applyNumberFormat="1" applyFont="1" applyFill="1" applyBorder="1" applyAlignment="1" applyProtection="1">
      <alignment horizontal="center"/>
    </xf>
    <xf numFmtId="49" fontId="2" fillId="0" borderId="0" xfId="0" applyNumberFormat="1" applyFont="1" applyFill="1" applyBorder="1" applyAlignment="1" applyProtection="1"/>
    <xf numFmtId="9" fontId="1" fillId="2" borderId="2" xfId="0" applyNumberFormat="1" applyFont="1" applyFill="1" applyBorder="1" applyAlignment="1" applyProtection="1"/>
    <xf numFmtId="49" fontId="1" fillId="0" borderId="0" xfId="0" applyNumberFormat="1" applyFont="1" applyFill="1" applyBorder="1" applyAlignment="1" applyProtection="1"/>
    <xf numFmtId="49" fontId="2" fillId="0" borderId="7" xfId="0" applyNumberFormat="1" applyFont="1" applyFill="1" applyBorder="1" applyAlignment="1" applyProtection="1">
      <alignment vertical="center"/>
    </xf>
    <xf numFmtId="49" fontId="2" fillId="0" borderId="2" xfId="0" applyNumberFormat="1" applyFont="1" applyFill="1" applyBorder="1" applyAlignment="1" applyProtection="1"/>
    <xf numFmtId="49" fontId="2" fillId="0" borderId="8" xfId="0" applyNumberFormat="1" applyFont="1" applyFill="1" applyBorder="1" applyAlignment="1" applyProtection="1"/>
    <xf numFmtId="1" fontId="18" fillId="0" borderId="5" xfId="0" applyNumberFormat="1" applyFont="1" applyFill="1" applyBorder="1" applyAlignment="1" applyProtection="1">
      <alignment horizontal="right"/>
    </xf>
    <xf numFmtId="3" fontId="1" fillId="2" borderId="4" xfId="0" applyNumberFormat="1" applyFont="1" applyFill="1" applyBorder="1" applyAlignment="1" applyProtection="1"/>
    <xf numFmtId="3" fontId="1" fillId="2" borderId="5" xfId="0" applyNumberFormat="1" applyFont="1" applyFill="1" applyBorder="1" applyAlignment="1" applyProtection="1"/>
    <xf numFmtId="14" fontId="2" fillId="3" borderId="2" xfId="0" applyNumberFormat="1" applyFont="1" applyFill="1" applyBorder="1" applyAlignment="1" applyProtection="1">
      <alignment horizontal="center"/>
    </xf>
    <xf numFmtId="3" fontId="1" fillId="3" borderId="2" xfId="0" applyNumberFormat="1" applyFont="1" applyFill="1" applyBorder="1" applyAlignment="1" applyProtection="1"/>
    <xf numFmtId="3" fontId="1" fillId="2" borderId="9" xfId="0" applyNumberFormat="1" applyFont="1" applyFill="1" applyBorder="1"/>
    <xf numFmtId="3" fontId="1" fillId="4" borderId="9" xfId="0" applyNumberFormat="1" applyFont="1" applyFill="1" applyBorder="1"/>
    <xf numFmtId="0" fontId="5" fillId="0" borderId="0" xfId="0" applyFont="1" applyAlignment="1">
      <alignment horizontal="left"/>
    </xf>
    <xf numFmtId="3" fontId="19" fillId="3" borderId="2" xfId="0" applyNumberFormat="1" applyFont="1" applyFill="1" applyBorder="1" applyAlignment="1" applyProtection="1"/>
    <xf numFmtId="3" fontId="10" fillId="2" borderId="9" xfId="0" applyNumberFormat="1" applyFont="1" applyFill="1" applyBorder="1"/>
    <xf numFmtId="3" fontId="21" fillId="3" borderId="2" xfId="0" applyNumberFormat="1" applyFont="1" applyFill="1" applyBorder="1" applyAlignment="1" applyProtection="1"/>
    <xf numFmtId="3" fontId="11" fillId="2" borderId="9" xfId="0" applyNumberFormat="1" applyFont="1" applyFill="1" applyBorder="1"/>
    <xf numFmtId="0" fontId="2" fillId="0" borderId="0" xfId="0" applyFont="1" applyFill="1" applyAlignment="1">
      <alignment horizontal="left"/>
    </xf>
    <xf numFmtId="3" fontId="22" fillId="3" borderId="2" xfId="0" applyNumberFormat="1" applyFont="1" applyFill="1" applyBorder="1" applyAlignment="1" applyProtection="1"/>
    <xf numFmtId="3" fontId="14" fillId="4" borderId="9" xfId="0" applyNumberFormat="1" applyFont="1" applyFill="1" applyBorder="1"/>
    <xf numFmtId="0" fontId="2" fillId="3" borderId="2" xfId="0" applyNumberFormat="1" applyFont="1" applyFill="1" applyBorder="1" applyAlignment="1" applyProtection="1">
      <alignment horizontal="center"/>
    </xf>
    <xf numFmtId="0" fontId="2" fillId="3" borderId="9" xfId="0" applyNumberFormat="1" applyFont="1" applyFill="1" applyBorder="1" applyAlignment="1">
      <alignment horizontal="center"/>
    </xf>
    <xf numFmtId="9" fontId="1" fillId="2" borderId="9" xfId="1" applyFont="1" applyFill="1" applyBorder="1"/>
    <xf numFmtId="49" fontId="13" fillId="3" borderId="9" xfId="0" applyNumberFormat="1" applyFont="1" applyFill="1" applyBorder="1"/>
    <xf numFmtId="3" fontId="8" fillId="3" borderId="9" xfId="0" applyNumberFormat="1" applyFont="1" applyFill="1" applyBorder="1"/>
    <xf numFmtId="3" fontId="14" fillId="3" borderId="9" xfId="0" applyNumberFormat="1" applyFont="1" applyFill="1" applyBorder="1"/>
    <xf numFmtId="3" fontId="14" fillId="0" borderId="9" xfId="0" applyNumberFormat="1" applyFont="1" applyFill="1" applyBorder="1"/>
    <xf numFmtId="1" fontId="26" fillId="0" borderId="0" xfId="0" applyNumberFormat="1" applyFont="1"/>
    <xf numFmtId="49" fontId="2" fillId="3" borderId="9" xfId="0" applyNumberFormat="1" applyFont="1" applyFill="1" applyBorder="1"/>
    <xf numFmtId="49" fontId="1" fillId="0" borderId="9" xfId="0" applyNumberFormat="1" applyFont="1" applyFill="1" applyBorder="1"/>
    <xf numFmtId="3" fontId="8" fillId="0" borderId="9" xfId="0" applyNumberFormat="1" applyFont="1" applyBorder="1"/>
    <xf numFmtId="49" fontId="1" fillId="0" borderId="9" xfId="0" applyNumberFormat="1" applyFont="1" applyFill="1" applyBorder="1" applyAlignment="1">
      <alignment horizontal="right"/>
    </xf>
    <xf numFmtId="3" fontId="8" fillId="5" borderId="9" xfId="0" applyNumberFormat="1" applyFont="1" applyFill="1" applyBorder="1"/>
    <xf numFmtId="0" fontId="2" fillId="0" borderId="0" xfId="0" applyFont="1" applyAlignment="1">
      <alignment horizontal="left"/>
    </xf>
    <xf numFmtId="49" fontId="2" fillId="0" borderId="9" xfId="0" applyNumberFormat="1" applyFont="1" applyFill="1" applyBorder="1"/>
    <xf numFmtId="3" fontId="9" fillId="5" borderId="9" xfId="0" applyNumberFormat="1" applyFont="1" applyFill="1" applyBorder="1"/>
    <xf numFmtId="3" fontId="9" fillId="0" borderId="9" xfId="0" applyNumberFormat="1" applyFont="1" applyBorder="1"/>
    <xf numFmtId="49" fontId="2" fillId="0" borderId="12" xfId="0" applyNumberFormat="1" applyFont="1" applyFill="1" applyBorder="1"/>
    <xf numFmtId="3" fontId="2" fillId="4" borderId="9" xfId="0" applyNumberFormat="1" applyFont="1" applyFill="1" applyBorder="1"/>
    <xf numFmtId="3" fontId="1" fillId="4" borderId="11" xfId="0" applyNumberFormat="1" applyFont="1" applyFill="1" applyBorder="1"/>
    <xf numFmtId="9" fontId="1" fillId="5" borderId="9" xfId="0" applyNumberFormat="1" applyFont="1" applyFill="1" applyBorder="1" applyAlignment="1">
      <alignment horizontal="center"/>
    </xf>
    <xf numFmtId="9" fontId="1" fillId="4" borderId="11" xfId="1" applyNumberFormat="1" applyFont="1" applyFill="1" applyBorder="1" applyAlignment="1">
      <alignment horizontal="center"/>
    </xf>
    <xf numFmtId="9" fontId="1" fillId="4" borderId="9" xfId="1" applyFont="1" applyFill="1" applyBorder="1" applyAlignment="1">
      <alignment horizontal="center"/>
    </xf>
    <xf numFmtId="9" fontId="1" fillId="4" borderId="9" xfId="0" applyNumberFormat="1" applyFont="1" applyFill="1" applyBorder="1" applyAlignment="1">
      <alignment horizontal="center"/>
    </xf>
    <xf numFmtId="49" fontId="2" fillId="0" borderId="13" xfId="0" applyNumberFormat="1" applyFont="1" applyFill="1" applyBorder="1"/>
    <xf numFmtId="164" fontId="1" fillId="4" borderId="9" xfId="0" applyNumberFormat="1" applyFont="1" applyFill="1" applyBorder="1" applyAlignment="1">
      <alignment horizontal="center"/>
    </xf>
    <xf numFmtId="165" fontId="1" fillId="4" borderId="11" xfId="1" applyNumberFormat="1" applyFont="1" applyFill="1" applyBorder="1" applyAlignment="1">
      <alignment horizontal="center"/>
    </xf>
    <xf numFmtId="165" fontId="1" fillId="4" borderId="9" xfId="1" applyNumberFormat="1" applyFont="1" applyFill="1" applyBorder="1" applyAlignment="1">
      <alignment horizontal="center"/>
    </xf>
    <xf numFmtId="0" fontId="2" fillId="8" borderId="9" xfId="0" applyFont="1" applyFill="1" applyBorder="1" applyAlignment="1">
      <alignment horizontal="center"/>
    </xf>
    <xf numFmtId="9" fontId="1" fillId="4" borderId="11" xfId="1" applyFont="1" applyFill="1" applyBorder="1" applyAlignment="1">
      <alignment horizontal="center"/>
    </xf>
    <xf numFmtId="0" fontId="1" fillId="5" borderId="9" xfId="0" applyFont="1" applyFill="1" applyBorder="1" applyAlignment="1">
      <alignment horizontal="center"/>
    </xf>
    <xf numFmtId="164" fontId="1" fillId="4" borderId="11" xfId="0" applyNumberFormat="1" applyFont="1" applyFill="1" applyBorder="1" applyAlignment="1">
      <alignment horizontal="center"/>
    </xf>
    <xf numFmtId="9" fontId="1" fillId="4" borderId="9" xfId="1" applyNumberFormat="1" applyFont="1" applyFill="1" applyBorder="1" applyAlignment="1">
      <alignment horizontal="center"/>
    </xf>
    <xf numFmtId="1" fontId="2" fillId="0" borderId="0" xfId="0" applyNumberFormat="1" applyFont="1" applyAlignment="1">
      <alignment horizontal="left"/>
    </xf>
    <xf numFmtId="9" fontId="1" fillId="0" borderId="9" xfId="0" applyNumberFormat="1" applyFont="1" applyBorder="1" applyAlignment="1">
      <alignment horizontal="center"/>
    </xf>
    <xf numFmtId="1" fontId="8" fillId="0" borderId="9" xfId="0" applyNumberFormat="1" applyFont="1" applyBorder="1" applyAlignment="1">
      <alignment horizontal="center"/>
    </xf>
    <xf numFmtId="3" fontId="1" fillId="2" borderId="3" xfId="0" applyNumberFormat="1" applyFont="1" applyFill="1" applyBorder="1" applyAlignment="1" applyProtection="1"/>
    <xf numFmtId="1" fontId="17" fillId="0" borderId="0" xfId="0" applyNumberFormat="1" applyFont="1"/>
    <xf numFmtId="49" fontId="2" fillId="0" borderId="9" xfId="0" quotePrefix="1" applyNumberFormat="1" applyFont="1" applyFill="1" applyBorder="1"/>
    <xf numFmtId="1" fontId="18" fillId="0" borderId="10" xfId="0" applyNumberFormat="1" applyFont="1" applyBorder="1"/>
    <xf numFmtId="1" fontId="18" fillId="0" borderId="14" xfId="0" applyNumberFormat="1" applyFont="1" applyBorder="1"/>
    <xf numFmtId="1" fontId="18" fillId="0" borderId="11" xfId="0" applyNumberFormat="1" applyFont="1" applyBorder="1"/>
    <xf numFmtId="1" fontId="18" fillId="0" borderId="10" xfId="0" applyNumberFormat="1" applyFont="1" applyBorder="1" applyAlignment="1"/>
    <xf numFmtId="1" fontId="18" fillId="0" borderId="11" xfId="0" applyNumberFormat="1" applyFont="1" applyBorder="1" applyAlignment="1"/>
    <xf numFmtId="1" fontId="18" fillId="0" borderId="11" xfId="0" applyNumberFormat="1" applyFont="1" applyBorder="1" applyAlignment="1">
      <alignment horizontal="right"/>
    </xf>
    <xf numFmtId="3" fontId="1" fillId="9" borderId="10" xfId="0" applyNumberFormat="1" applyFont="1" applyFill="1" applyBorder="1" applyAlignment="1"/>
    <xf numFmtId="3" fontId="1" fillId="9" borderId="14" xfId="0" applyNumberFormat="1" applyFont="1" applyFill="1" applyBorder="1" applyAlignment="1"/>
    <xf numFmtId="3" fontId="1" fillId="9" borderId="11" xfId="0" applyNumberFormat="1" applyFont="1" applyFill="1" applyBorder="1" applyAlignment="1"/>
    <xf numFmtId="49" fontId="2" fillId="10" borderId="9" xfId="0" applyNumberFormat="1" applyFont="1" applyFill="1" applyBorder="1"/>
    <xf numFmtId="14" fontId="2" fillId="10" borderId="9" xfId="0" applyNumberFormat="1" applyFont="1" applyFill="1" applyBorder="1" applyAlignment="1">
      <alignment horizontal="center"/>
    </xf>
    <xf numFmtId="3" fontId="1" fillId="11" borderId="9" xfId="0" applyNumberFormat="1" applyFont="1" applyFill="1" applyBorder="1"/>
    <xf numFmtId="3" fontId="1" fillId="9" borderId="9" xfId="0" applyNumberFormat="1" applyFont="1" applyFill="1" applyBorder="1"/>
    <xf numFmtId="0" fontId="19" fillId="0" borderId="0" xfId="0" applyFont="1" applyAlignment="1">
      <alignment horizontal="left"/>
    </xf>
    <xf numFmtId="0" fontId="19" fillId="0" borderId="0" xfId="0" applyFont="1" applyAlignment="1">
      <alignment horizontal="right"/>
    </xf>
    <xf numFmtId="49" fontId="20" fillId="0" borderId="13" xfId="0" applyNumberFormat="1" applyFont="1" applyFill="1" applyBorder="1"/>
    <xf numFmtId="3" fontId="19" fillId="9" borderId="9" xfId="0" applyNumberFormat="1" applyFont="1" applyFill="1" applyBorder="1"/>
    <xf numFmtId="1" fontId="19" fillId="0" borderId="0" xfId="0" applyNumberFormat="1" applyFont="1"/>
    <xf numFmtId="0" fontId="21" fillId="0" borderId="0" xfId="0" applyFont="1"/>
    <xf numFmtId="3" fontId="21" fillId="9" borderId="9" xfId="0" applyNumberFormat="1" applyFont="1" applyFill="1" applyBorder="1"/>
    <xf numFmtId="1" fontId="21" fillId="0" borderId="0" xfId="0" applyNumberFormat="1" applyFont="1"/>
    <xf numFmtId="0" fontId="27" fillId="0" borderId="0" xfId="0" applyFont="1"/>
    <xf numFmtId="0" fontId="5" fillId="10" borderId="0" xfId="0" applyFont="1" applyFill="1"/>
    <xf numFmtId="0" fontId="5" fillId="10" borderId="0" xfId="0" applyFont="1" applyFill="1" applyAlignment="1">
      <alignment horizontal="left"/>
    </xf>
    <xf numFmtId="0" fontId="5" fillId="10" borderId="0" xfId="0" applyFont="1" applyFill="1" applyAlignment="1">
      <alignment horizontal="center"/>
    </xf>
    <xf numFmtId="49" fontId="23" fillId="10" borderId="1" xfId="0" applyNumberFormat="1" applyFont="1" applyFill="1" applyBorder="1"/>
    <xf numFmtId="3" fontId="22" fillId="11" borderId="9" xfId="0" applyNumberFormat="1" applyFont="1" applyFill="1" applyBorder="1"/>
    <xf numFmtId="1" fontId="28" fillId="0" borderId="0" xfId="0" applyNumberFormat="1" applyFont="1"/>
    <xf numFmtId="0" fontId="2" fillId="10" borderId="9" xfId="0" applyNumberFormat="1" applyFont="1" applyFill="1" applyBorder="1" applyAlignment="1">
      <alignment horizontal="center"/>
    </xf>
    <xf numFmtId="0" fontId="1" fillId="10" borderId="0" xfId="0" applyFont="1" applyFill="1"/>
    <xf numFmtId="0" fontId="1" fillId="10" borderId="0" xfId="0" applyFont="1" applyFill="1" applyAlignment="1">
      <alignment horizontal="left"/>
    </xf>
    <xf numFmtId="0" fontId="1" fillId="10" borderId="0" xfId="0" applyFont="1" applyFill="1" applyAlignment="1">
      <alignment horizontal="center"/>
    </xf>
    <xf numFmtId="9" fontId="1" fillId="9" borderId="9" xfId="10" applyFont="1" applyFill="1" applyBorder="1"/>
    <xf numFmtId="49" fontId="2" fillId="0" borderId="13" xfId="0" applyNumberFormat="1" applyFont="1" applyFill="1" applyBorder="1" applyAlignment="1">
      <alignment vertical="center"/>
    </xf>
    <xf numFmtId="164" fontId="1" fillId="9" borderId="9" xfId="0" applyNumberFormat="1" applyFont="1" applyFill="1" applyBorder="1"/>
    <xf numFmtId="49" fontId="23" fillId="10" borderId="9" xfId="0" applyNumberFormat="1" applyFont="1" applyFill="1" applyBorder="1"/>
    <xf numFmtId="3" fontId="17" fillId="12" borderId="9" xfId="0" applyNumberFormat="1" applyFont="1" applyFill="1" applyBorder="1"/>
    <xf numFmtId="1" fontId="29" fillId="0" borderId="0" xfId="0" applyNumberFormat="1" applyFont="1"/>
    <xf numFmtId="3" fontId="17" fillId="0" borderId="9" xfId="0" applyNumberFormat="1" applyFont="1" applyBorder="1"/>
    <xf numFmtId="3" fontId="18" fillId="12" borderId="9" xfId="0" applyNumberFormat="1" applyFont="1" applyFill="1" applyBorder="1"/>
    <xf numFmtId="3" fontId="18" fillId="0" borderId="9" xfId="0" applyNumberFormat="1" applyFont="1" applyBorder="1"/>
    <xf numFmtId="1" fontId="18" fillId="0" borderId="0" xfId="0" applyNumberFormat="1" applyFont="1"/>
    <xf numFmtId="3" fontId="2" fillId="11" borderId="9" xfId="0" applyNumberFormat="1" applyFont="1" applyFill="1" applyBorder="1"/>
    <xf numFmtId="3" fontId="1" fillId="11" borderId="11" xfId="0" applyNumberFormat="1" applyFont="1" applyFill="1" applyBorder="1"/>
    <xf numFmtId="9" fontId="1" fillId="12" borderId="9" xfId="0" applyNumberFormat="1" applyFont="1" applyFill="1" applyBorder="1" applyAlignment="1">
      <alignment horizontal="center"/>
    </xf>
    <xf numFmtId="9" fontId="1" fillId="11" borderId="11" xfId="10" applyNumberFormat="1" applyFont="1" applyFill="1" applyBorder="1" applyAlignment="1">
      <alignment horizontal="center"/>
    </xf>
    <xf numFmtId="9" fontId="1" fillId="11" borderId="9" xfId="10" applyFont="1" applyFill="1" applyBorder="1" applyAlignment="1">
      <alignment horizontal="center"/>
    </xf>
    <xf numFmtId="9" fontId="1" fillId="11" borderId="9" xfId="0" applyNumberFormat="1" applyFont="1" applyFill="1" applyBorder="1" applyAlignment="1">
      <alignment horizontal="center"/>
    </xf>
    <xf numFmtId="164" fontId="1" fillId="11" borderId="9" xfId="0" applyNumberFormat="1" applyFont="1" applyFill="1" applyBorder="1" applyAlignment="1">
      <alignment horizontal="center"/>
    </xf>
    <xf numFmtId="165" fontId="1" fillId="11" borderId="11" xfId="10" applyNumberFormat="1" applyFont="1" applyFill="1" applyBorder="1" applyAlignment="1">
      <alignment horizontal="center"/>
    </xf>
    <xf numFmtId="165" fontId="1" fillId="11" borderId="9" xfId="10" applyNumberFormat="1" applyFont="1" applyFill="1" applyBorder="1" applyAlignment="1">
      <alignment horizontal="center"/>
    </xf>
    <xf numFmtId="0" fontId="2" fillId="13" borderId="9" xfId="0" applyFont="1" applyFill="1" applyBorder="1" applyAlignment="1">
      <alignment horizontal="center"/>
    </xf>
    <xf numFmtId="9" fontId="1" fillId="11" borderId="11" xfId="10" applyFont="1" applyFill="1" applyBorder="1" applyAlignment="1">
      <alignment horizontal="center"/>
    </xf>
    <xf numFmtId="0" fontId="1" fillId="12" borderId="9" xfId="0" applyFont="1" applyFill="1" applyBorder="1" applyAlignment="1">
      <alignment horizontal="center"/>
    </xf>
    <xf numFmtId="164" fontId="1" fillId="11" borderId="11" xfId="0" applyNumberFormat="1" applyFont="1" applyFill="1" applyBorder="1" applyAlignment="1">
      <alignment horizontal="center"/>
    </xf>
    <xf numFmtId="9" fontId="1" fillId="11" borderId="9" xfId="10" applyNumberFormat="1" applyFont="1" applyFill="1" applyBorder="1" applyAlignment="1">
      <alignment horizontal="center"/>
    </xf>
    <xf numFmtId="1" fontId="18" fillId="0" borderId="0" xfId="0" applyNumberFormat="1" applyFont="1" applyAlignment="1">
      <alignment horizontal="left"/>
    </xf>
    <xf numFmtId="1" fontId="18" fillId="0" borderId="0" xfId="0" applyNumberFormat="1" applyFont="1" applyAlignment="1">
      <alignment horizontal="center"/>
    </xf>
    <xf numFmtId="1" fontId="17" fillId="0" borderId="0" xfId="0" applyNumberFormat="1" applyFont="1" applyAlignment="1">
      <alignment horizontal="left"/>
    </xf>
    <xf numFmtId="1" fontId="17" fillId="0" borderId="9" xfId="0" applyNumberFormat="1" applyFont="1" applyBorder="1" applyAlignment="1">
      <alignment horizontal="center"/>
    </xf>
    <xf numFmtId="49" fontId="2" fillId="0" borderId="3" xfId="0" quotePrefix="1" applyNumberFormat="1" applyFont="1" applyFill="1" applyBorder="1" applyAlignment="1" applyProtection="1"/>
    <xf numFmtId="14" fontId="2" fillId="6" borderId="8" xfId="0" applyNumberFormat="1" applyFont="1" applyFill="1" applyBorder="1" applyAlignment="1" applyProtection="1">
      <alignment horizontal="center"/>
    </xf>
    <xf numFmtId="3" fontId="1" fillId="5" borderId="2" xfId="0" applyNumberFormat="1" applyFont="1" applyFill="1" applyBorder="1" applyAlignment="1" applyProtection="1"/>
    <xf numFmtId="3" fontId="19" fillId="5" borderId="2" xfId="0" applyNumberFormat="1" applyFont="1" applyFill="1" applyBorder="1" applyAlignment="1" applyProtection="1"/>
    <xf numFmtId="3" fontId="21" fillId="5" borderId="2" xfId="0" applyNumberFormat="1" applyFont="1" applyFill="1" applyBorder="1" applyAlignment="1" applyProtection="1"/>
    <xf numFmtId="3" fontId="22" fillId="5" borderId="2" xfId="0" applyNumberFormat="1" applyFont="1" applyFill="1" applyBorder="1" applyAlignment="1" applyProtection="1"/>
    <xf numFmtId="0" fontId="2" fillId="5" borderId="2" xfId="0" applyNumberFormat="1" applyFont="1" applyFill="1" applyBorder="1" applyAlignment="1" applyProtection="1">
      <alignment horizontal="center"/>
    </xf>
    <xf numFmtId="9" fontId="1" fillId="5" borderId="2" xfId="0" applyNumberFormat="1" applyFont="1" applyFill="1" applyBorder="1" applyAlignment="1" applyProtection="1"/>
    <xf numFmtId="3" fontId="14" fillId="5" borderId="9" xfId="0" applyNumberFormat="1" applyFont="1" applyFill="1" applyBorder="1"/>
    <xf numFmtId="1" fontId="30" fillId="0" borderId="0" xfId="0" applyNumberFormat="1" applyFont="1" applyFill="1" applyBorder="1" applyAlignment="1" applyProtection="1"/>
    <xf numFmtId="0" fontId="31" fillId="0" borderId="0" xfId="11" applyFont="1" applyBorder="1" applyAlignment="1">
      <alignment horizontal="center"/>
    </xf>
    <xf numFmtId="1" fontId="32" fillId="0" borderId="0" xfId="11" applyNumberFormat="1" applyFont="1"/>
    <xf numFmtId="0" fontId="31" fillId="0" borderId="0" xfId="11" applyFont="1" applyBorder="1" applyAlignment="1">
      <alignment horizontal="left"/>
    </xf>
    <xf numFmtId="1" fontId="33" fillId="0" borderId="0" xfId="11" applyNumberFormat="1" applyFont="1" applyFill="1" applyBorder="1" applyAlignment="1" applyProtection="1"/>
    <xf numFmtId="0" fontId="34" fillId="0" borderId="0" xfId="11" applyFont="1"/>
    <xf numFmtId="0" fontId="32" fillId="0" borderId="0" xfId="11" applyFont="1" applyBorder="1" applyAlignment="1">
      <alignment horizontal="center"/>
    </xf>
    <xf numFmtId="49" fontId="32" fillId="0" borderId="3" xfId="11" quotePrefix="1" applyNumberFormat="1" applyFont="1" applyFill="1" applyBorder="1" applyAlignment="1" applyProtection="1"/>
    <xf numFmtId="1" fontId="35" fillId="0" borderId="3" xfId="11" applyNumberFormat="1" applyFont="1" applyFill="1" applyBorder="1" applyAlignment="1" applyProtection="1"/>
    <xf numFmtId="1" fontId="35" fillId="0" borderId="4" xfId="11" applyNumberFormat="1" applyFont="1" applyFill="1" applyBorder="1" applyAlignment="1" applyProtection="1"/>
    <xf numFmtId="1" fontId="36" fillId="0" borderId="0" xfId="11" applyNumberFormat="1" applyFont="1"/>
    <xf numFmtId="49" fontId="32" fillId="6" borderId="2" xfId="11" applyNumberFormat="1" applyFont="1" applyFill="1" applyBorder="1" applyAlignment="1" applyProtection="1"/>
    <xf numFmtId="14" fontId="32" fillId="5" borderId="8" xfId="11" applyNumberFormat="1" applyFont="1" applyFill="1" applyBorder="1" applyAlignment="1" applyProtection="1">
      <alignment horizontal="center"/>
    </xf>
    <xf numFmtId="14" fontId="32" fillId="6" borderId="8" xfId="11" applyNumberFormat="1" applyFont="1" applyFill="1" applyBorder="1" applyAlignment="1" applyProtection="1">
      <alignment horizontal="center"/>
    </xf>
    <xf numFmtId="14" fontId="32" fillId="6" borderId="2" xfId="11" applyNumberFormat="1" applyFont="1" applyFill="1" applyBorder="1" applyAlignment="1" applyProtection="1">
      <alignment horizontal="center"/>
    </xf>
    <xf numFmtId="0" fontId="31" fillId="0" borderId="0" xfId="11" applyFont="1" applyBorder="1"/>
    <xf numFmtId="49" fontId="32" fillId="0" borderId="6" xfId="11" applyNumberFormat="1" applyFont="1" applyFill="1" applyBorder="1" applyAlignment="1" applyProtection="1"/>
    <xf numFmtId="3" fontId="31" fillId="5" borderId="2" xfId="11" applyNumberFormat="1" applyFont="1" applyFill="1" applyBorder="1" applyAlignment="1" applyProtection="1"/>
    <xf numFmtId="3" fontId="31" fillId="7" borderId="2" xfId="11" applyNumberFormat="1" applyFont="1" applyFill="1" applyBorder="1" applyAlignment="1" applyProtection="1"/>
    <xf numFmtId="0" fontId="31" fillId="0" borderId="0" xfId="11" applyFont="1"/>
    <xf numFmtId="0" fontId="31" fillId="0" borderId="0" xfId="11" applyFont="1" applyAlignment="1">
      <alignment horizontal="center"/>
    </xf>
    <xf numFmtId="49" fontId="32" fillId="0" borderId="7" xfId="11" applyNumberFormat="1" applyFont="1" applyFill="1" applyBorder="1" applyAlignment="1" applyProtection="1"/>
    <xf numFmtId="0" fontId="31" fillId="0" borderId="0" xfId="11" applyFont="1" applyAlignment="1">
      <alignment horizontal="left"/>
    </xf>
    <xf numFmtId="0" fontId="37" fillId="0" borderId="0" xfId="11" quotePrefix="1" applyFont="1" applyAlignment="1">
      <alignment horizontal="center"/>
    </xf>
    <xf numFmtId="3" fontId="31" fillId="2" borderId="2" xfId="11" applyNumberFormat="1" applyFont="1" applyFill="1" applyBorder="1" applyAlignment="1" applyProtection="1"/>
    <xf numFmtId="3" fontId="31" fillId="2" borderId="9" xfId="11" applyNumberFormat="1" applyFont="1" applyFill="1" applyBorder="1"/>
    <xf numFmtId="0" fontId="38" fillId="0" borderId="0" xfId="11" applyFont="1" applyAlignment="1">
      <alignment horizontal="center"/>
    </xf>
    <xf numFmtId="0" fontId="31" fillId="0" borderId="0" xfId="11" applyFont="1" applyFill="1"/>
    <xf numFmtId="0" fontId="31" fillId="0" borderId="0" xfId="11" applyFont="1" applyFill="1" applyAlignment="1">
      <alignment horizontal="left"/>
    </xf>
    <xf numFmtId="3" fontId="31" fillId="4" borderId="9" xfId="11" applyNumberFormat="1" applyFont="1" applyFill="1" applyBorder="1"/>
    <xf numFmtId="0" fontId="39" fillId="0" borderId="0" xfId="11" applyFont="1" applyAlignment="1">
      <alignment horizontal="left"/>
    </xf>
    <xf numFmtId="0" fontId="38" fillId="0" borderId="0" xfId="11" applyFont="1" applyAlignment="1">
      <alignment horizontal="left"/>
    </xf>
    <xf numFmtId="0" fontId="39" fillId="0" borderId="0" xfId="11" applyFont="1" applyAlignment="1">
      <alignment horizontal="right"/>
    </xf>
    <xf numFmtId="49" fontId="40" fillId="0" borderId="7" xfId="11" applyNumberFormat="1" applyFont="1" applyFill="1" applyBorder="1" applyAlignment="1" applyProtection="1"/>
    <xf numFmtId="3" fontId="41" fillId="5" borderId="2" xfId="11" applyNumberFormat="1" applyFont="1" applyFill="1" applyBorder="1" applyAlignment="1" applyProtection="1"/>
    <xf numFmtId="3" fontId="41" fillId="2" borderId="2" xfId="11" applyNumberFormat="1" applyFont="1" applyFill="1" applyBorder="1" applyAlignment="1" applyProtection="1"/>
    <xf numFmtId="3" fontId="39" fillId="2" borderId="9" xfId="11" applyNumberFormat="1" applyFont="1" applyFill="1" applyBorder="1"/>
    <xf numFmtId="0" fontId="42" fillId="0" borderId="0" xfId="11" applyFont="1"/>
    <xf numFmtId="3" fontId="43" fillId="5" borderId="2" xfId="11" applyNumberFormat="1" applyFont="1" applyFill="1" applyBorder="1" applyAlignment="1" applyProtection="1"/>
    <xf numFmtId="3" fontId="43" fillId="2" borderId="2" xfId="11" applyNumberFormat="1" applyFont="1" applyFill="1" applyBorder="1" applyAlignment="1" applyProtection="1"/>
    <xf numFmtId="3" fontId="42" fillId="2" borderId="9" xfId="11" applyNumberFormat="1" applyFont="1" applyFill="1" applyBorder="1"/>
    <xf numFmtId="0" fontId="31" fillId="0" borderId="0" xfId="11" applyFont="1" applyAlignment="1"/>
    <xf numFmtId="0" fontId="44" fillId="0" borderId="0" xfId="11" applyFont="1"/>
    <xf numFmtId="0" fontId="38" fillId="3" borderId="0" xfId="11" applyFont="1" applyFill="1"/>
    <xf numFmtId="0" fontId="32" fillId="0" borderId="0" xfId="11" applyFont="1" applyFill="1" applyAlignment="1">
      <alignment horizontal="left"/>
    </xf>
    <xf numFmtId="0" fontId="38" fillId="3" borderId="0" xfId="11" applyFont="1" applyFill="1" applyAlignment="1">
      <alignment horizontal="left"/>
    </xf>
    <xf numFmtId="0" fontId="38" fillId="3" borderId="0" xfId="11" applyFont="1" applyFill="1" applyAlignment="1">
      <alignment horizontal="center"/>
    </xf>
    <xf numFmtId="49" fontId="46" fillId="6" borderId="8" xfId="11" applyNumberFormat="1" applyFont="1" applyFill="1" applyBorder="1" applyAlignment="1" applyProtection="1"/>
    <xf numFmtId="3" fontId="47" fillId="5" borderId="2" xfId="11" applyNumberFormat="1" applyFont="1" applyFill="1" applyBorder="1" applyAlignment="1" applyProtection="1"/>
    <xf numFmtId="3" fontId="47" fillId="7" borderId="2" xfId="11" applyNumberFormat="1" applyFont="1" applyFill="1" applyBorder="1" applyAlignment="1" applyProtection="1"/>
    <xf numFmtId="3" fontId="48" fillId="4" borderId="9" xfId="11" applyNumberFormat="1" applyFont="1" applyFill="1" applyBorder="1"/>
    <xf numFmtId="0" fontId="32" fillId="5" borderId="2" xfId="11" applyNumberFormat="1" applyFont="1" applyFill="1" applyBorder="1" applyAlignment="1" applyProtection="1">
      <alignment horizontal="center"/>
    </xf>
    <xf numFmtId="0" fontId="32" fillId="6" borderId="2" xfId="11" applyNumberFormat="1" applyFont="1" applyFill="1" applyBorder="1" applyAlignment="1" applyProtection="1">
      <alignment horizontal="center"/>
    </xf>
    <xf numFmtId="0" fontId="32" fillId="3" borderId="9" xfId="11" applyNumberFormat="1" applyFont="1" applyFill="1" applyBorder="1" applyAlignment="1">
      <alignment horizontal="center"/>
    </xf>
    <xf numFmtId="0" fontId="31" fillId="0" borderId="0" xfId="11" applyFont="1" applyFill="1" applyAlignment="1">
      <alignment horizontal="center"/>
    </xf>
    <xf numFmtId="0" fontId="31" fillId="3" borderId="0" xfId="11" applyFont="1" applyFill="1"/>
    <xf numFmtId="0" fontId="31" fillId="3" borderId="0" xfId="11" applyFont="1" applyFill="1" applyAlignment="1">
      <alignment horizontal="left"/>
    </xf>
    <xf numFmtId="0" fontId="31" fillId="3" borderId="0" xfId="11" applyFont="1" applyFill="1" applyAlignment="1">
      <alignment horizontal="center"/>
    </xf>
    <xf numFmtId="49" fontId="32" fillId="0" borderId="0" xfId="11" applyNumberFormat="1" applyFont="1" applyFill="1" applyBorder="1" applyAlignment="1" applyProtection="1"/>
    <xf numFmtId="1" fontId="34" fillId="0" borderId="0" xfId="11" applyNumberFormat="1" applyFont="1"/>
    <xf numFmtId="9" fontId="31" fillId="2" borderId="2" xfId="11" applyNumberFormat="1" applyFont="1" applyFill="1" applyBorder="1" applyAlignment="1" applyProtection="1"/>
    <xf numFmtId="9" fontId="31" fillId="2" borderId="9" xfId="12" applyFont="1" applyFill="1" applyBorder="1"/>
    <xf numFmtId="49" fontId="31" fillId="0" borderId="0" xfId="11" applyNumberFormat="1" applyFont="1" applyFill="1" applyBorder="1" applyAlignment="1" applyProtection="1"/>
    <xf numFmtId="0" fontId="32" fillId="0" borderId="0" xfId="11" applyFont="1"/>
    <xf numFmtId="0" fontId="32" fillId="0" borderId="0" xfId="11" applyFont="1" applyAlignment="1">
      <alignment horizontal="center"/>
    </xf>
    <xf numFmtId="1" fontId="32" fillId="0" borderId="0" xfId="11" applyNumberFormat="1" applyFont="1" applyAlignment="1">
      <alignment vertical="center"/>
    </xf>
    <xf numFmtId="0" fontId="31" fillId="0" borderId="0" xfId="11" quotePrefix="1" applyFont="1" applyAlignment="1">
      <alignment horizontal="left" vertical="center" wrapText="1"/>
    </xf>
    <xf numFmtId="0" fontId="31" fillId="0" borderId="0" xfId="11" applyFont="1" applyAlignment="1">
      <alignment wrapText="1"/>
    </xf>
    <xf numFmtId="49" fontId="32" fillId="0" borderId="7" xfId="11" applyNumberFormat="1" applyFont="1" applyFill="1" applyBorder="1" applyAlignment="1" applyProtection="1">
      <alignment vertical="center"/>
    </xf>
    <xf numFmtId="0" fontId="31" fillId="0" borderId="0" xfId="11" quotePrefix="1" applyFont="1"/>
    <xf numFmtId="0" fontId="31" fillId="0" borderId="0" xfId="11" quotePrefix="1" applyFont="1" applyAlignment="1"/>
    <xf numFmtId="49" fontId="32" fillId="0" borderId="2" xfId="11" applyNumberFormat="1" applyFont="1" applyFill="1" applyBorder="1" applyAlignment="1" applyProtection="1"/>
    <xf numFmtId="0" fontId="31" fillId="0" borderId="0" xfId="11" quotePrefix="1" applyFont="1" applyAlignment="1">
      <alignment horizontal="left"/>
    </xf>
    <xf numFmtId="49" fontId="32" fillId="0" borderId="8" xfId="11" applyNumberFormat="1" applyFont="1" applyFill="1" applyBorder="1" applyAlignment="1" applyProtection="1"/>
    <xf numFmtId="49" fontId="49" fillId="3" borderId="9" xfId="11" applyNumberFormat="1" applyFont="1" applyFill="1" applyBorder="1"/>
    <xf numFmtId="3" fontId="34" fillId="5" borderId="9" xfId="11" applyNumberFormat="1" applyFont="1" applyFill="1" applyBorder="1"/>
    <xf numFmtId="3" fontId="48" fillId="5" borderId="9" xfId="11" applyNumberFormat="1" applyFont="1" applyFill="1" applyBorder="1"/>
    <xf numFmtId="49" fontId="31" fillId="0" borderId="0" xfId="11" applyNumberFormat="1" applyFont="1" applyFill="1"/>
    <xf numFmtId="1" fontId="50" fillId="0" borderId="0" xfId="11" applyNumberFormat="1" applyFont="1"/>
    <xf numFmtId="49" fontId="32" fillId="3" borderId="9" xfId="11" applyNumberFormat="1" applyFont="1" applyFill="1" applyBorder="1"/>
    <xf numFmtId="49" fontId="31" fillId="0" borderId="9" xfId="11" applyNumberFormat="1" applyFont="1" applyFill="1" applyBorder="1"/>
    <xf numFmtId="3" fontId="34" fillId="0" borderId="9" xfId="11" applyNumberFormat="1" applyFont="1" applyBorder="1"/>
    <xf numFmtId="49" fontId="31" fillId="0" borderId="9" xfId="11" applyNumberFormat="1" applyFont="1" applyFill="1" applyBorder="1" applyAlignment="1">
      <alignment horizontal="right"/>
    </xf>
    <xf numFmtId="0" fontId="32" fillId="0" borderId="0" xfId="11" applyFont="1" applyAlignment="1">
      <alignment horizontal="left"/>
    </xf>
    <xf numFmtId="49" fontId="32" fillId="0" borderId="9" xfId="11" applyNumberFormat="1" applyFont="1" applyFill="1" applyBorder="1"/>
    <xf numFmtId="3" fontId="51" fillId="5" borderId="9" xfId="11" applyNumberFormat="1" applyFont="1" applyFill="1" applyBorder="1"/>
    <xf numFmtId="3" fontId="51" fillId="0" borderId="9" xfId="11" applyNumberFormat="1" applyFont="1" applyBorder="1"/>
    <xf numFmtId="1" fontId="51" fillId="0" borderId="0" xfId="11" applyNumberFormat="1" applyFont="1"/>
    <xf numFmtId="49" fontId="32" fillId="0" borderId="12" xfId="11" applyNumberFormat="1" applyFont="1" applyFill="1" applyBorder="1"/>
    <xf numFmtId="3" fontId="32" fillId="4" borderId="9" xfId="11" applyNumberFormat="1" applyFont="1" applyFill="1" applyBorder="1"/>
    <xf numFmtId="3" fontId="31" fillId="4" borderId="11" xfId="11" applyNumberFormat="1" applyFont="1" applyFill="1" applyBorder="1"/>
    <xf numFmtId="9" fontId="31" fillId="5" borderId="9" xfId="11" applyNumberFormat="1" applyFont="1" applyFill="1" applyBorder="1" applyAlignment="1">
      <alignment horizontal="center"/>
    </xf>
    <xf numFmtId="49" fontId="32" fillId="0" borderId="1" xfId="11" applyNumberFormat="1" applyFont="1" applyFill="1" applyBorder="1"/>
    <xf numFmtId="9" fontId="31" fillId="4" borderId="11" xfId="12" applyNumberFormat="1" applyFont="1" applyFill="1" applyBorder="1" applyAlignment="1">
      <alignment horizontal="center"/>
    </xf>
    <xf numFmtId="9" fontId="31" fillId="4" borderId="9" xfId="12" applyFont="1" applyFill="1" applyBorder="1" applyAlignment="1">
      <alignment horizontal="center"/>
    </xf>
    <xf numFmtId="9" fontId="31" fillId="4" borderId="9" xfId="11" applyNumberFormat="1" applyFont="1" applyFill="1" applyBorder="1" applyAlignment="1">
      <alignment horizontal="center"/>
    </xf>
    <xf numFmtId="49" fontId="32" fillId="0" borderId="13" xfId="11" applyNumberFormat="1" applyFont="1" applyFill="1" applyBorder="1"/>
    <xf numFmtId="164" fontId="31" fillId="4" borderId="9" xfId="11" applyNumberFormat="1" applyFont="1" applyFill="1" applyBorder="1" applyAlignment="1">
      <alignment horizontal="center"/>
    </xf>
    <xf numFmtId="165" fontId="31" fillId="4" borderId="11" xfId="12" applyNumberFormat="1" applyFont="1" applyFill="1" applyBorder="1" applyAlignment="1">
      <alignment horizontal="center"/>
    </xf>
    <xf numFmtId="165" fontId="31" fillId="4" borderId="9" xfId="12" applyNumberFormat="1" applyFont="1" applyFill="1" applyBorder="1" applyAlignment="1">
      <alignment horizontal="center"/>
    </xf>
    <xf numFmtId="0" fontId="32" fillId="0" borderId="0" xfId="11" applyFont="1" applyAlignment="1">
      <alignment horizontal="right"/>
    </xf>
    <xf numFmtId="0" fontId="32" fillId="8" borderId="9" xfId="11" applyFont="1" applyFill="1" applyBorder="1" applyAlignment="1">
      <alignment horizontal="center"/>
    </xf>
    <xf numFmtId="9" fontId="31" fillId="4" borderId="11" xfId="12" applyFont="1" applyFill="1" applyBorder="1" applyAlignment="1">
      <alignment horizontal="center"/>
    </xf>
    <xf numFmtId="0" fontId="31" fillId="5" borderId="9" xfId="11" applyFont="1" applyFill="1" applyBorder="1" applyAlignment="1">
      <alignment horizontal="center"/>
    </xf>
    <xf numFmtId="164" fontId="31" fillId="4" borderId="11" xfId="11" applyNumberFormat="1" applyFont="1" applyFill="1" applyBorder="1" applyAlignment="1">
      <alignment horizontal="center"/>
    </xf>
    <xf numFmtId="14" fontId="31" fillId="0" borderId="0" xfId="11" quotePrefix="1" applyNumberFormat="1" applyFont="1"/>
    <xf numFmtId="0" fontId="31" fillId="0" borderId="0" xfId="11" applyFont="1" applyBorder="1" applyAlignment="1">
      <alignment horizontal="left" vertical="center" wrapText="1"/>
    </xf>
    <xf numFmtId="9" fontId="31" fillId="4" borderId="9" xfId="12" applyNumberFormat="1" applyFont="1" applyFill="1" applyBorder="1" applyAlignment="1">
      <alignment horizontal="center"/>
    </xf>
    <xf numFmtId="1" fontId="51" fillId="0" borderId="0" xfId="11" applyNumberFormat="1" applyFont="1" applyAlignment="1">
      <alignment horizontal="left"/>
    </xf>
    <xf numFmtId="1" fontId="51" fillId="0" borderId="0" xfId="11" applyNumberFormat="1" applyFont="1" applyAlignment="1">
      <alignment horizontal="center"/>
    </xf>
    <xf numFmtId="1" fontId="34" fillId="0" borderId="0" xfId="11" applyNumberFormat="1" applyFont="1" applyAlignment="1">
      <alignment horizontal="left"/>
    </xf>
    <xf numFmtId="1" fontId="32" fillId="0" borderId="0" xfId="11" applyNumberFormat="1" applyFont="1" applyAlignment="1">
      <alignment horizontal="left"/>
    </xf>
    <xf numFmtId="9" fontId="31" fillId="0" borderId="9" xfId="11" applyNumberFormat="1" applyFont="1" applyBorder="1" applyAlignment="1">
      <alignment horizontal="center"/>
    </xf>
    <xf numFmtId="1" fontId="34" fillId="0" borderId="9" xfId="11" applyNumberFormat="1" applyFont="1" applyBorder="1" applyAlignment="1">
      <alignment horizontal="center"/>
    </xf>
    <xf numFmtId="49" fontId="32" fillId="0" borderId="0" xfId="11" applyNumberFormat="1" applyFont="1" applyFill="1" applyBorder="1"/>
    <xf numFmtId="49" fontId="32" fillId="0" borderId="0" xfId="11" applyNumberFormat="1" applyFont="1" applyFill="1"/>
    <xf numFmtId="0" fontId="1" fillId="0" borderId="0" xfId="13" applyFont="1" applyBorder="1" applyAlignment="1">
      <alignment horizontal="center"/>
    </xf>
    <xf numFmtId="1" fontId="2" fillId="0" borderId="0" xfId="13" applyNumberFormat="1" applyFont="1"/>
    <xf numFmtId="0" fontId="1" fillId="0" borderId="0" xfId="13" applyFont="1" applyBorder="1" applyAlignment="1">
      <alignment horizontal="left"/>
    </xf>
    <xf numFmtId="1" fontId="17" fillId="0" borderId="0" xfId="13" applyNumberFormat="1" applyFont="1" applyFill="1" applyBorder="1" applyAlignment="1" applyProtection="1"/>
    <xf numFmtId="0" fontId="17" fillId="0" borderId="0" xfId="13" applyFont="1"/>
    <xf numFmtId="0" fontId="2" fillId="0" borderId="0" xfId="13" applyFont="1" applyBorder="1" applyAlignment="1">
      <alignment horizontal="center"/>
    </xf>
    <xf numFmtId="49" fontId="2" fillId="0" borderId="15" xfId="13" applyNumberFormat="1" applyFont="1" applyFill="1" applyBorder="1" applyAlignment="1" applyProtection="1"/>
    <xf numFmtId="1" fontId="18" fillId="0" borderId="16" xfId="13" applyNumberFormat="1" applyFont="1" applyFill="1" applyBorder="1" applyAlignment="1" applyProtection="1"/>
    <xf numFmtId="1" fontId="18" fillId="0" borderId="17" xfId="13" applyNumberFormat="1" applyFont="1" applyFill="1" applyBorder="1" applyAlignment="1" applyProtection="1"/>
    <xf numFmtId="1" fontId="18" fillId="0" borderId="18" xfId="13" applyNumberFormat="1" applyFont="1" applyFill="1" applyBorder="1" applyAlignment="1" applyProtection="1"/>
    <xf numFmtId="1" fontId="18" fillId="0" borderId="18" xfId="13" applyNumberFormat="1" applyFont="1" applyFill="1" applyBorder="1" applyAlignment="1" applyProtection="1">
      <alignment horizontal="right"/>
    </xf>
    <xf numFmtId="3" fontId="1" fillId="14" borderId="16" xfId="13" applyNumberFormat="1" applyFont="1" applyFill="1" applyBorder="1" applyAlignment="1" applyProtection="1"/>
    <xf numFmtId="3" fontId="1" fillId="14" borderId="17" xfId="13" applyNumberFormat="1" applyFont="1" applyFill="1" applyBorder="1" applyAlignment="1" applyProtection="1"/>
    <xf numFmtId="3" fontId="1" fillId="14" borderId="18" xfId="13" applyNumberFormat="1" applyFont="1" applyFill="1" applyBorder="1" applyAlignment="1" applyProtection="1"/>
    <xf numFmtId="1" fontId="3" fillId="0" borderId="0" xfId="13" applyNumberFormat="1" applyFont="1"/>
    <xf numFmtId="49" fontId="2" fillId="15" borderId="15" xfId="13" applyNumberFormat="1" applyFont="1" applyFill="1" applyBorder="1" applyAlignment="1" applyProtection="1"/>
    <xf numFmtId="166" fontId="2" fillId="15" borderId="15" xfId="13" applyNumberFormat="1" applyFont="1" applyFill="1" applyBorder="1" applyAlignment="1" applyProtection="1">
      <alignment horizontal="center"/>
    </xf>
    <xf numFmtId="166" fontId="2" fillId="15" borderId="16" xfId="13" applyNumberFormat="1" applyFont="1" applyFill="1" applyBorder="1" applyAlignment="1" applyProtection="1">
      <alignment horizontal="center"/>
    </xf>
    <xf numFmtId="166" fontId="16" fillId="0" borderId="0" xfId="13" applyNumberFormat="1"/>
    <xf numFmtId="0" fontId="1" fillId="0" borderId="0" xfId="13" applyFont="1" applyBorder="1"/>
    <xf numFmtId="49" fontId="2" fillId="0" borderId="19" xfId="13" applyNumberFormat="1" applyFont="1" applyFill="1" applyBorder="1" applyAlignment="1" applyProtection="1"/>
    <xf numFmtId="3" fontId="1" fillId="16" borderId="15" xfId="13" applyNumberFormat="1" applyFont="1" applyFill="1" applyBorder="1" applyAlignment="1" applyProtection="1"/>
    <xf numFmtId="3" fontId="16" fillId="0" borderId="0" xfId="13" applyNumberFormat="1"/>
    <xf numFmtId="0" fontId="1" fillId="0" borderId="0" xfId="13" applyFont="1"/>
    <xf numFmtId="0" fontId="1" fillId="0" borderId="0" xfId="13" applyFont="1" applyAlignment="1">
      <alignment horizontal="center"/>
    </xf>
    <xf numFmtId="49" fontId="2" fillId="0" borderId="20" xfId="13" applyNumberFormat="1" applyFont="1" applyFill="1" applyBorder="1" applyAlignment="1" applyProtection="1"/>
    <xf numFmtId="0" fontId="1" fillId="0" borderId="0" xfId="13" applyFont="1" applyAlignment="1">
      <alignment horizontal="left"/>
    </xf>
    <xf numFmtId="0" fontId="4" fillId="0" borderId="0" xfId="13" applyFont="1" applyAlignment="1">
      <alignment horizontal="center"/>
    </xf>
    <xf numFmtId="3" fontId="1" fillId="14" borderId="15" xfId="13" applyNumberFormat="1" applyFont="1" applyFill="1" applyBorder="1" applyAlignment="1" applyProtection="1"/>
    <xf numFmtId="3" fontId="1" fillId="14" borderId="15" xfId="13" applyNumberFormat="1" applyFont="1" applyFill="1" applyBorder="1"/>
    <xf numFmtId="0" fontId="5" fillId="0" borderId="0" xfId="13" applyFont="1" applyAlignment="1">
      <alignment horizontal="center"/>
    </xf>
    <xf numFmtId="0" fontId="1" fillId="0" borderId="0" xfId="13" applyFont="1" applyFill="1"/>
    <xf numFmtId="0" fontId="1" fillId="0" borderId="0" xfId="13" applyFont="1" applyFill="1" applyAlignment="1">
      <alignment horizontal="left"/>
    </xf>
    <xf numFmtId="3" fontId="1" fillId="16" borderId="15" xfId="13" applyNumberFormat="1" applyFont="1" applyFill="1" applyBorder="1"/>
    <xf numFmtId="0" fontId="19" fillId="0" borderId="0" xfId="13" applyFont="1" applyAlignment="1">
      <alignment horizontal="left"/>
    </xf>
    <xf numFmtId="0" fontId="5" fillId="0" borderId="0" xfId="13" applyFont="1" applyAlignment="1">
      <alignment horizontal="left"/>
    </xf>
    <xf numFmtId="0" fontId="19" fillId="0" borderId="0" xfId="13" applyFont="1" applyAlignment="1">
      <alignment horizontal="right"/>
    </xf>
    <xf numFmtId="49" fontId="20" fillId="0" borderId="20" xfId="13" applyNumberFormat="1" applyFont="1" applyFill="1" applyBorder="1" applyAlignment="1" applyProtection="1"/>
    <xf numFmtId="3" fontId="19" fillId="14" borderId="15" xfId="13" applyNumberFormat="1" applyFont="1" applyFill="1" applyBorder="1" applyAlignment="1" applyProtection="1"/>
    <xf numFmtId="3" fontId="19" fillId="14" borderId="16" xfId="13" applyNumberFormat="1" applyFont="1" applyFill="1" applyBorder="1" applyAlignment="1" applyProtection="1"/>
    <xf numFmtId="3" fontId="19" fillId="14" borderId="15" xfId="13" applyNumberFormat="1" applyFont="1" applyFill="1" applyBorder="1"/>
    <xf numFmtId="0" fontId="21" fillId="0" borderId="0" xfId="13" applyFont="1"/>
    <xf numFmtId="3" fontId="21" fillId="14" borderId="15" xfId="13" applyNumberFormat="1" applyFont="1" applyFill="1" applyBorder="1" applyAlignment="1" applyProtection="1"/>
    <xf numFmtId="3" fontId="21" fillId="14" borderId="16" xfId="13" applyNumberFormat="1" applyFont="1" applyFill="1" applyBorder="1" applyAlignment="1" applyProtection="1"/>
    <xf numFmtId="3" fontId="21" fillId="14" borderId="15" xfId="13" applyNumberFormat="1" applyFont="1" applyFill="1" applyBorder="1"/>
    <xf numFmtId="0" fontId="1" fillId="0" borderId="0" xfId="13" applyFont="1" applyAlignment="1"/>
    <xf numFmtId="0" fontId="27" fillId="0" borderId="0" xfId="13" applyFont="1"/>
    <xf numFmtId="0" fontId="5" fillId="15" borderId="0" xfId="13" applyFont="1" applyFill="1"/>
    <xf numFmtId="0" fontId="2" fillId="0" borderId="0" xfId="13" applyFont="1" applyFill="1" applyAlignment="1">
      <alignment horizontal="left"/>
    </xf>
    <xf numFmtId="0" fontId="5" fillId="15" borderId="0" xfId="13" applyFont="1" applyFill="1" applyAlignment="1">
      <alignment horizontal="left"/>
    </xf>
    <xf numFmtId="0" fontId="5" fillId="15" borderId="0" xfId="13" applyFont="1" applyFill="1" applyAlignment="1">
      <alignment horizontal="center"/>
    </xf>
    <xf numFmtId="49" fontId="23" fillId="15" borderId="21" xfId="13" applyNumberFormat="1" applyFont="1" applyFill="1" applyBorder="1" applyAlignment="1" applyProtection="1"/>
    <xf numFmtId="3" fontId="22" fillId="16" borderId="15" xfId="13" applyNumberFormat="1" applyFont="1" applyFill="1" applyBorder="1" applyAlignment="1" applyProtection="1"/>
    <xf numFmtId="3" fontId="22" fillId="16" borderId="15" xfId="13" applyNumberFormat="1" applyFont="1" applyFill="1" applyBorder="1"/>
    <xf numFmtId="0" fontId="2" fillId="15" borderId="15" xfId="13" applyNumberFormat="1" applyFont="1" applyFill="1" applyBorder="1" applyAlignment="1" applyProtection="1">
      <alignment horizontal="center"/>
    </xf>
    <xf numFmtId="0" fontId="2" fillId="15" borderId="16" xfId="13" applyNumberFormat="1" applyFont="1" applyFill="1" applyBorder="1" applyAlignment="1" applyProtection="1">
      <alignment horizontal="center"/>
    </xf>
    <xf numFmtId="0" fontId="2" fillId="15" borderId="15" xfId="13" applyNumberFormat="1" applyFont="1" applyFill="1" applyBorder="1" applyAlignment="1">
      <alignment horizontal="center"/>
    </xf>
    <xf numFmtId="0" fontId="16" fillId="0" borderId="0" xfId="13"/>
    <xf numFmtId="0" fontId="1" fillId="0" borderId="0" xfId="13" applyFont="1" applyFill="1" applyAlignment="1">
      <alignment horizontal="center"/>
    </xf>
    <xf numFmtId="0" fontId="1" fillId="15" borderId="0" xfId="13" applyFont="1" applyFill="1"/>
    <xf numFmtId="0" fontId="1" fillId="15" borderId="0" xfId="13" applyFont="1" applyFill="1" applyAlignment="1">
      <alignment horizontal="left"/>
    </xf>
    <xf numFmtId="0" fontId="1" fillId="15" borderId="0" xfId="13" applyFont="1" applyFill="1" applyAlignment="1">
      <alignment horizontal="center"/>
    </xf>
    <xf numFmtId="49" fontId="2" fillId="0" borderId="0" xfId="13" applyNumberFormat="1" applyFont="1" applyFill="1" applyBorder="1" applyAlignment="1" applyProtection="1"/>
    <xf numFmtId="1" fontId="17" fillId="0" borderId="0" xfId="13" applyNumberFormat="1" applyFont="1"/>
    <xf numFmtId="4" fontId="1" fillId="14" borderId="15" xfId="13" applyNumberFormat="1" applyFont="1" applyFill="1" applyBorder="1" applyAlignment="1" applyProtection="1"/>
    <xf numFmtId="4" fontId="1" fillId="14" borderId="15" xfId="13" applyNumberFormat="1" applyFont="1" applyFill="1" applyBorder="1"/>
    <xf numFmtId="9" fontId="1" fillId="14" borderId="15" xfId="13" applyNumberFormat="1" applyFont="1" applyFill="1" applyBorder="1" applyAlignment="1" applyProtection="1"/>
    <xf numFmtId="9" fontId="1" fillId="14" borderId="15" xfId="14" applyFont="1" applyFill="1" applyBorder="1" applyAlignment="1" applyProtection="1"/>
    <xf numFmtId="49" fontId="1" fillId="0" borderId="0" xfId="13" applyNumberFormat="1" applyFont="1" applyFill="1" applyBorder="1" applyAlignment="1" applyProtection="1"/>
    <xf numFmtId="0" fontId="2" fillId="0" borderId="0" xfId="13" applyFont="1"/>
    <xf numFmtId="0" fontId="2" fillId="0" borderId="0" xfId="13" applyFont="1" applyAlignment="1">
      <alignment horizontal="center"/>
    </xf>
    <xf numFmtId="1" fontId="2" fillId="0" borderId="0" xfId="13" applyNumberFormat="1" applyFont="1" applyAlignment="1">
      <alignment vertical="center"/>
    </xf>
    <xf numFmtId="0" fontId="1" fillId="0" borderId="0" xfId="13" applyFont="1" applyAlignment="1">
      <alignment horizontal="left" vertical="center" wrapText="1"/>
    </xf>
    <xf numFmtId="0" fontId="1" fillId="0" borderId="0" xfId="13" applyFont="1" applyAlignment="1">
      <alignment wrapText="1"/>
    </xf>
    <xf numFmtId="49" fontId="2" fillId="0" borderId="20" xfId="13" applyNumberFormat="1" applyFont="1" applyFill="1" applyBorder="1" applyAlignment="1" applyProtection="1">
      <alignment vertical="center"/>
    </xf>
    <xf numFmtId="49" fontId="2" fillId="0" borderId="21" xfId="13" applyNumberFormat="1" applyFont="1" applyFill="1" applyBorder="1" applyAlignment="1" applyProtection="1"/>
    <xf numFmtId="49" fontId="23" fillId="15" borderId="15" xfId="13" applyNumberFormat="1" applyFont="1" applyFill="1" applyBorder="1"/>
    <xf numFmtId="3" fontId="17" fillId="17" borderId="15" xfId="13" applyNumberFormat="1" applyFont="1" applyFill="1" applyBorder="1"/>
    <xf numFmtId="49" fontId="1" fillId="0" borderId="0" xfId="13" applyNumberFormat="1" applyFont="1" applyFill="1"/>
    <xf numFmtId="1" fontId="52" fillId="0" borderId="0" xfId="13" applyNumberFormat="1" applyFont="1"/>
    <xf numFmtId="49" fontId="2" fillId="15" borderId="15" xfId="13" applyNumberFormat="1" applyFont="1" applyFill="1" applyBorder="1"/>
    <xf numFmtId="49" fontId="1" fillId="0" borderId="15" xfId="13" applyNumberFormat="1" applyFont="1" applyFill="1" applyBorder="1"/>
    <xf numFmtId="3" fontId="17" fillId="0" borderId="15" xfId="13" applyNumberFormat="1" applyFont="1" applyBorder="1"/>
    <xf numFmtId="49" fontId="1" fillId="0" borderId="15" xfId="13" applyNumberFormat="1" applyFont="1" applyFill="1" applyBorder="1" applyAlignment="1">
      <alignment horizontal="right"/>
    </xf>
    <xf numFmtId="0" fontId="2" fillId="0" borderId="0" xfId="13" applyFont="1" applyAlignment="1">
      <alignment horizontal="left"/>
    </xf>
    <xf numFmtId="49" fontId="2" fillId="0" borderId="15" xfId="13" applyNumberFormat="1" applyFont="1" applyFill="1" applyBorder="1"/>
    <xf numFmtId="3" fontId="18" fillId="17" borderId="15" xfId="13" applyNumberFormat="1" applyFont="1" applyFill="1" applyBorder="1"/>
    <xf numFmtId="3" fontId="18" fillId="0" borderId="15" xfId="13" applyNumberFormat="1" applyFont="1" applyBorder="1"/>
    <xf numFmtId="1" fontId="18" fillId="0" borderId="0" xfId="13" applyNumberFormat="1" applyFont="1"/>
    <xf numFmtId="49" fontId="2" fillId="0" borderId="19" xfId="13" applyNumberFormat="1" applyFont="1" applyFill="1" applyBorder="1"/>
    <xf numFmtId="3" fontId="2" fillId="16" borderId="15" xfId="13" applyNumberFormat="1" applyFont="1" applyFill="1" applyBorder="1"/>
    <xf numFmtId="3" fontId="1" fillId="16" borderId="18" xfId="13" applyNumberFormat="1" applyFont="1" applyFill="1" applyBorder="1"/>
    <xf numFmtId="9" fontId="1" fillId="17" borderId="15" xfId="13" applyNumberFormat="1" applyFont="1" applyFill="1" applyBorder="1" applyAlignment="1">
      <alignment horizontal="center"/>
    </xf>
    <xf numFmtId="49" fontId="2" fillId="0" borderId="21" xfId="13" applyNumberFormat="1" applyFont="1" applyFill="1" applyBorder="1"/>
    <xf numFmtId="9" fontId="1" fillId="16" borderId="18" xfId="14" applyNumberFormat="1" applyFont="1" applyFill="1" applyBorder="1" applyAlignment="1" applyProtection="1">
      <alignment horizontal="center"/>
    </xf>
    <xf numFmtId="9" fontId="1" fillId="16" borderId="15" xfId="14" applyFont="1" applyFill="1" applyBorder="1" applyAlignment="1" applyProtection="1">
      <alignment horizontal="center"/>
    </xf>
    <xf numFmtId="9" fontId="1" fillId="16" borderId="15" xfId="13" applyNumberFormat="1" applyFont="1" applyFill="1" applyBorder="1" applyAlignment="1">
      <alignment horizontal="center"/>
    </xf>
    <xf numFmtId="49" fontId="2" fillId="0" borderId="20" xfId="13" applyNumberFormat="1" applyFont="1" applyFill="1" applyBorder="1"/>
    <xf numFmtId="164" fontId="1" fillId="16" borderId="15" xfId="13" applyNumberFormat="1" applyFont="1" applyFill="1" applyBorder="1" applyAlignment="1">
      <alignment horizontal="center"/>
    </xf>
    <xf numFmtId="165" fontId="1" fillId="16" borderId="18" xfId="14" applyNumberFormat="1" applyFont="1" applyFill="1" applyBorder="1" applyAlignment="1" applyProtection="1">
      <alignment horizontal="center"/>
    </xf>
    <xf numFmtId="165" fontId="1" fillId="16" borderId="15" xfId="14" applyNumberFormat="1" applyFont="1" applyFill="1" applyBorder="1" applyAlignment="1" applyProtection="1">
      <alignment horizontal="center"/>
    </xf>
    <xf numFmtId="0" fontId="2" fillId="0" borderId="0" xfId="13" applyFont="1" applyAlignment="1">
      <alignment horizontal="right"/>
    </xf>
    <xf numFmtId="0" fontId="2" fillId="18" borderId="15" xfId="13" applyFont="1" applyFill="1" applyBorder="1" applyAlignment="1">
      <alignment horizontal="center"/>
    </xf>
    <xf numFmtId="9" fontId="1" fillId="16" borderId="18" xfId="14" applyFont="1" applyFill="1" applyBorder="1" applyAlignment="1" applyProtection="1">
      <alignment horizontal="center"/>
    </xf>
    <xf numFmtId="0" fontId="1" fillId="17" borderId="15" xfId="13" applyFont="1" applyFill="1" applyBorder="1" applyAlignment="1">
      <alignment horizontal="center"/>
    </xf>
    <xf numFmtId="164" fontId="1" fillId="16" borderId="18" xfId="13" applyNumberFormat="1" applyFont="1" applyFill="1" applyBorder="1" applyAlignment="1">
      <alignment horizontal="center"/>
    </xf>
    <xf numFmtId="166" fontId="1" fillId="0" borderId="0" xfId="13" applyNumberFormat="1" applyFont="1"/>
    <xf numFmtId="0" fontId="1" fillId="0" borderId="0" xfId="13" applyFont="1" applyBorder="1" applyAlignment="1">
      <alignment horizontal="left" vertical="center" wrapText="1"/>
    </xf>
    <xf numFmtId="9" fontId="1" fillId="16" borderId="15" xfId="14" applyNumberFormat="1" applyFont="1" applyFill="1" applyBorder="1" applyAlignment="1" applyProtection="1">
      <alignment horizontal="center"/>
    </xf>
    <xf numFmtId="1" fontId="18" fillId="0" borderId="0" xfId="13" applyNumberFormat="1" applyFont="1" applyAlignment="1">
      <alignment horizontal="left"/>
    </xf>
    <xf numFmtId="1" fontId="18" fillId="0" borderId="0" xfId="13" applyNumberFormat="1" applyFont="1" applyAlignment="1">
      <alignment horizontal="center"/>
    </xf>
    <xf numFmtId="1" fontId="17" fillId="0" borderId="0" xfId="13" applyNumberFormat="1" applyFont="1" applyAlignment="1">
      <alignment horizontal="left"/>
    </xf>
    <xf numFmtId="1" fontId="2" fillId="0" borderId="0" xfId="13" applyNumberFormat="1" applyFont="1" applyAlignment="1">
      <alignment horizontal="left"/>
    </xf>
    <xf numFmtId="9" fontId="1" fillId="0" borderId="15" xfId="13" applyNumberFormat="1" applyFont="1" applyBorder="1" applyAlignment="1">
      <alignment horizontal="center"/>
    </xf>
    <xf numFmtId="1" fontId="17" fillId="0" borderId="15" xfId="13" applyNumberFormat="1" applyFont="1" applyBorder="1" applyAlignment="1">
      <alignment horizontal="center"/>
    </xf>
    <xf numFmtId="49" fontId="2" fillId="0" borderId="0" xfId="13" applyNumberFormat="1" applyFont="1" applyFill="1" applyBorder="1"/>
    <xf numFmtId="49" fontId="2" fillId="0" borderId="0" xfId="13" applyNumberFormat="1" applyFont="1" applyFill="1"/>
    <xf numFmtId="1" fontId="9" fillId="0" borderId="10" xfId="0" applyNumberFormat="1" applyFont="1" applyBorder="1"/>
    <xf numFmtId="1" fontId="9" fillId="0" borderId="14" xfId="0" applyNumberFormat="1" applyFont="1" applyBorder="1"/>
    <xf numFmtId="1" fontId="9" fillId="0" borderId="11" xfId="0" applyNumberFormat="1" applyFont="1" applyBorder="1"/>
    <xf numFmtId="1" fontId="8" fillId="2" borderId="9" xfId="0" applyNumberFormat="1" applyFont="1" applyFill="1" applyBorder="1"/>
    <xf numFmtId="14" fontId="2" fillId="3" borderId="9" xfId="0" applyNumberFormat="1" applyFont="1" applyFill="1" applyBorder="1" applyAlignment="1">
      <alignment horizontal="center"/>
    </xf>
    <xf numFmtId="14" fontId="2" fillId="6" borderId="10" xfId="0" applyNumberFormat="1" applyFont="1" applyFill="1" applyBorder="1" applyAlignment="1">
      <alignment horizontal="center"/>
    </xf>
    <xf numFmtId="14" fontId="9" fillId="6" borderId="9" xfId="0" applyNumberFormat="1" applyFont="1" applyFill="1" applyBorder="1"/>
    <xf numFmtId="3" fontId="1" fillId="4" borderId="10" xfId="0" applyNumberFormat="1" applyFont="1" applyFill="1" applyBorder="1"/>
    <xf numFmtId="3" fontId="1" fillId="2" borderId="10" xfId="0" applyNumberFormat="1" applyFont="1" applyFill="1" applyBorder="1"/>
    <xf numFmtId="49" fontId="53" fillId="0" borderId="13" xfId="0" applyNumberFormat="1" applyFont="1" applyFill="1" applyBorder="1"/>
    <xf numFmtId="3" fontId="10" fillId="2" borderId="10" xfId="0" applyNumberFormat="1" applyFont="1" applyFill="1" applyBorder="1"/>
    <xf numFmtId="1" fontId="10" fillId="0" borderId="0" xfId="0" applyNumberFormat="1" applyFont="1"/>
    <xf numFmtId="1" fontId="11" fillId="0" borderId="0" xfId="0" applyNumberFormat="1" applyFont="1"/>
    <xf numFmtId="49" fontId="13" fillId="3" borderId="1" xfId="0" applyNumberFormat="1" applyFont="1" applyFill="1" applyBorder="1"/>
    <xf numFmtId="3" fontId="14" fillId="4" borderId="10" xfId="0" applyNumberFormat="1" applyFont="1" applyFill="1" applyBorder="1"/>
    <xf numFmtId="1" fontId="54" fillId="0" borderId="0" xfId="0" applyNumberFormat="1" applyFont="1"/>
    <xf numFmtId="0" fontId="2" fillId="3" borderId="10" xfId="0" applyNumberFormat="1" applyFont="1" applyFill="1" applyBorder="1" applyAlignment="1">
      <alignment horizontal="center"/>
    </xf>
    <xf numFmtId="1" fontId="9" fillId="6" borderId="9" xfId="0" applyNumberFormat="1" applyFont="1" applyFill="1" applyBorder="1"/>
    <xf numFmtId="1" fontId="8" fillId="0" borderId="9" xfId="0" applyNumberFormat="1" applyFont="1" applyBorder="1"/>
    <xf numFmtId="9" fontId="1" fillId="2" borderId="10" xfId="1" applyFont="1" applyFill="1" applyBorder="1"/>
    <xf numFmtId="9" fontId="1" fillId="4" borderId="10" xfId="1" applyFont="1" applyFill="1" applyBorder="1" applyAlignment="1">
      <alignment horizontal="center"/>
    </xf>
    <xf numFmtId="164" fontId="1" fillId="4" borderId="10" xfId="0" applyNumberFormat="1" applyFont="1" applyFill="1" applyBorder="1" applyAlignment="1">
      <alignment horizontal="center"/>
    </xf>
    <xf numFmtId="3" fontId="1" fillId="4" borderId="14" xfId="0" applyNumberFormat="1" applyFont="1" applyFill="1" applyBorder="1"/>
    <xf numFmtId="165" fontId="1" fillId="4" borderId="10" xfId="1" applyNumberFormat="1" applyFont="1" applyFill="1" applyBorder="1" applyAlignment="1">
      <alignment horizontal="center"/>
    </xf>
    <xf numFmtId="49" fontId="2" fillId="3" borderId="13" xfId="0" applyNumberFormat="1" applyFont="1" applyFill="1" applyBorder="1"/>
    <xf numFmtId="164" fontId="1" fillId="19" borderId="11" xfId="0" applyNumberFormat="1" applyFont="1" applyFill="1" applyBorder="1" applyAlignment="1">
      <alignment horizontal="center"/>
    </xf>
    <xf numFmtId="164" fontId="1" fillId="4" borderId="14" xfId="0" applyNumberFormat="1" applyFont="1" applyFill="1" applyBorder="1" applyAlignment="1">
      <alignment horizontal="center"/>
    </xf>
    <xf numFmtId="9" fontId="1" fillId="4" borderId="14" xfId="1" applyFont="1" applyFill="1" applyBorder="1" applyAlignment="1">
      <alignment horizontal="center"/>
    </xf>
    <xf numFmtId="49" fontId="2" fillId="3" borderId="1" xfId="0" applyNumberFormat="1" applyFont="1" applyFill="1" applyBorder="1"/>
    <xf numFmtId="9" fontId="1" fillId="4" borderId="10" xfId="1" applyNumberFormat="1" applyFont="1" applyFill="1" applyBorder="1" applyAlignment="1">
      <alignment horizontal="center"/>
    </xf>
    <xf numFmtId="0" fontId="1" fillId="0" borderId="9" xfId="0" applyFont="1" applyBorder="1"/>
    <xf numFmtId="3" fontId="8" fillId="0" borderId="10" xfId="0" applyNumberFormat="1" applyFont="1" applyBorder="1"/>
    <xf numFmtId="49" fontId="18" fillId="0" borderId="7" xfId="0" applyNumberFormat="1" applyFont="1" applyFill="1" applyBorder="1" applyAlignment="1" applyProtection="1"/>
    <xf numFmtId="3" fontId="17" fillId="2" borderId="2" xfId="0" applyNumberFormat="1" applyFont="1" applyFill="1" applyBorder="1" applyAlignment="1" applyProtection="1"/>
    <xf numFmtId="3" fontId="2" fillId="2" borderId="2" xfId="0" applyNumberFormat="1" applyFont="1" applyFill="1" applyBorder="1" applyAlignment="1" applyProtection="1"/>
    <xf numFmtId="3" fontId="1" fillId="20" borderId="9" xfId="0" applyNumberFormat="1" applyFont="1" applyFill="1" applyBorder="1"/>
    <xf numFmtId="49" fontId="2" fillId="0" borderId="10" xfId="13" quotePrefix="1" applyNumberFormat="1" applyFont="1" applyFill="1" applyBorder="1"/>
    <xf numFmtId="1" fontId="18" fillId="0" borderId="14" xfId="13" applyNumberFormat="1" applyFont="1" applyBorder="1"/>
    <xf numFmtId="1" fontId="17" fillId="0" borderId="10" xfId="13" applyNumberFormat="1" applyFont="1" applyBorder="1"/>
    <xf numFmtId="1" fontId="18" fillId="0" borderId="10" xfId="13" applyNumberFormat="1" applyFont="1" applyBorder="1" applyAlignment="1">
      <alignment horizontal="right"/>
    </xf>
    <xf numFmtId="0" fontId="16" fillId="0" borderId="11" xfId="13" applyBorder="1" applyAlignment="1"/>
    <xf numFmtId="49" fontId="2" fillId="10" borderId="9" xfId="13" applyNumberFormat="1" applyFont="1" applyFill="1" applyBorder="1"/>
    <xf numFmtId="14" fontId="2" fillId="10" borderId="1" xfId="13" applyNumberFormat="1" applyFont="1" applyFill="1" applyBorder="1" applyAlignment="1">
      <alignment horizontal="center"/>
    </xf>
    <xf numFmtId="14" fontId="2" fillId="10" borderId="9" xfId="13" applyNumberFormat="1" applyFont="1" applyFill="1" applyBorder="1" applyAlignment="1">
      <alignment horizontal="center"/>
    </xf>
    <xf numFmtId="49" fontId="2" fillId="0" borderId="12" xfId="13" applyNumberFormat="1" applyFont="1" applyFill="1" applyBorder="1"/>
    <xf numFmtId="3" fontId="1" fillId="11" borderId="9" xfId="13" applyNumberFormat="1" applyFont="1" applyFill="1" applyBorder="1"/>
    <xf numFmtId="49" fontId="2" fillId="0" borderId="13" xfId="13" applyNumberFormat="1" applyFont="1" applyFill="1" applyBorder="1"/>
    <xf numFmtId="0" fontId="4" fillId="0" borderId="0" xfId="13" quotePrefix="1" applyFont="1" applyAlignment="1">
      <alignment horizontal="center"/>
    </xf>
    <xf numFmtId="3" fontId="1" fillId="9" borderId="9" xfId="13" applyNumberFormat="1" applyFont="1" applyFill="1" applyBorder="1"/>
    <xf numFmtId="49" fontId="20" fillId="0" borderId="13" xfId="13" applyNumberFormat="1" applyFont="1" applyFill="1" applyBorder="1"/>
    <xf numFmtId="3" fontId="19" fillId="9" borderId="9" xfId="13" applyNumberFormat="1" applyFont="1" applyFill="1" applyBorder="1"/>
    <xf numFmtId="1" fontId="19" fillId="0" borderId="0" xfId="13" applyNumberFormat="1" applyFont="1"/>
    <xf numFmtId="3" fontId="21" fillId="9" borderId="9" xfId="13" applyNumberFormat="1" applyFont="1" applyFill="1" applyBorder="1"/>
    <xf numFmtId="1" fontId="21" fillId="0" borderId="0" xfId="13" applyNumberFormat="1" applyFont="1"/>
    <xf numFmtId="0" fontId="5" fillId="10" borderId="0" xfId="13" applyFont="1" applyFill="1"/>
    <xf numFmtId="0" fontId="5" fillId="10" borderId="0" xfId="13" applyFont="1" applyFill="1" applyAlignment="1">
      <alignment horizontal="left"/>
    </xf>
    <xf numFmtId="0" fontId="5" fillId="10" borderId="0" xfId="13" applyFont="1" applyFill="1" applyAlignment="1">
      <alignment horizontal="center"/>
    </xf>
    <xf numFmtId="49" fontId="23" fillId="10" borderId="1" xfId="13" applyNumberFormat="1" applyFont="1" applyFill="1" applyBorder="1"/>
    <xf numFmtId="3" fontId="22" fillId="11" borderId="9" xfId="13" applyNumberFormat="1" applyFont="1" applyFill="1" applyBorder="1"/>
    <xf numFmtId="1" fontId="28" fillId="0" borderId="0" xfId="13" applyNumberFormat="1" applyFont="1"/>
    <xf numFmtId="0" fontId="2" fillId="10" borderId="9" xfId="13" applyNumberFormat="1" applyFont="1" applyFill="1" applyBorder="1" applyAlignment="1">
      <alignment horizontal="center"/>
    </xf>
    <xf numFmtId="0" fontId="1" fillId="10" borderId="0" xfId="13" applyFont="1" applyFill="1"/>
    <xf numFmtId="0" fontId="1" fillId="10" borderId="0" xfId="13" applyFont="1" applyFill="1" applyAlignment="1">
      <alignment horizontal="left"/>
    </xf>
    <xf numFmtId="0" fontId="1" fillId="10" borderId="0" xfId="13" applyFont="1" applyFill="1" applyAlignment="1">
      <alignment horizontal="center"/>
    </xf>
    <xf numFmtId="0" fontId="1" fillId="0" borderId="0" xfId="13" quotePrefix="1" applyFont="1" applyAlignment="1">
      <alignment horizontal="left" vertical="center" wrapText="1"/>
    </xf>
    <xf numFmtId="49" fontId="2" fillId="0" borderId="13" xfId="13" applyNumberFormat="1" applyFont="1" applyFill="1" applyBorder="1" applyAlignment="1">
      <alignment vertical="center"/>
    </xf>
    <xf numFmtId="0" fontId="1" fillId="0" borderId="0" xfId="13" quotePrefix="1" applyFont="1"/>
    <xf numFmtId="0" fontId="1" fillId="0" borderId="0" xfId="13" quotePrefix="1" applyFont="1" applyAlignment="1"/>
    <xf numFmtId="49" fontId="2" fillId="0" borderId="9" xfId="13" applyNumberFormat="1" applyFont="1" applyFill="1" applyBorder="1"/>
    <xf numFmtId="0" fontId="1" fillId="0" borderId="0" xfId="13" quotePrefix="1" applyFont="1" applyAlignment="1">
      <alignment horizontal="left"/>
    </xf>
    <xf numFmtId="49" fontId="2" fillId="0" borderId="1" xfId="13" applyNumberFormat="1" applyFont="1" applyFill="1" applyBorder="1"/>
    <xf numFmtId="9" fontId="1" fillId="11" borderId="9" xfId="13" applyNumberFormat="1" applyFont="1" applyFill="1" applyBorder="1" applyAlignment="1">
      <alignment horizontal="center"/>
    </xf>
    <xf numFmtId="3" fontId="1" fillId="11" borderId="11" xfId="13" applyNumberFormat="1" applyFont="1" applyFill="1" applyBorder="1"/>
    <xf numFmtId="9" fontId="1" fillId="12" borderId="9" xfId="13" applyNumberFormat="1" applyFont="1" applyFill="1" applyBorder="1" applyAlignment="1">
      <alignment horizontal="center"/>
    </xf>
    <xf numFmtId="164" fontId="1" fillId="11" borderId="9" xfId="13" applyNumberFormat="1" applyFont="1" applyFill="1" applyBorder="1" applyAlignment="1">
      <alignment horizontal="center"/>
    </xf>
    <xf numFmtId="49" fontId="2" fillId="10" borderId="13" xfId="13" applyNumberFormat="1" applyFont="1" applyFill="1" applyBorder="1"/>
    <xf numFmtId="0" fontId="1" fillId="12" borderId="9" xfId="13" applyFont="1" applyFill="1" applyBorder="1" applyAlignment="1">
      <alignment horizontal="center"/>
    </xf>
    <xf numFmtId="164" fontId="1" fillId="11" borderId="11" xfId="13" applyNumberFormat="1" applyFont="1" applyFill="1" applyBorder="1" applyAlignment="1">
      <alignment horizontal="center"/>
    </xf>
    <xf numFmtId="14" fontId="1" fillId="0" borderId="0" xfId="13" quotePrefix="1" applyNumberFormat="1" applyFont="1"/>
    <xf numFmtId="49" fontId="2" fillId="10" borderId="1" xfId="13" applyNumberFormat="1" applyFont="1" applyFill="1" applyBorder="1"/>
    <xf numFmtId="9" fontId="1" fillId="0" borderId="9" xfId="13" applyNumberFormat="1" applyFont="1" applyBorder="1" applyAlignment="1">
      <alignment horizontal="center"/>
    </xf>
    <xf numFmtId="1" fontId="17" fillId="0" borderId="9" xfId="13" applyNumberFormat="1" applyFont="1" applyBorder="1" applyAlignment="1">
      <alignment horizontal="center"/>
    </xf>
    <xf numFmtId="49" fontId="1" fillId="0" borderId="9" xfId="13" applyNumberFormat="1" applyFont="1" applyFill="1" applyBorder="1"/>
    <xf numFmtId="3" fontId="17" fillId="0" borderId="9" xfId="13" applyNumberFormat="1" applyFont="1" applyBorder="1"/>
    <xf numFmtId="1" fontId="18" fillId="0" borderId="10" xfId="13" applyNumberFormat="1" applyFont="1" applyFill="1" applyBorder="1"/>
    <xf numFmtId="0" fontId="1" fillId="0" borderId="0" xfId="15" applyFont="1" applyBorder="1" applyAlignment="1">
      <alignment horizontal="center"/>
    </xf>
    <xf numFmtId="1" fontId="2" fillId="0" borderId="0" xfId="15" applyNumberFormat="1" applyFont="1"/>
    <xf numFmtId="0" fontId="1" fillId="0" borderId="0" xfId="15" applyFont="1" applyBorder="1" applyAlignment="1">
      <alignment horizontal="left"/>
    </xf>
    <xf numFmtId="1" fontId="17" fillId="0" borderId="0" xfId="15" applyNumberFormat="1" applyFont="1"/>
    <xf numFmtId="0" fontId="2" fillId="0" borderId="0" xfId="15" applyFont="1" applyBorder="1" applyAlignment="1">
      <alignment horizontal="center"/>
    </xf>
    <xf numFmtId="1" fontId="18" fillId="21" borderId="16" xfId="15" applyNumberFormat="1" applyFont="1" applyFill="1" applyBorder="1"/>
    <xf numFmtId="1" fontId="18" fillId="0" borderId="17" xfId="15" applyNumberFormat="1" applyFont="1" applyBorder="1"/>
    <xf numFmtId="1" fontId="17" fillId="0" borderId="16" xfId="15" applyNumberFormat="1" applyFont="1" applyBorder="1"/>
    <xf numFmtId="1" fontId="18" fillId="0" borderId="16" xfId="15" applyNumberFormat="1" applyFont="1" applyBorder="1" applyAlignment="1">
      <alignment horizontal="right"/>
    </xf>
    <xf numFmtId="0" fontId="57" fillId="0" borderId="23" xfId="15" applyBorder="1" applyAlignment="1">
      <alignment horizontal="left" wrapText="1"/>
    </xf>
    <xf numFmtId="1" fontId="3" fillId="0" borderId="0" xfId="15" applyNumberFormat="1" applyFont="1"/>
    <xf numFmtId="49" fontId="2" fillId="15" borderId="15" xfId="15" applyNumberFormat="1" applyFont="1" applyFill="1" applyBorder="1"/>
    <xf numFmtId="167" fontId="2" fillId="15" borderId="21" xfId="15" applyNumberFormat="1" applyFont="1" applyFill="1" applyBorder="1" applyAlignment="1">
      <alignment horizontal="center"/>
    </xf>
    <xf numFmtId="167" fontId="2" fillId="15" borderId="15" xfId="15" applyNumberFormat="1" applyFont="1" applyFill="1" applyBorder="1" applyAlignment="1">
      <alignment horizontal="center"/>
    </xf>
    <xf numFmtId="0" fontId="1" fillId="0" borderId="0" xfId="15" applyFont="1" applyBorder="1"/>
    <xf numFmtId="49" fontId="2" fillId="0" borderId="19" xfId="15" applyNumberFormat="1" applyFont="1" applyFill="1" applyBorder="1"/>
    <xf numFmtId="3" fontId="1" fillId="16" borderId="15" xfId="15" applyNumberFormat="1" applyFont="1" applyFill="1" applyBorder="1"/>
    <xf numFmtId="0" fontId="1" fillId="0" borderId="0" xfId="15" applyFont="1"/>
    <xf numFmtId="0" fontId="1" fillId="0" borderId="0" xfId="15" applyFont="1" applyAlignment="1">
      <alignment horizontal="center"/>
    </xf>
    <xf numFmtId="49" fontId="2" fillId="0" borderId="20" xfId="15" applyNumberFormat="1" applyFont="1" applyFill="1" applyBorder="1"/>
    <xf numFmtId="0" fontId="1" fillId="0" borderId="0" xfId="15" applyFont="1" applyAlignment="1">
      <alignment horizontal="left"/>
    </xf>
    <xf numFmtId="0" fontId="4" fillId="0" borderId="0" xfId="15" applyFont="1" applyAlignment="1">
      <alignment horizontal="center"/>
    </xf>
    <xf numFmtId="3" fontId="1" fillId="14" borderId="15" xfId="15" applyNumberFormat="1" applyFont="1" applyFill="1" applyBorder="1"/>
    <xf numFmtId="0" fontId="5" fillId="0" borderId="0" xfId="15" applyFont="1" applyAlignment="1">
      <alignment horizontal="center"/>
    </xf>
    <xf numFmtId="0" fontId="1" fillId="0" borderId="0" xfId="15" applyFont="1" applyFill="1"/>
    <xf numFmtId="0" fontId="1" fillId="0" borderId="0" xfId="15" applyFont="1" applyFill="1" applyAlignment="1">
      <alignment horizontal="left"/>
    </xf>
    <xf numFmtId="0" fontId="19" fillId="0" borderId="0" xfId="15" applyFont="1" applyAlignment="1">
      <alignment horizontal="left"/>
    </xf>
    <xf numFmtId="0" fontId="19" fillId="0" borderId="0" xfId="15" applyFont="1" applyAlignment="1">
      <alignment horizontal="right"/>
    </xf>
    <xf numFmtId="49" fontId="20" fillId="0" borderId="20" xfId="15" applyNumberFormat="1" applyFont="1" applyFill="1" applyBorder="1"/>
    <xf numFmtId="3" fontId="19" fillId="14" borderId="15" xfId="15" applyNumberFormat="1" applyFont="1" applyFill="1" applyBorder="1"/>
    <xf numFmtId="1" fontId="19" fillId="0" borderId="0" xfId="15" applyNumberFormat="1" applyFont="1"/>
    <xf numFmtId="0" fontId="21" fillId="0" borderId="0" xfId="15" applyFont="1"/>
    <xf numFmtId="3" fontId="21" fillId="14" borderId="15" xfId="15" applyNumberFormat="1" applyFont="1" applyFill="1" applyBorder="1"/>
    <xf numFmtId="1" fontId="21" fillId="0" borderId="0" xfId="15" applyNumberFormat="1" applyFont="1"/>
    <xf numFmtId="0" fontId="1" fillId="0" borderId="0" xfId="15" applyFont="1" applyAlignment="1"/>
    <xf numFmtId="0" fontId="27" fillId="0" borderId="0" xfId="15" applyFont="1"/>
    <xf numFmtId="0" fontId="5" fillId="15" borderId="0" xfId="15" applyFont="1" applyFill="1"/>
    <xf numFmtId="0" fontId="5" fillId="15" borderId="0" xfId="15" applyFont="1" applyFill="1" applyAlignment="1">
      <alignment horizontal="left"/>
    </xf>
    <xf numFmtId="0" fontId="5" fillId="15" borderId="0" xfId="15" applyFont="1" applyFill="1" applyAlignment="1">
      <alignment horizontal="center"/>
    </xf>
    <xf numFmtId="49" fontId="23" fillId="15" borderId="21" xfId="15" applyNumberFormat="1" applyFont="1" applyFill="1" applyBorder="1"/>
    <xf numFmtId="3" fontId="22" fillId="16" borderId="15" xfId="15" applyNumberFormat="1" applyFont="1" applyFill="1" applyBorder="1"/>
    <xf numFmtId="1" fontId="28" fillId="0" borderId="0" xfId="15" applyNumberFormat="1" applyFont="1"/>
    <xf numFmtId="0" fontId="2" fillId="15" borderId="15" xfId="15" applyNumberFormat="1" applyFont="1" applyFill="1" applyBorder="1" applyAlignment="1">
      <alignment horizontal="center"/>
    </xf>
    <xf numFmtId="0" fontId="1" fillId="0" borderId="0" xfId="15" applyFont="1" applyFill="1" applyAlignment="1">
      <alignment horizontal="center"/>
    </xf>
    <xf numFmtId="0" fontId="1" fillId="15" borderId="0" xfId="15" applyFont="1" applyFill="1"/>
    <xf numFmtId="0" fontId="1" fillId="15" borderId="0" xfId="15" applyFont="1" applyFill="1" applyAlignment="1">
      <alignment horizontal="left"/>
    </xf>
    <xf numFmtId="0" fontId="1" fillId="15" borderId="0" xfId="15" applyFont="1" applyFill="1" applyAlignment="1">
      <alignment horizontal="center"/>
    </xf>
    <xf numFmtId="49" fontId="2" fillId="0" borderId="0" xfId="15" applyNumberFormat="1" applyFont="1" applyFill="1"/>
    <xf numFmtId="9" fontId="1" fillId="14" borderId="15" xfId="16" applyFont="1" applyFill="1" applyBorder="1" applyAlignment="1" applyProtection="1"/>
    <xf numFmtId="0" fontId="2" fillId="0" borderId="0" xfId="15" applyFont="1"/>
    <xf numFmtId="0" fontId="2" fillId="0" borderId="0" xfId="15" applyFont="1" applyAlignment="1">
      <alignment horizontal="center"/>
    </xf>
    <xf numFmtId="1" fontId="2" fillId="0" borderId="0" xfId="15" applyNumberFormat="1" applyFont="1" applyAlignment="1">
      <alignment vertical="center"/>
    </xf>
    <xf numFmtId="0" fontId="1" fillId="0" borderId="0" xfId="15" applyFont="1" applyAlignment="1">
      <alignment horizontal="left" vertical="center" wrapText="1"/>
    </xf>
    <xf numFmtId="0" fontId="1" fillId="0" borderId="0" xfId="15" applyFont="1" applyAlignment="1">
      <alignment wrapText="1"/>
    </xf>
    <xf numFmtId="49" fontId="2" fillId="0" borderId="20" xfId="15" applyNumberFormat="1" applyFont="1" applyFill="1" applyBorder="1" applyAlignment="1">
      <alignment vertical="center"/>
    </xf>
    <xf numFmtId="49" fontId="2" fillId="0" borderId="15" xfId="15" applyNumberFormat="1" applyFont="1" applyFill="1" applyBorder="1"/>
    <xf numFmtId="49" fontId="1" fillId="0" borderId="0" xfId="15" applyNumberFormat="1" applyFont="1" applyFill="1"/>
    <xf numFmtId="49" fontId="2" fillId="0" borderId="21" xfId="15" applyNumberFormat="1" applyFont="1" applyFill="1" applyBorder="1"/>
    <xf numFmtId="9" fontId="1" fillId="16" borderId="15" xfId="15" applyNumberFormat="1" applyFont="1" applyFill="1" applyBorder="1" applyAlignment="1">
      <alignment horizontal="center"/>
    </xf>
    <xf numFmtId="3" fontId="1" fillId="16" borderId="18" xfId="15" applyNumberFormat="1" applyFont="1" applyFill="1" applyBorder="1"/>
    <xf numFmtId="9" fontId="1" fillId="17" borderId="15" xfId="15" applyNumberFormat="1" applyFont="1" applyFill="1" applyBorder="1" applyAlignment="1">
      <alignment horizontal="center"/>
    </xf>
    <xf numFmtId="9" fontId="1" fillId="16" borderId="18" xfId="16" applyNumberFormat="1" applyFont="1" applyFill="1" applyBorder="1" applyAlignment="1" applyProtection="1">
      <alignment horizontal="center"/>
    </xf>
    <xf numFmtId="9" fontId="1" fillId="16" borderId="15" xfId="16" applyFont="1" applyFill="1" applyBorder="1" applyAlignment="1" applyProtection="1">
      <alignment horizontal="center"/>
    </xf>
    <xf numFmtId="164" fontId="1" fillId="16" borderId="15" xfId="15" applyNumberFormat="1" applyFont="1" applyFill="1" applyBorder="1" applyAlignment="1">
      <alignment horizontal="center"/>
    </xf>
    <xf numFmtId="165" fontId="1" fillId="16" borderId="18" xfId="16" applyNumberFormat="1" applyFont="1" applyFill="1" applyBorder="1" applyAlignment="1" applyProtection="1">
      <alignment horizontal="center"/>
    </xf>
    <xf numFmtId="165" fontId="1" fillId="16" borderId="15" xfId="16" applyNumberFormat="1" applyFont="1" applyFill="1" applyBorder="1" applyAlignment="1" applyProtection="1">
      <alignment horizontal="center"/>
    </xf>
    <xf numFmtId="49" fontId="2" fillId="15" borderId="20" xfId="15" applyNumberFormat="1" applyFont="1" applyFill="1" applyBorder="1"/>
    <xf numFmtId="0" fontId="2" fillId="0" borderId="0" xfId="15" applyFont="1" applyAlignment="1">
      <alignment horizontal="right"/>
    </xf>
    <xf numFmtId="9" fontId="1" fillId="16" borderId="18" xfId="16" applyFont="1" applyFill="1" applyBorder="1" applyAlignment="1" applyProtection="1">
      <alignment horizontal="center"/>
    </xf>
    <xf numFmtId="0" fontId="1" fillId="17" borderId="15" xfId="15" applyFont="1" applyFill="1" applyBorder="1" applyAlignment="1">
      <alignment horizontal="center"/>
    </xf>
    <xf numFmtId="164" fontId="1" fillId="16" borderId="18" xfId="15" applyNumberFormat="1" applyFont="1" applyFill="1" applyBorder="1" applyAlignment="1">
      <alignment horizontal="center"/>
    </xf>
    <xf numFmtId="167" fontId="1" fillId="0" borderId="0" xfId="15" applyNumberFormat="1" applyFont="1"/>
    <xf numFmtId="49" fontId="2" fillId="15" borderId="21" xfId="15" applyNumberFormat="1" applyFont="1" applyFill="1" applyBorder="1"/>
    <xf numFmtId="0" fontId="1" fillId="0" borderId="0" xfId="15" applyFont="1" applyBorder="1" applyAlignment="1">
      <alignment horizontal="left" vertical="center" wrapText="1"/>
    </xf>
    <xf numFmtId="9" fontId="1" fillId="16" borderId="15" xfId="16" applyNumberFormat="1" applyFont="1" applyFill="1" applyBorder="1" applyAlignment="1" applyProtection="1">
      <alignment horizontal="center"/>
    </xf>
    <xf numFmtId="1" fontId="18" fillId="0" borderId="0" xfId="15" applyNumberFormat="1" applyFont="1"/>
    <xf numFmtId="1" fontId="18" fillId="0" borderId="0" xfId="15" applyNumberFormat="1" applyFont="1" applyAlignment="1">
      <alignment horizontal="left"/>
    </xf>
    <xf numFmtId="1" fontId="18" fillId="0" borderId="0" xfId="15" applyNumberFormat="1" applyFont="1" applyAlignment="1">
      <alignment horizontal="center"/>
    </xf>
    <xf numFmtId="1" fontId="17" fillId="0" borderId="0" xfId="15" applyNumberFormat="1" applyFont="1" applyAlignment="1">
      <alignment horizontal="left"/>
    </xf>
    <xf numFmtId="9" fontId="1" fillId="0" borderId="15" xfId="15" applyNumberFormat="1" applyFont="1" applyBorder="1" applyAlignment="1">
      <alignment horizontal="center"/>
    </xf>
    <xf numFmtId="1" fontId="17" fillId="0" borderId="15" xfId="15" applyNumberFormat="1" applyFont="1" applyBorder="1" applyAlignment="1">
      <alignment horizontal="center"/>
    </xf>
    <xf numFmtId="49" fontId="1" fillId="0" borderId="15" xfId="15" applyNumberFormat="1" applyFont="1" applyFill="1" applyBorder="1"/>
    <xf numFmtId="3" fontId="17" fillId="0" borderId="15" xfId="15" applyNumberFormat="1" applyFont="1" applyBorder="1"/>
    <xf numFmtId="49" fontId="2" fillId="0" borderId="0" xfId="15" applyNumberFormat="1" applyFont="1" applyFill="1" applyBorder="1"/>
    <xf numFmtId="49" fontId="2" fillId="0" borderId="10" xfId="0" quotePrefix="1" applyNumberFormat="1" applyFont="1" applyFill="1" applyBorder="1"/>
    <xf numFmtId="1" fontId="9" fillId="22" borderId="10" xfId="0" applyNumberFormat="1" applyFont="1" applyFill="1" applyBorder="1"/>
    <xf numFmtId="1" fontId="8" fillId="0" borderId="10" xfId="0" applyNumberFormat="1" applyFont="1" applyBorder="1"/>
    <xf numFmtId="0" fontId="0" fillId="0" borderId="11" xfId="0" applyBorder="1" applyAlignment="1"/>
    <xf numFmtId="14" fontId="2" fillId="3" borderId="1" xfId="0" applyNumberFormat="1" applyFont="1" applyFill="1" applyBorder="1" applyAlignment="1">
      <alignment horizontal="center"/>
    </xf>
    <xf numFmtId="1" fontId="9" fillId="0" borderId="10" xfId="0" applyNumberFormat="1" applyFont="1" applyBorder="1" applyAlignment="1">
      <alignment horizontal="left"/>
    </xf>
    <xf numFmtId="14" fontId="2" fillId="3" borderId="8" xfId="0" applyNumberFormat="1" applyFont="1" applyFill="1" applyBorder="1" applyAlignment="1" applyProtection="1">
      <alignment horizontal="center"/>
    </xf>
    <xf numFmtId="1" fontId="18" fillId="0" borderId="16" xfId="13" applyNumberFormat="1" applyFont="1" applyBorder="1"/>
    <xf numFmtId="1" fontId="18" fillId="0" borderId="15" xfId="13" applyNumberFormat="1" applyFont="1" applyBorder="1" applyAlignment="1">
      <alignment horizontal="left"/>
    </xf>
    <xf numFmtId="49" fontId="2" fillId="0" borderId="16" xfId="13" applyNumberFormat="1" applyFont="1" applyFill="1" applyBorder="1"/>
    <xf numFmtId="3" fontId="1" fillId="14" borderId="15" xfId="13" applyNumberFormat="1" applyFont="1" applyFill="1" applyBorder="1" applyAlignment="1">
      <alignment horizontal="left"/>
    </xf>
    <xf numFmtId="167" fontId="2" fillId="15" borderId="15" xfId="13" applyNumberFormat="1" applyFont="1" applyFill="1" applyBorder="1" applyAlignment="1">
      <alignment horizontal="center"/>
    </xf>
    <xf numFmtId="1" fontId="17" fillId="14" borderId="0" xfId="13" applyNumberFormat="1" applyFont="1" applyFill="1"/>
    <xf numFmtId="49" fontId="20" fillId="0" borderId="20" xfId="13" applyNumberFormat="1" applyFont="1" applyFill="1" applyBorder="1"/>
    <xf numFmtId="49" fontId="23" fillId="15" borderId="21" xfId="13" applyNumberFormat="1" applyFont="1" applyFill="1" applyBorder="1"/>
    <xf numFmtId="0" fontId="2" fillId="15" borderId="15" xfId="13" applyNumberFormat="1" applyFont="1" applyFill="1" applyBorder="1" applyAlignment="1">
      <alignment horizontal="right"/>
    </xf>
    <xf numFmtId="1" fontId="17" fillId="14" borderId="24" xfId="13" applyNumberFormat="1" applyFont="1" applyFill="1" applyBorder="1"/>
    <xf numFmtId="3" fontId="1" fillId="14" borderId="24" xfId="13" applyNumberFormat="1" applyFont="1" applyFill="1" applyBorder="1"/>
    <xf numFmtId="3" fontId="1" fillId="16" borderId="24" xfId="13" applyNumberFormat="1" applyFont="1" applyFill="1" applyBorder="1"/>
    <xf numFmtId="3" fontId="22" fillId="16" borderId="24" xfId="13" applyNumberFormat="1" applyFont="1" applyFill="1" applyBorder="1"/>
    <xf numFmtId="49" fontId="2" fillId="0" borderId="20" xfId="13" applyNumberFormat="1" applyFont="1" applyFill="1" applyBorder="1" applyAlignment="1">
      <alignment vertical="center"/>
    </xf>
    <xf numFmtId="0" fontId="1" fillId="16" borderId="15" xfId="13" applyFont="1" applyFill="1" applyBorder="1" applyAlignment="1" applyProtection="1">
      <alignment horizontal="center"/>
    </xf>
    <xf numFmtId="165" fontId="1" fillId="16" borderId="15" xfId="13" applyNumberFormat="1" applyFont="1" applyFill="1" applyBorder="1" applyAlignment="1" applyProtection="1">
      <alignment horizontal="center"/>
    </xf>
    <xf numFmtId="49" fontId="2" fillId="15" borderId="20" xfId="13" applyNumberFormat="1" applyFont="1" applyFill="1" applyBorder="1"/>
    <xf numFmtId="167" fontId="1" fillId="0" borderId="0" xfId="13" applyNumberFormat="1" applyFont="1"/>
    <xf numFmtId="0" fontId="1" fillId="16" borderId="18" xfId="13" applyFont="1" applyFill="1" applyBorder="1" applyAlignment="1" applyProtection="1">
      <alignment horizontal="center"/>
    </xf>
    <xf numFmtId="49" fontId="2" fillId="15" borderId="21" xfId="13" applyNumberFormat="1" applyFont="1" applyFill="1" applyBorder="1"/>
    <xf numFmtId="9" fontId="1" fillId="16" borderId="15" xfId="13" applyNumberFormat="1" applyFont="1" applyFill="1" applyBorder="1" applyAlignment="1" applyProtection="1">
      <alignment horizontal="center"/>
    </xf>
    <xf numFmtId="165" fontId="1" fillId="22" borderId="9" xfId="1" applyNumberFormat="1" applyFont="1" applyFill="1" applyBorder="1" applyAlignment="1">
      <alignment horizontal="center"/>
    </xf>
    <xf numFmtId="3" fontId="5" fillId="2" borderId="9" xfId="0" applyNumberFormat="1" applyFont="1" applyFill="1" applyBorder="1"/>
    <xf numFmtId="168" fontId="1" fillId="7" borderId="2" xfId="0" applyNumberFormat="1" applyFont="1" applyFill="1" applyBorder="1" applyAlignment="1" applyProtection="1"/>
    <xf numFmtId="0" fontId="3" fillId="0" borderId="0" xfId="0" quotePrefix="1" applyFont="1" applyAlignment="1">
      <alignment horizontal="center"/>
    </xf>
    <xf numFmtId="169" fontId="8" fillId="0" borderId="0" xfId="0" applyNumberFormat="1" applyFont="1"/>
    <xf numFmtId="1" fontId="9" fillId="0" borderId="10" xfId="0" applyNumberFormat="1" applyFont="1" applyBorder="1" applyAlignment="1">
      <alignment horizontal="center"/>
    </xf>
    <xf numFmtId="1" fontId="1" fillId="0" borderId="0" xfId="0" applyNumberFormat="1" applyFont="1"/>
    <xf numFmtId="3" fontId="2" fillId="2" borderId="9" xfId="0" applyNumberFormat="1" applyFont="1" applyFill="1" applyBorder="1" applyAlignment="1">
      <alignment horizontal="center"/>
    </xf>
    <xf numFmtId="3" fontId="5" fillId="4" borderId="9" xfId="0" applyNumberFormat="1" applyFont="1" applyFill="1" applyBorder="1"/>
    <xf numFmtId="3" fontId="1" fillId="0" borderId="9" xfId="0" applyNumberFormat="1" applyFont="1" applyBorder="1"/>
    <xf numFmtId="14" fontId="2" fillId="6" borderId="25" xfId="0" applyNumberFormat="1" applyFont="1" applyFill="1" applyBorder="1" applyAlignment="1" applyProtection="1">
      <alignment horizontal="center"/>
    </xf>
    <xf numFmtId="3" fontId="1" fillId="7" borderId="25" xfId="0" applyNumberFormat="1" applyFont="1" applyFill="1" applyBorder="1" applyAlignment="1" applyProtection="1"/>
    <xf numFmtId="3" fontId="1" fillId="2" borderId="25" xfId="0" applyNumberFormat="1" applyFont="1" applyFill="1" applyBorder="1" applyAlignment="1" applyProtection="1"/>
    <xf numFmtId="3" fontId="19" fillId="2" borderId="25" xfId="0" applyNumberFormat="1" applyFont="1" applyFill="1" applyBorder="1" applyAlignment="1" applyProtection="1"/>
    <xf numFmtId="3" fontId="21" fillId="2" borderId="25" xfId="0" applyNumberFormat="1" applyFont="1" applyFill="1" applyBorder="1" applyAlignment="1" applyProtection="1"/>
    <xf numFmtId="3" fontId="22" fillId="7" borderId="25" xfId="0" applyNumberFormat="1" applyFont="1" applyFill="1" applyBorder="1" applyAlignment="1" applyProtection="1"/>
    <xf numFmtId="0" fontId="2" fillId="6" borderId="25" xfId="0" applyNumberFormat="1" applyFont="1" applyFill="1" applyBorder="1" applyAlignment="1" applyProtection="1">
      <alignment horizontal="center"/>
    </xf>
    <xf numFmtId="1" fontId="17" fillId="0" borderId="26" xfId="0" applyNumberFormat="1" applyFont="1" applyFill="1" applyBorder="1" applyAlignment="1" applyProtection="1"/>
    <xf numFmtId="3" fontId="1" fillId="2" borderId="27" xfId="0" applyNumberFormat="1" applyFont="1" applyFill="1" applyBorder="1"/>
    <xf numFmtId="9" fontId="1" fillId="2" borderId="25" xfId="0" applyNumberFormat="1" applyFont="1" applyFill="1" applyBorder="1" applyAlignment="1" applyProtection="1"/>
    <xf numFmtId="0" fontId="2" fillId="6" borderId="28" xfId="0" applyNumberFormat="1" applyFont="1" applyFill="1" applyBorder="1" applyAlignment="1" applyProtection="1">
      <alignment horizontal="center"/>
    </xf>
    <xf numFmtId="3" fontId="1" fillId="2" borderId="28" xfId="0" applyNumberFormat="1" applyFont="1" applyFill="1" applyBorder="1" applyAlignment="1" applyProtection="1"/>
    <xf numFmtId="3" fontId="1" fillId="7" borderId="28" xfId="0" applyNumberFormat="1" applyFont="1" applyFill="1" applyBorder="1" applyAlignment="1" applyProtection="1"/>
    <xf numFmtId="1" fontId="9" fillId="0" borderId="11" xfId="0" applyNumberFormat="1" applyFont="1" applyBorder="1" applyAlignment="1">
      <alignment horizontal="right"/>
    </xf>
    <xf numFmtId="1" fontId="18" fillId="0" borderId="17" xfId="13" applyNumberFormat="1" applyFont="1" applyBorder="1"/>
    <xf numFmtId="1" fontId="18" fillId="0" borderId="18" xfId="13" applyNumberFormat="1" applyFont="1" applyBorder="1"/>
    <xf numFmtId="1" fontId="18" fillId="0" borderId="16" xfId="13" applyNumberFormat="1" applyFont="1" applyBorder="1" applyAlignment="1"/>
    <xf numFmtId="1" fontId="18" fillId="0" borderId="18" xfId="13" applyNumberFormat="1" applyFont="1" applyBorder="1" applyAlignment="1"/>
    <xf numFmtId="1" fontId="18" fillId="0" borderId="18" xfId="13" applyNumberFormat="1" applyFont="1" applyBorder="1" applyAlignment="1">
      <alignment horizontal="right"/>
    </xf>
    <xf numFmtId="3" fontId="1" fillId="14" borderId="16" xfId="7" applyNumberFormat="1" applyFont="1" applyFill="1" applyBorder="1" applyAlignment="1"/>
    <xf numFmtId="3" fontId="1" fillId="14" borderId="17" xfId="7" applyNumberFormat="1" applyFont="1" applyFill="1" applyBorder="1" applyAlignment="1"/>
    <xf numFmtId="3" fontId="1" fillId="14" borderId="18" xfId="7" applyNumberFormat="1" applyFont="1" applyFill="1" applyBorder="1" applyAlignment="1"/>
    <xf numFmtId="166" fontId="2" fillId="15" borderId="15" xfId="13" applyNumberFormat="1" applyFont="1" applyFill="1" applyBorder="1" applyAlignment="1">
      <alignment horizontal="center"/>
    </xf>
    <xf numFmtId="0" fontId="1" fillId="0" borderId="0" xfId="11" applyFont="1" applyBorder="1" applyAlignment="1">
      <alignment horizontal="center"/>
    </xf>
    <xf numFmtId="0" fontId="1" fillId="0" borderId="0" xfId="11" applyFont="1" applyBorder="1" applyAlignment="1">
      <alignment horizontal="left"/>
    </xf>
    <xf numFmtId="0" fontId="1" fillId="0" borderId="0" xfId="11" applyFont="1" applyBorder="1"/>
    <xf numFmtId="0" fontId="1" fillId="0" borderId="0" xfId="11" applyFont="1"/>
    <xf numFmtId="0" fontId="1" fillId="0" borderId="0" xfId="11" applyFont="1" applyFill="1"/>
    <xf numFmtId="0" fontId="10" fillId="0" borderId="0" xfId="11" applyFont="1" applyAlignment="1">
      <alignment horizontal="left"/>
    </xf>
    <xf numFmtId="0" fontId="11" fillId="0" borderId="0" xfId="11" applyFont="1"/>
    <xf numFmtId="0" fontId="12" fillId="0" borderId="0" xfId="11" applyFont="1"/>
    <xf numFmtId="0" fontId="5" fillId="3" borderId="0" xfId="11" applyFont="1" applyFill="1"/>
    <xf numFmtId="0" fontId="1" fillId="3" borderId="0" xfId="11" applyFont="1" applyFill="1"/>
    <xf numFmtId="0" fontId="1" fillId="0" borderId="0" xfId="11" quotePrefix="1" applyFont="1"/>
    <xf numFmtId="14" fontId="1" fillId="0" borderId="0" xfId="11" quotePrefix="1" applyNumberFormat="1" applyFont="1"/>
    <xf numFmtId="1" fontId="9" fillId="0" borderId="0" xfId="11" applyNumberFormat="1" applyFont="1"/>
    <xf numFmtId="1" fontId="8" fillId="0" borderId="0" xfId="11" applyNumberFormat="1" applyFont="1"/>
    <xf numFmtId="1" fontId="2" fillId="0" borderId="0" xfId="11" applyNumberFormat="1" applyFont="1"/>
    <xf numFmtId="0" fontId="1" fillId="0" borderId="0" xfId="11" applyFont="1" applyAlignment="1">
      <alignment horizontal="left"/>
    </xf>
    <xf numFmtId="0" fontId="1" fillId="0" borderId="0" xfId="11" applyFont="1" applyAlignment="1">
      <alignment horizontal="center"/>
    </xf>
    <xf numFmtId="0" fontId="5" fillId="0" borderId="0" xfId="11" applyFont="1" applyAlignment="1">
      <alignment horizontal="center"/>
    </xf>
    <xf numFmtId="49" fontId="1" fillId="0" borderId="0" xfId="11" applyNumberFormat="1" applyFont="1" applyFill="1"/>
    <xf numFmtId="0" fontId="69" fillId="0" borderId="0" xfId="11" applyFont="1"/>
    <xf numFmtId="0" fontId="2" fillId="0" borderId="0" xfId="11" applyFont="1" applyBorder="1" applyAlignment="1">
      <alignment horizontal="center"/>
    </xf>
    <xf numFmtId="49" fontId="2" fillId="0" borderId="9" xfId="11" quotePrefix="1" applyNumberFormat="1" applyFont="1" applyFill="1" applyBorder="1"/>
    <xf numFmtId="1" fontId="9" fillId="0" borderId="10" xfId="11" applyNumberFormat="1" applyFont="1" applyBorder="1"/>
    <xf numFmtId="1" fontId="9" fillId="0" borderId="14" xfId="11" applyNumberFormat="1" applyFont="1" applyBorder="1"/>
    <xf numFmtId="1" fontId="9" fillId="0" borderId="11" xfId="11" applyNumberFormat="1" applyFont="1" applyBorder="1"/>
    <xf numFmtId="0" fontId="69" fillId="0" borderId="9" xfId="11" applyFont="1" applyBorder="1"/>
    <xf numFmtId="1" fontId="3" fillId="0" borderId="0" xfId="11" applyNumberFormat="1" applyFont="1"/>
    <xf numFmtId="49" fontId="2" fillId="3" borderId="9" xfId="11" applyNumberFormat="1" applyFont="1" applyFill="1" applyBorder="1"/>
    <xf numFmtId="14" fontId="2" fillId="3" borderId="9" xfId="11" applyNumberFormat="1" applyFont="1" applyFill="1" applyBorder="1" applyAlignment="1">
      <alignment horizontal="center"/>
    </xf>
    <xf numFmtId="14" fontId="2" fillId="23" borderId="9" xfId="11" applyNumberFormat="1" applyFont="1" applyFill="1" applyBorder="1" applyAlignment="1">
      <alignment horizontal="center"/>
    </xf>
    <xf numFmtId="49" fontId="2" fillId="0" borderId="12" xfId="11" applyNumberFormat="1" applyFont="1" applyFill="1" applyBorder="1"/>
    <xf numFmtId="3" fontId="1" fillId="4" borderId="9" xfId="11" applyNumberFormat="1" applyFont="1" applyFill="1" applyBorder="1"/>
    <xf numFmtId="49" fontId="2" fillId="0" borderId="13" xfId="11" applyNumberFormat="1" applyFont="1" applyFill="1" applyBorder="1"/>
    <xf numFmtId="0" fontId="3" fillId="0" borderId="0" xfId="11" quotePrefix="1" applyFont="1" applyAlignment="1">
      <alignment horizontal="center"/>
    </xf>
    <xf numFmtId="3" fontId="1" fillId="2" borderId="9" xfId="11" applyNumberFormat="1" applyFont="1" applyFill="1" applyBorder="1"/>
    <xf numFmtId="0" fontId="1" fillId="0" borderId="0" xfId="11" applyFont="1" applyFill="1" applyAlignment="1">
      <alignment horizontal="left"/>
    </xf>
    <xf numFmtId="0" fontId="10" fillId="0" borderId="0" xfId="11" applyFont="1" applyAlignment="1">
      <alignment horizontal="right"/>
    </xf>
    <xf numFmtId="49" fontId="53" fillId="0" borderId="13" xfId="11" applyNumberFormat="1" applyFont="1" applyFill="1" applyBorder="1"/>
    <xf numFmtId="3" fontId="10" fillId="2" borderId="9" xfId="11" applyNumberFormat="1" applyFont="1" applyFill="1" applyBorder="1"/>
    <xf numFmtId="3" fontId="11" fillId="2" borderId="9" xfId="11" applyNumberFormat="1" applyFont="1" applyFill="1" applyBorder="1"/>
    <xf numFmtId="0" fontId="1" fillId="0" borderId="0" xfId="11" applyFont="1" applyAlignment="1"/>
    <xf numFmtId="0" fontId="5" fillId="3" borderId="0" xfId="11" applyFont="1" applyFill="1" applyAlignment="1">
      <alignment horizontal="left"/>
    </xf>
    <xf numFmtId="0" fontId="5" fillId="3" borderId="0" xfId="11" applyFont="1" applyFill="1" applyAlignment="1">
      <alignment horizontal="center"/>
    </xf>
    <xf numFmtId="49" fontId="13" fillId="3" borderId="1" xfId="11" applyNumberFormat="1" applyFont="1" applyFill="1" applyBorder="1"/>
    <xf numFmtId="3" fontId="14" fillId="4" borderId="9" xfId="11" applyNumberFormat="1" applyFont="1" applyFill="1" applyBorder="1"/>
    <xf numFmtId="0" fontId="2" fillId="3" borderId="9" xfId="11" applyNumberFormat="1" applyFont="1" applyFill="1" applyBorder="1" applyAlignment="1">
      <alignment horizontal="center"/>
    </xf>
    <xf numFmtId="0" fontId="1" fillId="0" borderId="0" xfId="11" applyFont="1" applyFill="1" applyAlignment="1">
      <alignment horizontal="center"/>
    </xf>
    <xf numFmtId="0" fontId="1" fillId="3" borderId="0" xfId="11" applyFont="1" applyFill="1" applyAlignment="1">
      <alignment horizontal="left"/>
    </xf>
    <xf numFmtId="0" fontId="1" fillId="3" borderId="0" xfId="11" applyFont="1" applyFill="1" applyAlignment="1">
      <alignment horizontal="center"/>
    </xf>
    <xf numFmtId="49" fontId="2" fillId="0" borderId="0" xfId="11" applyNumberFormat="1" applyFont="1" applyFill="1"/>
    <xf numFmtId="9" fontId="1" fillId="2" borderId="9" xfId="12" applyFont="1" applyFill="1" applyBorder="1"/>
    <xf numFmtId="0" fontId="2" fillId="0" borderId="0" xfId="11" applyFont="1"/>
    <xf numFmtId="0" fontId="2" fillId="0" borderId="0" xfId="11" applyFont="1" applyAlignment="1">
      <alignment horizontal="center"/>
    </xf>
    <xf numFmtId="1" fontId="2" fillId="0" borderId="0" xfId="11" applyNumberFormat="1" applyFont="1" applyAlignment="1">
      <alignment vertical="center"/>
    </xf>
    <xf numFmtId="0" fontId="1" fillId="0" borderId="0" xfId="11" quotePrefix="1" applyFont="1" applyAlignment="1">
      <alignment horizontal="left" vertical="center" wrapText="1"/>
    </xf>
    <xf numFmtId="0" fontId="1" fillId="0" borderId="0" xfId="11" applyFont="1" applyAlignment="1">
      <alignment wrapText="1"/>
    </xf>
    <xf numFmtId="49" fontId="2" fillId="0" borderId="13" xfId="11" applyNumberFormat="1" applyFont="1" applyFill="1" applyBorder="1" applyAlignment="1">
      <alignment vertical="center"/>
    </xf>
    <xf numFmtId="0" fontId="1" fillId="0" borderId="0" xfId="11" quotePrefix="1" applyFont="1" applyAlignment="1"/>
    <xf numFmtId="49" fontId="2" fillId="0" borderId="9" xfId="11" applyNumberFormat="1" applyFont="1" applyFill="1" applyBorder="1"/>
    <xf numFmtId="0" fontId="1" fillId="0" borderId="0" xfId="11" quotePrefix="1" applyFont="1" applyAlignment="1">
      <alignment horizontal="left"/>
    </xf>
    <xf numFmtId="49" fontId="2" fillId="0" borderId="1" xfId="11" applyNumberFormat="1" applyFont="1" applyFill="1" applyBorder="1"/>
    <xf numFmtId="9" fontId="1" fillId="4" borderId="9" xfId="11" applyNumberFormat="1" applyFont="1" applyFill="1" applyBorder="1" applyAlignment="1">
      <alignment horizontal="center"/>
    </xf>
    <xf numFmtId="3" fontId="1" fillId="4" borderId="11" xfId="11" applyNumberFormat="1" applyFont="1" applyFill="1" applyBorder="1"/>
    <xf numFmtId="9" fontId="1" fillId="5" borderId="9" xfId="11" applyNumberFormat="1" applyFont="1" applyFill="1" applyBorder="1" applyAlignment="1">
      <alignment horizontal="center"/>
    </xf>
    <xf numFmtId="9" fontId="1" fillId="4" borderId="11" xfId="12" applyNumberFormat="1" applyFont="1" applyFill="1" applyBorder="1" applyAlignment="1">
      <alignment horizontal="center"/>
    </xf>
    <xf numFmtId="9" fontId="1" fillId="4" borderId="9" xfId="12" applyFont="1" applyFill="1" applyBorder="1" applyAlignment="1">
      <alignment horizontal="center"/>
    </xf>
    <xf numFmtId="164" fontId="1" fillId="4" borderId="9" xfId="11" applyNumberFormat="1" applyFont="1" applyFill="1" applyBorder="1" applyAlignment="1">
      <alignment horizontal="center"/>
    </xf>
    <xf numFmtId="165" fontId="1" fillId="4" borderId="11" xfId="12" applyNumberFormat="1" applyFont="1" applyFill="1" applyBorder="1" applyAlignment="1">
      <alignment horizontal="center"/>
    </xf>
    <xf numFmtId="165" fontId="1" fillId="4" borderId="9" xfId="12" applyNumberFormat="1" applyFont="1" applyFill="1" applyBorder="1" applyAlignment="1">
      <alignment horizontal="center"/>
    </xf>
    <xf numFmtId="49" fontId="2" fillId="3" borderId="13" xfId="11" applyNumberFormat="1" applyFont="1" applyFill="1" applyBorder="1"/>
    <xf numFmtId="0" fontId="2" fillId="0" borderId="0" xfId="11" applyFont="1" applyAlignment="1">
      <alignment horizontal="right"/>
    </xf>
    <xf numFmtId="9" fontId="1" fillId="4" borderId="11" xfId="12" applyFont="1" applyFill="1" applyBorder="1" applyAlignment="1">
      <alignment horizontal="center"/>
    </xf>
    <xf numFmtId="0" fontId="1" fillId="5" borderId="9" xfId="11" applyFont="1" applyFill="1" applyBorder="1" applyAlignment="1">
      <alignment horizontal="center"/>
    </xf>
    <xf numFmtId="164" fontId="1" fillId="4" borderId="11" xfId="11" applyNumberFormat="1" applyFont="1" applyFill="1" applyBorder="1" applyAlignment="1">
      <alignment horizontal="center"/>
    </xf>
    <xf numFmtId="49" fontId="2" fillId="3" borderId="1" xfId="11" applyNumberFormat="1" applyFont="1" applyFill="1" applyBorder="1"/>
    <xf numFmtId="0" fontId="1" fillId="0" borderId="0" xfId="11" applyFont="1" applyBorder="1" applyAlignment="1">
      <alignment horizontal="left" vertical="center" wrapText="1"/>
    </xf>
    <xf numFmtId="9" fontId="1" fillId="4" borderId="9" xfId="12" applyNumberFormat="1" applyFont="1" applyFill="1" applyBorder="1" applyAlignment="1">
      <alignment horizontal="center"/>
    </xf>
    <xf numFmtId="1" fontId="9" fillId="0" borderId="0" xfId="11" applyNumberFormat="1" applyFont="1" applyAlignment="1">
      <alignment horizontal="left"/>
    </xf>
    <xf numFmtId="1" fontId="9" fillId="0" borderId="0" xfId="11" applyNumberFormat="1" applyFont="1" applyAlignment="1">
      <alignment horizontal="center"/>
    </xf>
    <xf numFmtId="1" fontId="8" fillId="0" borderId="0" xfId="11" applyNumberFormat="1" applyFont="1" applyAlignment="1">
      <alignment horizontal="left"/>
    </xf>
    <xf numFmtId="9" fontId="1" fillId="0" borderId="9" xfId="11" applyNumberFormat="1" applyFont="1" applyBorder="1" applyAlignment="1">
      <alignment horizontal="center"/>
    </xf>
    <xf numFmtId="1" fontId="8" fillId="0" borderId="9" xfId="11" applyNumberFormat="1" applyFont="1" applyBorder="1" applyAlignment="1">
      <alignment horizontal="center"/>
    </xf>
    <xf numFmtId="49" fontId="1" fillId="0" borderId="9" xfId="11" applyNumberFormat="1" applyFont="1" applyFill="1" applyBorder="1"/>
    <xf numFmtId="3" fontId="8" fillId="0" borderId="9" xfId="11" applyNumberFormat="1" applyFont="1" applyBorder="1"/>
    <xf numFmtId="49" fontId="2" fillId="0" borderId="0" xfId="11" applyNumberFormat="1" applyFont="1" applyFill="1" applyBorder="1"/>
    <xf numFmtId="3" fontId="1" fillId="4" borderId="9" xfId="11" applyNumberFormat="1" applyFont="1" applyFill="1" applyBorder="1" applyAlignment="1"/>
    <xf numFmtId="1" fontId="9" fillId="0" borderId="9" xfId="11" applyNumberFormat="1" applyFont="1" applyBorder="1" applyAlignment="1">
      <alignment horizontal="right"/>
    </xf>
    <xf numFmtId="1" fontId="9" fillId="0" borderId="9" xfId="11" applyNumberFormat="1" applyFont="1" applyBorder="1" applyAlignment="1"/>
    <xf numFmtId="1" fontId="18" fillId="0" borderId="16" xfId="15" applyNumberFormat="1" applyFont="1" applyFill="1" applyBorder="1"/>
    <xf numFmtId="1" fontId="9" fillId="0" borderId="10" xfId="0" applyNumberFormat="1" applyFont="1" applyBorder="1" applyAlignment="1"/>
    <xf numFmtId="1" fontId="9" fillId="0" borderId="11" xfId="0" applyNumberFormat="1" applyFont="1" applyBorder="1" applyAlignment="1"/>
    <xf numFmtId="3" fontId="1" fillId="2" borderId="10" xfId="0" applyNumberFormat="1" applyFont="1" applyFill="1" applyBorder="1" applyAlignment="1"/>
    <xf numFmtId="3" fontId="1" fillId="2" borderId="14" xfId="0" applyNumberFormat="1" applyFont="1" applyFill="1" applyBorder="1" applyAlignment="1"/>
    <xf numFmtId="3" fontId="1" fillId="2" borderId="11" xfId="0" applyNumberFormat="1" applyFont="1" applyFill="1" applyBorder="1" applyAlignment="1"/>
    <xf numFmtId="0" fontId="70" fillId="0" borderId="0" xfId="0" applyFont="1"/>
    <xf numFmtId="0" fontId="70" fillId="0" borderId="0" xfId="0" applyFont="1" applyFill="1"/>
    <xf numFmtId="0" fontId="2" fillId="3" borderId="10" xfId="0" applyFont="1" applyFill="1" applyBorder="1" applyAlignment="1">
      <alignment horizontal="center"/>
    </xf>
    <xf numFmtId="0" fontId="2" fillId="3" borderId="11" xfId="0" applyFont="1" applyFill="1" applyBorder="1" applyAlignment="1">
      <alignment horizontal="center"/>
    </xf>
    <xf numFmtId="3" fontId="1" fillId="14" borderId="23" xfId="15" applyNumberFormat="1" applyFont="1" applyFill="1" applyBorder="1" applyAlignment="1">
      <alignment horizontal="left" wrapText="1"/>
    </xf>
    <xf numFmtId="0" fontId="2" fillId="15" borderId="15" xfId="15" applyFont="1" applyFill="1" applyBorder="1" applyAlignment="1">
      <alignment horizontal="center"/>
    </xf>
    <xf numFmtId="1" fontId="35" fillId="0" borderId="3" xfId="11" applyNumberFormat="1" applyFont="1" applyFill="1" applyBorder="1" applyAlignment="1" applyProtection="1">
      <alignment horizontal="right"/>
    </xf>
    <xf numFmtId="1" fontId="35" fillId="0" borderId="5" xfId="11" applyNumberFormat="1" applyFont="1" applyFill="1" applyBorder="1" applyAlignment="1" applyProtection="1">
      <alignment horizontal="right"/>
    </xf>
    <xf numFmtId="3" fontId="31" fillId="2" borderId="3" xfId="11" applyNumberFormat="1" applyFont="1" applyFill="1" applyBorder="1" applyAlignment="1" applyProtection="1">
      <alignment horizontal="left"/>
    </xf>
    <xf numFmtId="3" fontId="31" fillId="2" borderId="4" xfId="11" applyNumberFormat="1" applyFont="1" applyFill="1" applyBorder="1" applyAlignment="1" applyProtection="1">
      <alignment horizontal="left"/>
    </xf>
    <xf numFmtId="3" fontId="31" fillId="2" borderId="5" xfId="11" applyNumberFormat="1" applyFont="1" applyFill="1" applyBorder="1" applyAlignment="1" applyProtection="1">
      <alignment horizontal="left"/>
    </xf>
    <xf numFmtId="0" fontId="32" fillId="3" borderId="10" xfId="11" applyFont="1" applyFill="1" applyBorder="1" applyAlignment="1">
      <alignment horizontal="center"/>
    </xf>
    <xf numFmtId="0" fontId="32" fillId="3" borderId="11" xfId="11" applyFont="1" applyFill="1" applyBorder="1" applyAlignment="1">
      <alignment horizontal="center"/>
    </xf>
    <xf numFmtId="3" fontId="2" fillId="2" borderId="14" xfId="0" applyNumberFormat="1" applyFont="1" applyFill="1" applyBorder="1" applyAlignment="1">
      <alignment horizontal="center"/>
    </xf>
    <xf numFmtId="3" fontId="2" fillId="2" borderId="11" xfId="0" applyNumberFormat="1" applyFont="1" applyFill="1" applyBorder="1" applyAlignment="1">
      <alignment horizontal="center"/>
    </xf>
    <xf numFmtId="3" fontId="1" fillId="2" borderId="22" xfId="0" applyNumberFormat="1" applyFont="1" applyFill="1" applyBorder="1" applyAlignment="1">
      <alignment horizontal="left" wrapText="1"/>
    </xf>
    <xf numFmtId="0" fontId="0" fillId="0" borderId="22" xfId="0" applyBorder="1" applyAlignment="1">
      <alignment horizontal="left" wrapText="1"/>
    </xf>
    <xf numFmtId="0" fontId="2" fillId="15" borderId="15" xfId="13" applyFont="1" applyFill="1" applyBorder="1" applyAlignment="1">
      <alignment horizontal="center"/>
    </xf>
    <xf numFmtId="0" fontId="2" fillId="10" borderId="10" xfId="0" applyFont="1" applyFill="1" applyBorder="1" applyAlignment="1">
      <alignment horizontal="center"/>
    </xf>
    <xf numFmtId="0" fontId="2" fillId="10" borderId="11" xfId="0" applyFont="1" applyFill="1" applyBorder="1" applyAlignment="1">
      <alignment horizontal="center"/>
    </xf>
    <xf numFmtId="3" fontId="1" fillId="9" borderId="22" xfId="13" applyNumberFormat="1" applyFont="1" applyFill="1" applyBorder="1" applyAlignment="1">
      <alignment horizontal="left" wrapText="1"/>
    </xf>
    <xf numFmtId="0" fontId="16" fillId="0" borderId="22" xfId="13" applyBorder="1" applyAlignment="1">
      <alignment horizontal="left" wrapText="1"/>
    </xf>
    <xf numFmtId="0" fontId="2" fillId="10" borderId="10" xfId="13" applyFont="1" applyFill="1" applyBorder="1" applyAlignment="1">
      <alignment horizontal="center"/>
    </xf>
    <xf numFmtId="0" fontId="2" fillId="10" borderId="11" xfId="13" applyFont="1" applyFill="1" applyBorder="1" applyAlignment="1">
      <alignment horizontal="center"/>
    </xf>
    <xf numFmtId="1" fontId="9" fillId="0" borderId="10" xfId="0" applyNumberFormat="1" applyFont="1" applyBorder="1" applyAlignment="1">
      <alignment horizontal="right"/>
    </xf>
    <xf numFmtId="1" fontId="9" fillId="0" borderId="11" xfId="0" applyNumberFormat="1" applyFont="1" applyBorder="1" applyAlignment="1">
      <alignment horizontal="right"/>
    </xf>
    <xf numFmtId="3" fontId="1" fillId="2" borderId="10" xfId="0" applyNumberFormat="1" applyFont="1" applyFill="1" applyBorder="1" applyAlignment="1">
      <alignment horizontal="left"/>
    </xf>
    <xf numFmtId="3" fontId="1" fillId="2" borderId="14" xfId="0" applyNumberFormat="1" applyFont="1" applyFill="1" applyBorder="1" applyAlignment="1">
      <alignment horizontal="left"/>
    </xf>
    <xf numFmtId="0" fontId="2" fillId="3" borderId="10" xfId="11" applyFont="1" applyFill="1" applyBorder="1" applyAlignment="1">
      <alignment horizontal="center"/>
    </xf>
    <xf numFmtId="0" fontId="2" fillId="3" borderId="11" xfId="11" applyFont="1" applyFill="1" applyBorder="1" applyAlignment="1">
      <alignment horizontal="center"/>
    </xf>
  </cellXfs>
  <cellStyles count="17">
    <cellStyle name="Excel Built-in Normal" xfId="7" xr:uid="{00000000-0005-0000-0000-000000000000}"/>
    <cellStyle name="Normaallaad" xfId="0" builtinId="0"/>
    <cellStyle name="Normaallaad 2" xfId="11" xr:uid="{6BB5346E-59F9-44CC-A3F7-6F9D375ECA42}"/>
    <cellStyle name="Normaallaad 3" xfId="13" xr:uid="{5D105374-A479-4C0B-B642-EB6A29539CA5}"/>
    <cellStyle name="Normaallaad 4" xfId="15" xr:uid="{C47BEC77-566C-4FD8-A020-A3435DD9222A}"/>
    <cellStyle name="Normal 2" xfId="2" xr:uid="{00000000-0005-0000-0000-000002000000}"/>
    <cellStyle name="Normal 3" xfId="4" xr:uid="{00000000-0005-0000-0000-000003000000}"/>
    <cellStyle name="Normal 4" xfId="9" xr:uid="{00000000-0005-0000-0000-000004000000}"/>
    <cellStyle name="Percent 2" xfId="3" xr:uid="{00000000-0005-0000-0000-000006000000}"/>
    <cellStyle name="Percent 3" xfId="5" xr:uid="{00000000-0005-0000-0000-000007000000}"/>
    <cellStyle name="Percent 4" xfId="6" xr:uid="{00000000-0005-0000-0000-000008000000}"/>
    <cellStyle name="Percent 5" xfId="8" xr:uid="{00000000-0005-0000-0000-000009000000}"/>
    <cellStyle name="Protsent" xfId="1" builtinId="5"/>
    <cellStyle name="Protsent 2" xfId="10" xr:uid="{64EFDD4B-013B-4B15-85E2-0447E7C923ED}"/>
    <cellStyle name="Protsent 3" xfId="12" xr:uid="{FCB7A105-8655-4F89-9179-C7ACA52A02CC}"/>
    <cellStyle name="Protsent 4" xfId="14" xr:uid="{3D087755-B405-4A3E-BB25-C1ABE3CFF63D}"/>
    <cellStyle name="Protsent 5" xfId="16" xr:uid="{A1ED48C3-4955-4E1F-AD4E-7EF4EFC27E8F}"/>
  </cellStyles>
  <dxfs count="2115"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rgb="FFFF33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99FF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rgb="FFFF33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99FF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rgb="FFFF33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99FF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rgb="FFFF33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99FF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rgb="FFFF33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99FF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rgb="FFFF33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99FF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rgb="FFFF33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99FF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rgb="FFFF33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99FF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rgb="FFFF33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99FF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rgb="FFFF33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99FF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rgb="FFFF33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99FF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rgb="FFFF33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99FF"/>
        </patternFill>
      </fill>
    </dxf>
    <dxf>
      <fill>
        <patternFill>
          <bgColor theme="9" tint="0.59996337778862885"/>
        </patternFill>
      </fill>
    </dxf>
    <dxf>
      <fill>
        <patternFill>
          <bgColor rgb="FFFF99FF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rgb="FFFF33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99FF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rgb="FFFF33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99FF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rgb="FFFF33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99FF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rgb="FFFF33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99FF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rgb="FFFF33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99FF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51"/>
          <bgColor indexed="52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29"/>
          <bgColor indexed="45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51"/>
          <bgColor indexed="52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24"/>
          <bgColor indexed="46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29"/>
          <bgColor indexed="45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51"/>
          <bgColor indexed="52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45"/>
          <bgColor indexed="29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29"/>
          <bgColor indexed="45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51"/>
          <bgColor indexed="52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29"/>
          <bgColor indexed="45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51"/>
          <bgColor indexed="52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29"/>
          <bgColor indexed="45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29"/>
          <bgColor indexed="45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51"/>
          <bgColor indexed="52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29"/>
          <bgColor indexed="45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33"/>
          <bgColor indexed="14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51"/>
          <bgColor indexed="52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29"/>
          <bgColor indexed="45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13"/>
          <bgColor indexed="51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13"/>
          <bgColor indexed="51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29"/>
          <bgColor indexed="45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29"/>
          <bgColor indexed="45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13"/>
          <bgColor indexed="51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13"/>
          <bgColor indexed="51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29"/>
          <bgColor indexed="45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51"/>
          <bgColor indexed="52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29"/>
          <bgColor indexed="45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51"/>
          <bgColor indexed="52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29"/>
          <bgColor indexed="45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51"/>
          <bgColor indexed="52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29"/>
          <bgColor indexed="45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51"/>
          <bgColor indexed="52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24"/>
          <bgColor indexed="46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29"/>
          <bgColor indexed="45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51"/>
          <bgColor indexed="52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45"/>
          <bgColor indexed="29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29"/>
          <bgColor indexed="45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51"/>
          <bgColor indexed="52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29"/>
          <bgColor indexed="45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51"/>
          <bgColor indexed="52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29"/>
          <bgColor indexed="45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29"/>
          <bgColor indexed="45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51"/>
          <bgColor indexed="52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29"/>
          <bgColor indexed="45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33"/>
          <bgColor indexed="14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51"/>
          <bgColor indexed="52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29"/>
          <bgColor indexed="45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13"/>
          <bgColor indexed="51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13"/>
          <bgColor indexed="51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29"/>
          <bgColor indexed="45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29"/>
          <bgColor indexed="45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13"/>
          <bgColor indexed="51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13"/>
          <bgColor indexed="51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29"/>
          <bgColor indexed="45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51"/>
          <bgColor indexed="52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29"/>
          <bgColor indexed="45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51"/>
          <bgColor indexed="52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29"/>
          <bgColor indexed="45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rgb="FFFF33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99FF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rgb="FFFF33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99FF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rgb="FFFF33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99FF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51"/>
          <bgColor indexed="52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29"/>
          <bgColor indexed="45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51"/>
          <bgColor indexed="52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24"/>
          <bgColor indexed="46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29"/>
          <bgColor indexed="45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51"/>
          <bgColor indexed="52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45"/>
          <bgColor indexed="29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29"/>
          <bgColor indexed="45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51"/>
          <bgColor indexed="52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29"/>
          <bgColor indexed="45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51"/>
          <bgColor indexed="52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29"/>
          <bgColor indexed="45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29"/>
          <bgColor indexed="45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51"/>
          <bgColor indexed="52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29"/>
          <bgColor indexed="45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33"/>
          <bgColor indexed="14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51"/>
          <bgColor indexed="52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29"/>
          <bgColor indexed="45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13"/>
          <bgColor indexed="51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13"/>
          <bgColor indexed="51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29"/>
          <bgColor indexed="45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29"/>
          <bgColor indexed="45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13"/>
          <bgColor indexed="51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13"/>
          <bgColor indexed="51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29"/>
          <bgColor indexed="45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51"/>
          <bgColor indexed="52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29"/>
          <bgColor indexed="45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51"/>
          <bgColor indexed="52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29"/>
          <bgColor indexed="45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51"/>
          <bgColor indexed="52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29"/>
          <bgColor indexed="45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51"/>
          <bgColor indexed="52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24"/>
          <bgColor indexed="46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29"/>
          <bgColor indexed="45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51"/>
          <bgColor indexed="52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45"/>
          <bgColor indexed="29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29"/>
          <bgColor indexed="45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51"/>
          <bgColor indexed="52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29"/>
          <bgColor indexed="45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51"/>
          <bgColor indexed="52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29"/>
          <bgColor indexed="45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29"/>
          <bgColor indexed="45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51"/>
          <bgColor indexed="52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29"/>
          <bgColor indexed="45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33"/>
          <bgColor indexed="14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51"/>
          <bgColor indexed="52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29"/>
          <bgColor indexed="45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13"/>
          <bgColor indexed="51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13"/>
          <bgColor indexed="51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29"/>
          <bgColor indexed="45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29"/>
          <bgColor indexed="45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13"/>
          <bgColor indexed="51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13"/>
          <bgColor indexed="51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29"/>
          <bgColor indexed="45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51"/>
          <bgColor indexed="52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29"/>
          <bgColor indexed="45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51"/>
          <bgColor indexed="52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29"/>
          <bgColor indexed="45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rgb="FFFF33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99FF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rgb="FFFF33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99FF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rgb="FFFF33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99FF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rgb="FFFF33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99FF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rgb="FFFF33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99FF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rgb="FFFF33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99FF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rgb="FFFF33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99FF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rgb="FFFF33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99FF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rgb="FFFF33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99FF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rgb="FFFF33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99FF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rgb="FFFF33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99FF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rgb="FFFF33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99FF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rgb="FFFF33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99FF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rgb="FFFF33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99FF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51"/>
          <bgColor indexed="52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29"/>
          <bgColor indexed="45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51"/>
          <bgColor indexed="52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24"/>
          <bgColor indexed="46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29"/>
          <bgColor indexed="45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51"/>
          <bgColor indexed="52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45"/>
          <bgColor indexed="29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29"/>
          <bgColor indexed="45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51"/>
          <bgColor indexed="52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29"/>
          <bgColor indexed="45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51"/>
          <bgColor indexed="52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29"/>
          <bgColor indexed="45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29"/>
          <bgColor indexed="45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51"/>
          <bgColor indexed="52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29"/>
          <bgColor indexed="45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33"/>
          <bgColor indexed="14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51"/>
          <bgColor indexed="52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29"/>
          <bgColor indexed="45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13"/>
          <bgColor indexed="51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13"/>
          <bgColor indexed="51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29"/>
          <bgColor indexed="45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29"/>
          <bgColor indexed="45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13"/>
          <bgColor indexed="51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13"/>
          <bgColor indexed="51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29"/>
          <bgColor indexed="45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51"/>
          <bgColor indexed="52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29"/>
          <bgColor indexed="45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51"/>
          <bgColor indexed="52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29"/>
          <bgColor indexed="45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51"/>
          <bgColor indexed="52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29"/>
          <bgColor indexed="45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51"/>
          <bgColor indexed="52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24"/>
          <bgColor indexed="46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29"/>
          <bgColor indexed="45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51"/>
          <bgColor indexed="52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45"/>
          <bgColor indexed="29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29"/>
          <bgColor indexed="45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51"/>
          <bgColor indexed="52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29"/>
          <bgColor indexed="45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51"/>
          <bgColor indexed="52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29"/>
          <bgColor indexed="45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29"/>
          <bgColor indexed="45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51"/>
          <bgColor indexed="52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29"/>
          <bgColor indexed="45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33"/>
          <bgColor indexed="14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51"/>
          <bgColor indexed="52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29"/>
          <bgColor indexed="45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13"/>
          <bgColor indexed="51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13"/>
          <bgColor indexed="51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29"/>
          <bgColor indexed="45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29"/>
          <bgColor indexed="45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13"/>
          <bgColor indexed="51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13"/>
          <bgColor indexed="51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29"/>
          <bgColor indexed="45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51"/>
          <bgColor indexed="52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29"/>
          <bgColor indexed="45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51"/>
          <bgColor indexed="52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29"/>
          <bgColor indexed="45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rgb="FFFF33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99FF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rgb="FFFF33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99FF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rgb="FFFF33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99FF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rgb="FFFF33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99FF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rgb="FFFF33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99FF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rgb="FFFF33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99FF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rgb="FFFF33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99FF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rgb="FFFF33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99FF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rgb="FFFF33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99FF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rgb="FFFF33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99FF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rgb="FFFF33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99FF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rgb="FFFF33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99FF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rgb="FFFF33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99FF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rgb="FFFF33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99FF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rgb="FFFF33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99FF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rgb="FFFF33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99FF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rgb="FFFF33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99FF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rgb="FFFF33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99FF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rgb="FFFF33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99FF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rgb="FFFF33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99FF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rgb="FFFF33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99FF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rgb="FFFF33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99FF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rgb="FFFF33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99FF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rgb="FFFF33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99FF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 patternType="solid">
          <fgColor indexed="51"/>
          <bgColor indexed="52"/>
        </patternFill>
      </fill>
    </dxf>
    <dxf>
      <fill>
        <patternFill patternType="solid">
          <fgColor indexed="29"/>
          <bgColor indexed="45"/>
        </patternFill>
      </fill>
    </dxf>
    <dxf>
      <fill>
        <patternFill patternType="solid">
          <fgColor indexed="51"/>
          <bgColor indexed="52"/>
        </patternFill>
      </fill>
    </dxf>
    <dxf>
      <fill>
        <patternFill patternType="solid">
          <fgColor indexed="24"/>
          <bgColor indexed="46"/>
        </patternFill>
      </fill>
    </dxf>
    <dxf>
      <fill>
        <patternFill patternType="solid">
          <fgColor indexed="29"/>
          <bgColor indexed="45"/>
        </patternFill>
      </fill>
    </dxf>
    <dxf>
      <fill>
        <patternFill patternType="solid">
          <fgColor indexed="51"/>
          <bgColor indexed="52"/>
        </patternFill>
      </fill>
    </dxf>
    <dxf>
      <fill>
        <patternFill patternType="solid">
          <fgColor indexed="45"/>
          <bgColor indexed="29"/>
        </patternFill>
      </fill>
    </dxf>
    <dxf>
      <fill>
        <patternFill patternType="solid">
          <fgColor indexed="29"/>
          <bgColor indexed="45"/>
        </patternFill>
      </fill>
    </dxf>
    <dxf>
      <fill>
        <patternFill patternType="solid">
          <fgColor indexed="51"/>
          <bgColor indexed="52"/>
        </patternFill>
      </fill>
    </dxf>
    <dxf>
      <fill>
        <patternFill patternType="solid">
          <fgColor indexed="29"/>
          <bgColor indexed="45"/>
        </patternFill>
      </fill>
    </dxf>
    <dxf>
      <fill>
        <patternFill patternType="solid">
          <fgColor indexed="51"/>
          <bgColor indexed="52"/>
        </patternFill>
      </fill>
    </dxf>
    <dxf>
      <fill>
        <patternFill patternType="solid">
          <fgColor indexed="29"/>
          <bgColor indexed="45"/>
        </patternFill>
      </fill>
    </dxf>
    <dxf>
      <fill>
        <patternFill patternType="solid">
          <fgColor indexed="29"/>
          <bgColor indexed="45"/>
        </patternFill>
      </fill>
    </dxf>
    <dxf>
      <fill>
        <patternFill patternType="solid">
          <fgColor indexed="51"/>
          <bgColor indexed="52"/>
        </patternFill>
      </fill>
    </dxf>
    <dxf>
      <fill>
        <patternFill patternType="solid">
          <fgColor indexed="29"/>
          <bgColor indexed="45"/>
        </patternFill>
      </fill>
    </dxf>
    <dxf>
      <fill>
        <patternFill patternType="solid">
          <fgColor indexed="33"/>
          <bgColor indexed="14"/>
        </patternFill>
      </fill>
    </dxf>
    <dxf>
      <fill>
        <patternFill patternType="solid">
          <fgColor indexed="51"/>
          <bgColor indexed="52"/>
        </patternFill>
      </fill>
    </dxf>
    <dxf>
      <fill>
        <patternFill patternType="solid">
          <fgColor indexed="29"/>
          <bgColor indexed="45"/>
        </patternFill>
      </fill>
    </dxf>
    <dxf>
      <fill>
        <patternFill patternType="solid">
          <fgColor indexed="13"/>
          <bgColor indexed="51"/>
        </patternFill>
      </fill>
    </dxf>
    <dxf>
      <fill>
        <patternFill patternType="solid">
          <fgColor indexed="13"/>
          <bgColor indexed="51"/>
        </patternFill>
      </fill>
    </dxf>
    <dxf>
      <fill>
        <patternFill patternType="solid">
          <fgColor indexed="29"/>
          <bgColor indexed="45"/>
        </patternFill>
      </fill>
    </dxf>
    <dxf>
      <fill>
        <patternFill patternType="solid">
          <fgColor indexed="29"/>
          <bgColor indexed="45"/>
        </patternFill>
      </fill>
    </dxf>
    <dxf>
      <fill>
        <patternFill patternType="solid">
          <fgColor indexed="13"/>
          <bgColor indexed="51"/>
        </patternFill>
      </fill>
    </dxf>
    <dxf>
      <fill>
        <patternFill patternType="solid">
          <fgColor indexed="13"/>
          <bgColor indexed="51"/>
        </patternFill>
      </fill>
    </dxf>
    <dxf>
      <fill>
        <patternFill patternType="solid">
          <fgColor indexed="29"/>
          <bgColor indexed="45"/>
        </patternFill>
      </fill>
    </dxf>
    <dxf>
      <fill>
        <patternFill patternType="solid">
          <fgColor indexed="51"/>
          <bgColor indexed="52"/>
        </patternFill>
      </fill>
    </dxf>
    <dxf>
      <fill>
        <patternFill patternType="solid">
          <fgColor indexed="29"/>
          <bgColor indexed="45"/>
        </patternFill>
      </fill>
    </dxf>
    <dxf>
      <fill>
        <patternFill patternType="solid">
          <fgColor indexed="51"/>
          <bgColor indexed="52"/>
        </patternFill>
      </fill>
    </dxf>
    <dxf>
      <fill>
        <patternFill patternType="solid">
          <fgColor indexed="29"/>
          <bgColor indexed="45"/>
        </patternFill>
      </fill>
    </dxf>
    <dxf>
      <fill>
        <patternFill patternType="solid">
          <fgColor indexed="51"/>
          <bgColor indexed="52"/>
        </patternFill>
      </fill>
    </dxf>
    <dxf>
      <fill>
        <patternFill patternType="solid">
          <fgColor indexed="29"/>
          <bgColor indexed="45"/>
        </patternFill>
      </fill>
    </dxf>
    <dxf>
      <fill>
        <patternFill patternType="solid">
          <fgColor indexed="51"/>
          <bgColor indexed="52"/>
        </patternFill>
      </fill>
    </dxf>
    <dxf>
      <fill>
        <patternFill patternType="solid">
          <fgColor indexed="24"/>
          <bgColor indexed="46"/>
        </patternFill>
      </fill>
    </dxf>
    <dxf>
      <fill>
        <patternFill patternType="solid">
          <fgColor indexed="29"/>
          <bgColor indexed="45"/>
        </patternFill>
      </fill>
    </dxf>
    <dxf>
      <fill>
        <patternFill patternType="solid">
          <fgColor indexed="51"/>
          <bgColor indexed="52"/>
        </patternFill>
      </fill>
    </dxf>
    <dxf>
      <fill>
        <patternFill patternType="solid">
          <fgColor indexed="45"/>
          <bgColor indexed="29"/>
        </patternFill>
      </fill>
    </dxf>
    <dxf>
      <fill>
        <patternFill patternType="solid">
          <fgColor indexed="29"/>
          <bgColor indexed="45"/>
        </patternFill>
      </fill>
    </dxf>
    <dxf>
      <fill>
        <patternFill patternType="solid">
          <fgColor indexed="51"/>
          <bgColor indexed="52"/>
        </patternFill>
      </fill>
    </dxf>
    <dxf>
      <fill>
        <patternFill patternType="solid">
          <fgColor indexed="29"/>
          <bgColor indexed="45"/>
        </patternFill>
      </fill>
    </dxf>
    <dxf>
      <fill>
        <patternFill patternType="solid">
          <fgColor indexed="51"/>
          <bgColor indexed="52"/>
        </patternFill>
      </fill>
    </dxf>
    <dxf>
      <fill>
        <patternFill patternType="solid">
          <fgColor indexed="29"/>
          <bgColor indexed="45"/>
        </patternFill>
      </fill>
    </dxf>
    <dxf>
      <fill>
        <patternFill patternType="solid">
          <fgColor indexed="29"/>
          <bgColor indexed="45"/>
        </patternFill>
      </fill>
    </dxf>
    <dxf>
      <fill>
        <patternFill patternType="solid">
          <fgColor indexed="51"/>
          <bgColor indexed="52"/>
        </patternFill>
      </fill>
    </dxf>
    <dxf>
      <fill>
        <patternFill patternType="solid">
          <fgColor indexed="29"/>
          <bgColor indexed="45"/>
        </patternFill>
      </fill>
    </dxf>
    <dxf>
      <fill>
        <patternFill patternType="solid">
          <fgColor indexed="33"/>
          <bgColor indexed="14"/>
        </patternFill>
      </fill>
    </dxf>
    <dxf>
      <fill>
        <patternFill patternType="solid">
          <fgColor indexed="51"/>
          <bgColor indexed="52"/>
        </patternFill>
      </fill>
    </dxf>
    <dxf>
      <fill>
        <patternFill patternType="solid">
          <fgColor indexed="29"/>
          <bgColor indexed="45"/>
        </patternFill>
      </fill>
    </dxf>
    <dxf>
      <fill>
        <patternFill patternType="solid">
          <fgColor indexed="13"/>
          <bgColor indexed="51"/>
        </patternFill>
      </fill>
    </dxf>
    <dxf>
      <fill>
        <patternFill patternType="solid">
          <fgColor indexed="13"/>
          <bgColor indexed="51"/>
        </patternFill>
      </fill>
    </dxf>
    <dxf>
      <fill>
        <patternFill patternType="solid">
          <fgColor indexed="29"/>
          <bgColor indexed="45"/>
        </patternFill>
      </fill>
    </dxf>
    <dxf>
      <fill>
        <patternFill patternType="solid">
          <fgColor indexed="29"/>
          <bgColor indexed="45"/>
        </patternFill>
      </fill>
    </dxf>
    <dxf>
      <fill>
        <patternFill patternType="solid">
          <fgColor indexed="13"/>
          <bgColor indexed="51"/>
        </patternFill>
      </fill>
    </dxf>
    <dxf>
      <fill>
        <patternFill patternType="solid">
          <fgColor indexed="13"/>
          <bgColor indexed="51"/>
        </patternFill>
      </fill>
    </dxf>
    <dxf>
      <fill>
        <patternFill patternType="solid">
          <fgColor indexed="29"/>
          <bgColor indexed="45"/>
        </patternFill>
      </fill>
    </dxf>
    <dxf>
      <fill>
        <patternFill patternType="solid">
          <fgColor indexed="51"/>
          <bgColor indexed="52"/>
        </patternFill>
      </fill>
    </dxf>
    <dxf>
      <fill>
        <patternFill patternType="solid">
          <fgColor indexed="29"/>
          <bgColor indexed="45"/>
        </patternFill>
      </fill>
    </dxf>
    <dxf>
      <fill>
        <patternFill patternType="solid">
          <fgColor indexed="51"/>
          <bgColor indexed="52"/>
        </patternFill>
      </fill>
    </dxf>
    <dxf>
      <fill>
        <patternFill patternType="solid">
          <fgColor indexed="29"/>
          <bgColor indexed="45"/>
        </patternFill>
      </fill>
    </dxf>
    <dxf>
      <fill>
        <patternFill patternType="solid">
          <fgColor indexed="51"/>
          <bgColor indexed="52"/>
        </patternFill>
      </fill>
    </dxf>
    <dxf>
      <fill>
        <patternFill patternType="solid">
          <fgColor indexed="29"/>
          <bgColor indexed="45"/>
        </patternFill>
      </fill>
    </dxf>
    <dxf>
      <fill>
        <patternFill patternType="solid">
          <fgColor indexed="51"/>
          <bgColor indexed="52"/>
        </patternFill>
      </fill>
    </dxf>
    <dxf>
      <fill>
        <patternFill patternType="solid">
          <fgColor indexed="24"/>
          <bgColor indexed="46"/>
        </patternFill>
      </fill>
    </dxf>
    <dxf>
      <fill>
        <patternFill patternType="solid">
          <fgColor indexed="29"/>
          <bgColor indexed="45"/>
        </patternFill>
      </fill>
    </dxf>
    <dxf>
      <fill>
        <patternFill patternType="solid">
          <fgColor indexed="51"/>
          <bgColor indexed="52"/>
        </patternFill>
      </fill>
    </dxf>
    <dxf>
      <fill>
        <patternFill patternType="solid">
          <fgColor indexed="45"/>
          <bgColor indexed="29"/>
        </patternFill>
      </fill>
    </dxf>
    <dxf>
      <fill>
        <patternFill patternType="solid">
          <fgColor indexed="29"/>
          <bgColor indexed="45"/>
        </patternFill>
      </fill>
    </dxf>
    <dxf>
      <fill>
        <patternFill patternType="solid">
          <fgColor indexed="51"/>
          <bgColor indexed="52"/>
        </patternFill>
      </fill>
    </dxf>
    <dxf>
      <fill>
        <patternFill patternType="solid">
          <fgColor indexed="29"/>
          <bgColor indexed="45"/>
        </patternFill>
      </fill>
    </dxf>
    <dxf>
      <fill>
        <patternFill patternType="solid">
          <fgColor indexed="51"/>
          <bgColor indexed="52"/>
        </patternFill>
      </fill>
    </dxf>
    <dxf>
      <fill>
        <patternFill patternType="solid">
          <fgColor indexed="29"/>
          <bgColor indexed="45"/>
        </patternFill>
      </fill>
    </dxf>
    <dxf>
      <fill>
        <patternFill patternType="solid">
          <fgColor indexed="29"/>
          <bgColor indexed="45"/>
        </patternFill>
      </fill>
    </dxf>
    <dxf>
      <fill>
        <patternFill patternType="solid">
          <fgColor indexed="51"/>
          <bgColor indexed="52"/>
        </patternFill>
      </fill>
    </dxf>
    <dxf>
      <fill>
        <patternFill patternType="solid">
          <fgColor indexed="29"/>
          <bgColor indexed="45"/>
        </patternFill>
      </fill>
    </dxf>
    <dxf>
      <fill>
        <patternFill patternType="solid">
          <fgColor indexed="33"/>
          <bgColor indexed="14"/>
        </patternFill>
      </fill>
    </dxf>
    <dxf>
      <fill>
        <patternFill patternType="solid">
          <fgColor indexed="51"/>
          <bgColor indexed="52"/>
        </patternFill>
      </fill>
    </dxf>
    <dxf>
      <fill>
        <patternFill patternType="solid">
          <fgColor indexed="29"/>
          <bgColor indexed="45"/>
        </patternFill>
      </fill>
    </dxf>
    <dxf>
      <fill>
        <patternFill patternType="solid">
          <fgColor indexed="13"/>
          <bgColor indexed="51"/>
        </patternFill>
      </fill>
    </dxf>
    <dxf>
      <fill>
        <patternFill patternType="solid">
          <fgColor indexed="13"/>
          <bgColor indexed="51"/>
        </patternFill>
      </fill>
    </dxf>
    <dxf>
      <fill>
        <patternFill patternType="solid">
          <fgColor indexed="29"/>
          <bgColor indexed="45"/>
        </patternFill>
      </fill>
    </dxf>
    <dxf>
      <fill>
        <patternFill patternType="solid">
          <fgColor indexed="29"/>
          <bgColor indexed="45"/>
        </patternFill>
      </fill>
    </dxf>
    <dxf>
      <fill>
        <patternFill patternType="solid">
          <fgColor indexed="13"/>
          <bgColor indexed="51"/>
        </patternFill>
      </fill>
    </dxf>
    <dxf>
      <fill>
        <patternFill patternType="solid">
          <fgColor indexed="13"/>
          <bgColor indexed="51"/>
        </patternFill>
      </fill>
    </dxf>
    <dxf>
      <fill>
        <patternFill patternType="solid">
          <fgColor indexed="29"/>
          <bgColor indexed="45"/>
        </patternFill>
      </fill>
    </dxf>
    <dxf>
      <fill>
        <patternFill patternType="solid">
          <fgColor indexed="51"/>
          <bgColor indexed="52"/>
        </patternFill>
      </fill>
    </dxf>
    <dxf>
      <fill>
        <patternFill patternType="solid">
          <fgColor indexed="29"/>
          <bgColor indexed="45"/>
        </patternFill>
      </fill>
    </dxf>
    <dxf>
      <fill>
        <patternFill patternType="solid">
          <fgColor indexed="51"/>
          <bgColor indexed="52"/>
        </patternFill>
      </fill>
    </dxf>
    <dxf>
      <fill>
        <patternFill patternType="solid">
          <fgColor indexed="29"/>
          <bgColor indexed="45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rgb="FFFF33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99FF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rgb="FFFF33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99FF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rgb="FFFF33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99FF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rgb="FFFF33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99FF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rgb="FFFF33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99FF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rgb="FFFF33CC"/>
        </patternFill>
      </fill>
    </dxf>
    <dxf>
      <fill>
        <patternFill>
          <bgColor theme="9" tint="0.39994506668294322"/>
        </patternFill>
      </fill>
    </dxf>
    <dxf>
      <fill>
        <patternFill>
          <bgColor rgb="FFFF99CC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99FF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  <dxf>
      <fill>
        <patternFill>
          <bgColor theme="9" tint="0.39994506668294322"/>
        </patternFill>
      </fill>
    </dxf>
    <dxf>
      <fill>
        <patternFill>
          <bgColor rgb="FFFF66C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'i kujundus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41"/>
  <sheetViews>
    <sheetView tabSelected="1" workbookViewId="0">
      <selection activeCell="A2" sqref="A2"/>
    </sheetView>
  </sheetViews>
  <sheetFormatPr defaultRowHeight="15" x14ac:dyDescent="0.25"/>
  <cols>
    <col min="1" max="1" width="6" customWidth="1"/>
    <col min="2" max="2" width="45.5703125" bestFit="1" customWidth="1"/>
    <col min="257" max="257" width="6" customWidth="1"/>
    <col min="258" max="258" width="45.5703125" bestFit="1" customWidth="1"/>
    <col min="513" max="513" width="6" customWidth="1"/>
    <col min="514" max="514" width="45.5703125" bestFit="1" customWidth="1"/>
    <col min="769" max="769" width="6" customWidth="1"/>
    <col min="770" max="770" width="45.5703125" bestFit="1" customWidth="1"/>
    <col min="1025" max="1025" width="6" customWidth="1"/>
    <col min="1026" max="1026" width="45.5703125" bestFit="1" customWidth="1"/>
    <col min="1281" max="1281" width="6" customWidth="1"/>
    <col min="1282" max="1282" width="45.5703125" bestFit="1" customWidth="1"/>
    <col min="1537" max="1537" width="6" customWidth="1"/>
    <col min="1538" max="1538" width="45.5703125" bestFit="1" customWidth="1"/>
    <col min="1793" max="1793" width="6" customWidth="1"/>
    <col min="1794" max="1794" width="45.5703125" bestFit="1" customWidth="1"/>
    <col min="2049" max="2049" width="6" customWidth="1"/>
    <col min="2050" max="2050" width="45.5703125" bestFit="1" customWidth="1"/>
    <col min="2305" max="2305" width="6" customWidth="1"/>
    <col min="2306" max="2306" width="45.5703125" bestFit="1" customWidth="1"/>
    <col min="2561" max="2561" width="6" customWidth="1"/>
    <col min="2562" max="2562" width="45.5703125" bestFit="1" customWidth="1"/>
    <col min="2817" max="2817" width="6" customWidth="1"/>
    <col min="2818" max="2818" width="45.5703125" bestFit="1" customWidth="1"/>
    <col min="3073" max="3073" width="6" customWidth="1"/>
    <col min="3074" max="3074" width="45.5703125" bestFit="1" customWidth="1"/>
    <col min="3329" max="3329" width="6" customWidth="1"/>
    <col min="3330" max="3330" width="45.5703125" bestFit="1" customWidth="1"/>
    <col min="3585" max="3585" width="6" customWidth="1"/>
    <col min="3586" max="3586" width="45.5703125" bestFit="1" customWidth="1"/>
    <col min="3841" max="3841" width="6" customWidth="1"/>
    <col min="3842" max="3842" width="45.5703125" bestFit="1" customWidth="1"/>
    <col min="4097" max="4097" width="6" customWidth="1"/>
    <col min="4098" max="4098" width="45.5703125" bestFit="1" customWidth="1"/>
    <col min="4353" max="4353" width="6" customWidth="1"/>
    <col min="4354" max="4354" width="45.5703125" bestFit="1" customWidth="1"/>
    <col min="4609" max="4609" width="6" customWidth="1"/>
    <col min="4610" max="4610" width="45.5703125" bestFit="1" customWidth="1"/>
    <col min="4865" max="4865" width="6" customWidth="1"/>
    <col min="4866" max="4866" width="45.5703125" bestFit="1" customWidth="1"/>
    <col min="5121" max="5121" width="6" customWidth="1"/>
    <col min="5122" max="5122" width="45.5703125" bestFit="1" customWidth="1"/>
    <col min="5377" max="5377" width="6" customWidth="1"/>
    <col min="5378" max="5378" width="45.5703125" bestFit="1" customWidth="1"/>
    <col min="5633" max="5633" width="6" customWidth="1"/>
    <col min="5634" max="5634" width="45.5703125" bestFit="1" customWidth="1"/>
    <col min="5889" max="5889" width="6" customWidth="1"/>
    <col min="5890" max="5890" width="45.5703125" bestFit="1" customWidth="1"/>
    <col min="6145" max="6145" width="6" customWidth="1"/>
    <col min="6146" max="6146" width="45.5703125" bestFit="1" customWidth="1"/>
    <col min="6401" max="6401" width="6" customWidth="1"/>
    <col min="6402" max="6402" width="45.5703125" bestFit="1" customWidth="1"/>
    <col min="6657" max="6657" width="6" customWidth="1"/>
    <col min="6658" max="6658" width="45.5703125" bestFit="1" customWidth="1"/>
    <col min="6913" max="6913" width="6" customWidth="1"/>
    <col min="6914" max="6914" width="45.5703125" bestFit="1" customWidth="1"/>
    <col min="7169" max="7169" width="6" customWidth="1"/>
    <col min="7170" max="7170" width="45.5703125" bestFit="1" customWidth="1"/>
    <col min="7425" max="7425" width="6" customWidth="1"/>
    <col min="7426" max="7426" width="45.5703125" bestFit="1" customWidth="1"/>
    <col min="7681" max="7681" width="6" customWidth="1"/>
    <col min="7682" max="7682" width="45.5703125" bestFit="1" customWidth="1"/>
    <col min="7937" max="7937" width="6" customWidth="1"/>
    <col min="7938" max="7938" width="45.5703125" bestFit="1" customWidth="1"/>
    <col min="8193" max="8193" width="6" customWidth="1"/>
    <col min="8194" max="8194" width="45.5703125" bestFit="1" customWidth="1"/>
    <col min="8449" max="8449" width="6" customWidth="1"/>
    <col min="8450" max="8450" width="45.5703125" bestFit="1" customWidth="1"/>
    <col min="8705" max="8705" width="6" customWidth="1"/>
    <col min="8706" max="8706" width="45.5703125" bestFit="1" customWidth="1"/>
    <col min="8961" max="8961" width="6" customWidth="1"/>
    <col min="8962" max="8962" width="45.5703125" bestFit="1" customWidth="1"/>
    <col min="9217" max="9217" width="6" customWidth="1"/>
    <col min="9218" max="9218" width="45.5703125" bestFit="1" customWidth="1"/>
    <col min="9473" max="9473" width="6" customWidth="1"/>
    <col min="9474" max="9474" width="45.5703125" bestFit="1" customWidth="1"/>
    <col min="9729" max="9729" width="6" customWidth="1"/>
    <col min="9730" max="9730" width="45.5703125" bestFit="1" customWidth="1"/>
    <col min="9985" max="9985" width="6" customWidth="1"/>
    <col min="9986" max="9986" width="45.5703125" bestFit="1" customWidth="1"/>
    <col min="10241" max="10241" width="6" customWidth="1"/>
    <col min="10242" max="10242" width="45.5703125" bestFit="1" customWidth="1"/>
    <col min="10497" max="10497" width="6" customWidth="1"/>
    <col min="10498" max="10498" width="45.5703125" bestFit="1" customWidth="1"/>
    <col min="10753" max="10753" width="6" customWidth="1"/>
    <col min="10754" max="10754" width="45.5703125" bestFit="1" customWidth="1"/>
    <col min="11009" max="11009" width="6" customWidth="1"/>
    <col min="11010" max="11010" width="45.5703125" bestFit="1" customWidth="1"/>
    <col min="11265" max="11265" width="6" customWidth="1"/>
    <col min="11266" max="11266" width="45.5703125" bestFit="1" customWidth="1"/>
    <col min="11521" max="11521" width="6" customWidth="1"/>
    <col min="11522" max="11522" width="45.5703125" bestFit="1" customWidth="1"/>
    <col min="11777" max="11777" width="6" customWidth="1"/>
    <col min="11778" max="11778" width="45.5703125" bestFit="1" customWidth="1"/>
    <col min="12033" max="12033" width="6" customWidth="1"/>
    <col min="12034" max="12034" width="45.5703125" bestFit="1" customWidth="1"/>
    <col min="12289" max="12289" width="6" customWidth="1"/>
    <col min="12290" max="12290" width="45.5703125" bestFit="1" customWidth="1"/>
    <col min="12545" max="12545" width="6" customWidth="1"/>
    <col min="12546" max="12546" width="45.5703125" bestFit="1" customWidth="1"/>
    <col min="12801" max="12801" width="6" customWidth="1"/>
    <col min="12802" max="12802" width="45.5703125" bestFit="1" customWidth="1"/>
    <col min="13057" max="13057" width="6" customWidth="1"/>
    <col min="13058" max="13058" width="45.5703125" bestFit="1" customWidth="1"/>
    <col min="13313" max="13313" width="6" customWidth="1"/>
    <col min="13314" max="13314" width="45.5703125" bestFit="1" customWidth="1"/>
    <col min="13569" max="13569" width="6" customWidth="1"/>
    <col min="13570" max="13570" width="45.5703125" bestFit="1" customWidth="1"/>
    <col min="13825" max="13825" width="6" customWidth="1"/>
    <col min="13826" max="13826" width="45.5703125" bestFit="1" customWidth="1"/>
    <col min="14081" max="14081" width="6" customWidth="1"/>
    <col min="14082" max="14082" width="45.5703125" bestFit="1" customWidth="1"/>
    <col min="14337" max="14337" width="6" customWidth="1"/>
    <col min="14338" max="14338" width="45.5703125" bestFit="1" customWidth="1"/>
    <col min="14593" max="14593" width="6" customWidth="1"/>
    <col min="14594" max="14594" width="45.5703125" bestFit="1" customWidth="1"/>
    <col min="14849" max="14849" width="6" customWidth="1"/>
    <col min="14850" max="14850" width="45.5703125" bestFit="1" customWidth="1"/>
    <col min="15105" max="15105" width="6" customWidth="1"/>
    <col min="15106" max="15106" width="45.5703125" bestFit="1" customWidth="1"/>
    <col min="15361" max="15361" width="6" customWidth="1"/>
    <col min="15362" max="15362" width="45.5703125" bestFit="1" customWidth="1"/>
    <col min="15617" max="15617" width="6" customWidth="1"/>
    <col min="15618" max="15618" width="45.5703125" bestFit="1" customWidth="1"/>
    <col min="15873" max="15873" width="6" customWidth="1"/>
    <col min="15874" max="15874" width="45.5703125" bestFit="1" customWidth="1"/>
    <col min="16129" max="16129" width="6" customWidth="1"/>
    <col min="16130" max="16130" width="45.5703125" bestFit="1" customWidth="1"/>
  </cols>
  <sheetData>
    <row r="1" spans="1:2" x14ac:dyDescent="0.25">
      <c r="A1" s="45" t="s">
        <v>467</v>
      </c>
    </row>
    <row r="2" spans="1:2" x14ac:dyDescent="0.25">
      <c r="A2" s="45" t="s">
        <v>295</v>
      </c>
    </row>
    <row r="3" spans="1:2" x14ac:dyDescent="0.25">
      <c r="A3" s="45"/>
    </row>
    <row r="4" spans="1:2" x14ac:dyDescent="0.25">
      <c r="A4" s="45" t="s">
        <v>296</v>
      </c>
    </row>
    <row r="6" spans="1:2" x14ac:dyDescent="0.25">
      <c r="A6" t="s">
        <v>297</v>
      </c>
    </row>
    <row r="8" spans="1:2" s="751" customFormat="1" x14ac:dyDescent="0.25">
      <c r="A8" s="751" t="s">
        <v>298</v>
      </c>
      <c r="B8" s="752" t="s">
        <v>299</v>
      </c>
    </row>
    <row r="9" spans="1:2" s="751" customFormat="1" x14ac:dyDescent="0.25">
      <c r="A9" s="751" t="s">
        <v>300</v>
      </c>
      <c r="B9" s="752" t="s">
        <v>301</v>
      </c>
    </row>
    <row r="10" spans="1:2" s="751" customFormat="1" x14ac:dyDescent="0.25">
      <c r="A10" s="751" t="s">
        <v>302</v>
      </c>
      <c r="B10" s="752" t="s">
        <v>303</v>
      </c>
    </row>
    <row r="11" spans="1:2" s="751" customFormat="1" x14ac:dyDescent="0.25">
      <c r="A11" s="751" t="s">
        <v>304</v>
      </c>
      <c r="B11" s="752" t="s">
        <v>305</v>
      </c>
    </row>
    <row r="12" spans="1:2" s="751" customFormat="1" x14ac:dyDescent="0.25">
      <c r="A12" s="751" t="s">
        <v>306</v>
      </c>
      <c r="B12" s="752" t="s">
        <v>307</v>
      </c>
    </row>
    <row r="13" spans="1:2" s="751" customFormat="1" x14ac:dyDescent="0.25">
      <c r="A13" s="751" t="s">
        <v>308</v>
      </c>
      <c r="B13" s="752" t="s">
        <v>309</v>
      </c>
    </row>
    <row r="14" spans="1:2" s="751" customFormat="1" x14ac:dyDescent="0.25">
      <c r="A14" s="751" t="s">
        <v>310</v>
      </c>
      <c r="B14" s="752" t="s">
        <v>311</v>
      </c>
    </row>
    <row r="15" spans="1:2" s="751" customFormat="1" x14ac:dyDescent="0.25">
      <c r="A15" s="751" t="s">
        <v>312</v>
      </c>
      <c r="B15" s="752" t="s">
        <v>313</v>
      </c>
    </row>
    <row r="16" spans="1:2" s="751" customFormat="1" x14ac:dyDescent="0.25">
      <c r="A16" s="751" t="s">
        <v>314</v>
      </c>
      <c r="B16" s="752" t="s">
        <v>359</v>
      </c>
    </row>
    <row r="17" spans="1:2" s="751" customFormat="1" x14ac:dyDescent="0.25">
      <c r="A17" s="751" t="s">
        <v>316</v>
      </c>
      <c r="B17" s="752" t="s">
        <v>315</v>
      </c>
    </row>
    <row r="18" spans="1:2" s="751" customFormat="1" x14ac:dyDescent="0.25">
      <c r="A18" s="751" t="s">
        <v>318</v>
      </c>
      <c r="B18" s="752" t="s">
        <v>317</v>
      </c>
    </row>
    <row r="19" spans="1:2" s="751" customFormat="1" x14ac:dyDescent="0.25">
      <c r="A19" s="751" t="s">
        <v>320</v>
      </c>
      <c r="B19" s="752" t="s">
        <v>319</v>
      </c>
    </row>
    <row r="20" spans="1:2" s="751" customFormat="1" x14ac:dyDescent="0.25">
      <c r="A20" s="751" t="s">
        <v>322</v>
      </c>
      <c r="B20" s="752" t="s">
        <v>321</v>
      </c>
    </row>
    <row r="21" spans="1:2" s="751" customFormat="1" x14ac:dyDescent="0.25">
      <c r="A21" s="751" t="s">
        <v>324</v>
      </c>
      <c r="B21" s="752" t="s">
        <v>323</v>
      </c>
    </row>
    <row r="22" spans="1:2" s="751" customFormat="1" x14ac:dyDescent="0.25">
      <c r="A22" s="751" t="s">
        <v>326</v>
      </c>
      <c r="B22" s="752" t="s">
        <v>325</v>
      </c>
    </row>
    <row r="23" spans="1:2" s="751" customFormat="1" x14ac:dyDescent="0.25">
      <c r="A23" s="751" t="s">
        <v>328</v>
      </c>
      <c r="B23" s="752" t="s">
        <v>327</v>
      </c>
    </row>
    <row r="24" spans="1:2" s="751" customFormat="1" x14ac:dyDescent="0.25">
      <c r="A24" s="751" t="s">
        <v>330</v>
      </c>
      <c r="B24" s="752" t="s">
        <v>329</v>
      </c>
    </row>
    <row r="25" spans="1:2" s="751" customFormat="1" x14ac:dyDescent="0.25">
      <c r="A25" s="751" t="s">
        <v>332</v>
      </c>
      <c r="B25" s="752" t="s">
        <v>331</v>
      </c>
    </row>
    <row r="26" spans="1:2" s="751" customFormat="1" x14ac:dyDescent="0.25">
      <c r="A26" s="751" t="s">
        <v>334</v>
      </c>
      <c r="B26" s="752" t="s">
        <v>360</v>
      </c>
    </row>
    <row r="27" spans="1:2" s="751" customFormat="1" x14ac:dyDescent="0.25">
      <c r="A27" s="751" t="s">
        <v>336</v>
      </c>
      <c r="B27" s="752" t="s">
        <v>333</v>
      </c>
    </row>
    <row r="28" spans="1:2" s="751" customFormat="1" x14ac:dyDescent="0.25">
      <c r="A28" s="751" t="s">
        <v>338</v>
      </c>
      <c r="B28" s="752" t="s">
        <v>335</v>
      </c>
    </row>
    <row r="29" spans="1:2" s="751" customFormat="1" x14ac:dyDescent="0.25">
      <c r="A29" s="751" t="s">
        <v>340</v>
      </c>
      <c r="B29" s="752" t="s">
        <v>337</v>
      </c>
    </row>
    <row r="30" spans="1:2" s="751" customFormat="1" x14ac:dyDescent="0.25">
      <c r="A30" s="751" t="s">
        <v>342</v>
      </c>
      <c r="B30" s="752" t="s">
        <v>339</v>
      </c>
    </row>
    <row r="31" spans="1:2" s="751" customFormat="1" x14ac:dyDescent="0.25">
      <c r="A31" s="751" t="s">
        <v>344</v>
      </c>
      <c r="B31" s="752" t="s">
        <v>361</v>
      </c>
    </row>
    <row r="32" spans="1:2" s="751" customFormat="1" x14ac:dyDescent="0.25">
      <c r="A32" s="751" t="s">
        <v>346</v>
      </c>
      <c r="B32" s="752" t="s">
        <v>341</v>
      </c>
    </row>
    <row r="33" spans="1:2" s="751" customFormat="1" x14ac:dyDescent="0.25">
      <c r="A33" s="751" t="s">
        <v>348</v>
      </c>
      <c r="B33" s="752" t="s">
        <v>343</v>
      </c>
    </row>
    <row r="34" spans="1:2" s="751" customFormat="1" x14ac:dyDescent="0.25">
      <c r="A34" s="751" t="s">
        <v>350</v>
      </c>
      <c r="B34" s="752" t="s">
        <v>345</v>
      </c>
    </row>
    <row r="35" spans="1:2" s="751" customFormat="1" x14ac:dyDescent="0.25">
      <c r="A35" s="751" t="s">
        <v>352</v>
      </c>
      <c r="B35" s="752" t="s">
        <v>347</v>
      </c>
    </row>
    <row r="36" spans="1:2" s="751" customFormat="1" x14ac:dyDescent="0.25">
      <c r="A36" s="751" t="s">
        <v>354</v>
      </c>
      <c r="B36" s="752" t="s">
        <v>349</v>
      </c>
    </row>
    <row r="37" spans="1:2" s="751" customFormat="1" x14ac:dyDescent="0.25">
      <c r="A37" s="751" t="s">
        <v>356</v>
      </c>
      <c r="B37" s="752" t="s">
        <v>351</v>
      </c>
    </row>
    <row r="38" spans="1:2" s="751" customFormat="1" x14ac:dyDescent="0.25">
      <c r="A38" s="751" t="s">
        <v>362</v>
      </c>
      <c r="B38" s="752" t="s">
        <v>353</v>
      </c>
    </row>
    <row r="39" spans="1:2" s="751" customFormat="1" x14ac:dyDescent="0.25">
      <c r="A39" s="751" t="s">
        <v>363</v>
      </c>
      <c r="B39" s="752" t="s">
        <v>355</v>
      </c>
    </row>
    <row r="40" spans="1:2" s="751" customFormat="1" x14ac:dyDescent="0.25">
      <c r="A40" s="751" t="s">
        <v>364</v>
      </c>
      <c r="B40" s="752" t="s">
        <v>357</v>
      </c>
    </row>
    <row r="41" spans="1:2" s="751" customFormat="1" x14ac:dyDescent="0.25"/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8B33EC-59C8-4197-9557-0F89C325D172}">
  <sheetPr>
    <pageSetUpPr fitToPage="1"/>
  </sheetPr>
  <dimension ref="A1:Q149"/>
  <sheetViews>
    <sheetView zoomScaleNormal="100" workbookViewId="0">
      <selection activeCell="G2" sqref="G2"/>
    </sheetView>
  </sheetViews>
  <sheetFormatPr defaultRowHeight="11.25" x14ac:dyDescent="0.2"/>
  <cols>
    <col min="1" max="1" width="5.7109375" style="8" bestFit="1" customWidth="1"/>
    <col min="2" max="2" width="5" style="2" bestFit="1" customWidth="1"/>
    <col min="3" max="3" width="21" style="10" bestFit="1" customWidth="1"/>
    <col min="4" max="4" width="7.28515625" style="10" customWidth="1"/>
    <col min="5" max="5" width="5.140625" style="9" bestFit="1" customWidth="1"/>
    <col min="6" max="6" width="2.140625" style="8" customWidth="1"/>
    <col min="7" max="7" width="39.85546875" style="28" bestFit="1" customWidth="1"/>
    <col min="8" max="8" width="11.42578125" style="630" customWidth="1"/>
    <col min="9" max="9" width="11.7109375" style="4" customWidth="1"/>
    <col min="10" max="10" width="10.5703125" style="4" customWidth="1"/>
    <col min="11" max="11" width="11" style="4" customWidth="1"/>
    <col min="12" max="12" width="10.28515625" style="4" customWidth="1"/>
    <col min="13" max="13" width="10.7109375" style="630" customWidth="1"/>
    <col min="14" max="256" width="9.140625" style="4"/>
    <col min="257" max="257" width="5.7109375" style="4" bestFit="1" customWidth="1"/>
    <col min="258" max="258" width="5" style="4" bestFit="1" customWidth="1"/>
    <col min="259" max="259" width="21" style="4" bestFit="1" customWidth="1"/>
    <col min="260" max="260" width="7.28515625" style="4" customWidth="1"/>
    <col min="261" max="261" width="5.140625" style="4" bestFit="1" customWidth="1"/>
    <col min="262" max="262" width="2.140625" style="4" customWidth="1"/>
    <col min="263" max="263" width="39.85546875" style="4" bestFit="1" customWidth="1"/>
    <col min="264" max="264" width="11.42578125" style="4" customWidth="1"/>
    <col min="265" max="265" width="11.7109375" style="4" customWidth="1"/>
    <col min="266" max="266" width="10.5703125" style="4" customWidth="1"/>
    <col min="267" max="267" width="11" style="4" customWidth="1"/>
    <col min="268" max="268" width="10.28515625" style="4" customWidth="1"/>
    <col min="269" max="269" width="10.7109375" style="4" customWidth="1"/>
    <col min="270" max="512" width="9.140625" style="4"/>
    <col min="513" max="513" width="5.7109375" style="4" bestFit="1" customWidth="1"/>
    <col min="514" max="514" width="5" style="4" bestFit="1" customWidth="1"/>
    <col min="515" max="515" width="21" style="4" bestFit="1" customWidth="1"/>
    <col min="516" max="516" width="7.28515625" style="4" customWidth="1"/>
    <col min="517" max="517" width="5.140625" style="4" bestFit="1" customWidth="1"/>
    <col min="518" max="518" width="2.140625" style="4" customWidth="1"/>
    <col min="519" max="519" width="39.85546875" style="4" bestFit="1" customWidth="1"/>
    <col min="520" max="520" width="11.42578125" style="4" customWidth="1"/>
    <col min="521" max="521" width="11.7109375" style="4" customWidth="1"/>
    <col min="522" max="522" width="10.5703125" style="4" customWidth="1"/>
    <col min="523" max="523" width="11" style="4" customWidth="1"/>
    <col min="524" max="524" width="10.28515625" style="4" customWidth="1"/>
    <col min="525" max="525" width="10.7109375" style="4" customWidth="1"/>
    <col min="526" max="768" width="9.140625" style="4"/>
    <col min="769" max="769" width="5.7109375" style="4" bestFit="1" customWidth="1"/>
    <col min="770" max="770" width="5" style="4" bestFit="1" customWidth="1"/>
    <col min="771" max="771" width="21" style="4" bestFit="1" customWidth="1"/>
    <col min="772" max="772" width="7.28515625" style="4" customWidth="1"/>
    <col min="773" max="773" width="5.140625" style="4" bestFit="1" customWidth="1"/>
    <col min="774" max="774" width="2.140625" style="4" customWidth="1"/>
    <col min="775" max="775" width="39.85546875" style="4" bestFit="1" customWidth="1"/>
    <col min="776" max="776" width="11.42578125" style="4" customWidth="1"/>
    <col min="777" max="777" width="11.7109375" style="4" customWidth="1"/>
    <col min="778" max="778" width="10.5703125" style="4" customWidth="1"/>
    <col min="779" max="779" width="11" style="4" customWidth="1"/>
    <col min="780" max="780" width="10.28515625" style="4" customWidth="1"/>
    <col min="781" max="781" width="10.7109375" style="4" customWidth="1"/>
    <col min="782" max="1024" width="9.140625" style="4"/>
    <col min="1025" max="1025" width="5.7109375" style="4" bestFit="1" customWidth="1"/>
    <col min="1026" max="1026" width="5" style="4" bestFit="1" customWidth="1"/>
    <col min="1027" max="1027" width="21" style="4" bestFit="1" customWidth="1"/>
    <col min="1028" max="1028" width="7.28515625" style="4" customWidth="1"/>
    <col min="1029" max="1029" width="5.140625" style="4" bestFit="1" customWidth="1"/>
    <col min="1030" max="1030" width="2.140625" style="4" customWidth="1"/>
    <col min="1031" max="1031" width="39.85546875" style="4" bestFit="1" customWidth="1"/>
    <col min="1032" max="1032" width="11.42578125" style="4" customWidth="1"/>
    <col min="1033" max="1033" width="11.7109375" style="4" customWidth="1"/>
    <col min="1034" max="1034" width="10.5703125" style="4" customWidth="1"/>
    <col min="1035" max="1035" width="11" style="4" customWidth="1"/>
    <col min="1036" max="1036" width="10.28515625" style="4" customWidth="1"/>
    <col min="1037" max="1037" width="10.7109375" style="4" customWidth="1"/>
    <col min="1038" max="1280" width="9.140625" style="4"/>
    <col min="1281" max="1281" width="5.7109375" style="4" bestFit="1" customWidth="1"/>
    <col min="1282" max="1282" width="5" style="4" bestFit="1" customWidth="1"/>
    <col min="1283" max="1283" width="21" style="4" bestFit="1" customWidth="1"/>
    <col min="1284" max="1284" width="7.28515625" style="4" customWidth="1"/>
    <col min="1285" max="1285" width="5.140625" style="4" bestFit="1" customWidth="1"/>
    <col min="1286" max="1286" width="2.140625" style="4" customWidth="1"/>
    <col min="1287" max="1287" width="39.85546875" style="4" bestFit="1" customWidth="1"/>
    <col min="1288" max="1288" width="11.42578125" style="4" customWidth="1"/>
    <col min="1289" max="1289" width="11.7109375" style="4" customWidth="1"/>
    <col min="1290" max="1290" width="10.5703125" style="4" customWidth="1"/>
    <col min="1291" max="1291" width="11" style="4" customWidth="1"/>
    <col min="1292" max="1292" width="10.28515625" style="4" customWidth="1"/>
    <col min="1293" max="1293" width="10.7109375" style="4" customWidth="1"/>
    <col min="1294" max="1536" width="9.140625" style="4"/>
    <col min="1537" max="1537" width="5.7109375" style="4" bestFit="1" customWidth="1"/>
    <col min="1538" max="1538" width="5" style="4" bestFit="1" customWidth="1"/>
    <col min="1539" max="1539" width="21" style="4" bestFit="1" customWidth="1"/>
    <col min="1540" max="1540" width="7.28515625" style="4" customWidth="1"/>
    <col min="1541" max="1541" width="5.140625" style="4" bestFit="1" customWidth="1"/>
    <col min="1542" max="1542" width="2.140625" style="4" customWidth="1"/>
    <col min="1543" max="1543" width="39.85546875" style="4" bestFit="1" customWidth="1"/>
    <col min="1544" max="1544" width="11.42578125" style="4" customWidth="1"/>
    <col min="1545" max="1545" width="11.7109375" style="4" customWidth="1"/>
    <col min="1546" max="1546" width="10.5703125" style="4" customWidth="1"/>
    <col min="1547" max="1547" width="11" style="4" customWidth="1"/>
    <col min="1548" max="1548" width="10.28515625" style="4" customWidth="1"/>
    <col min="1549" max="1549" width="10.7109375" style="4" customWidth="1"/>
    <col min="1550" max="1792" width="9.140625" style="4"/>
    <col min="1793" max="1793" width="5.7109375" style="4" bestFit="1" customWidth="1"/>
    <col min="1794" max="1794" width="5" style="4" bestFit="1" customWidth="1"/>
    <col min="1795" max="1795" width="21" style="4" bestFit="1" customWidth="1"/>
    <col min="1796" max="1796" width="7.28515625" style="4" customWidth="1"/>
    <col min="1797" max="1797" width="5.140625" style="4" bestFit="1" customWidth="1"/>
    <col min="1798" max="1798" width="2.140625" style="4" customWidth="1"/>
    <col min="1799" max="1799" width="39.85546875" style="4" bestFit="1" customWidth="1"/>
    <col min="1800" max="1800" width="11.42578125" style="4" customWidth="1"/>
    <col min="1801" max="1801" width="11.7109375" style="4" customWidth="1"/>
    <col min="1802" max="1802" width="10.5703125" style="4" customWidth="1"/>
    <col min="1803" max="1803" width="11" style="4" customWidth="1"/>
    <col min="1804" max="1804" width="10.28515625" style="4" customWidth="1"/>
    <col min="1805" max="1805" width="10.7109375" style="4" customWidth="1"/>
    <col min="1806" max="2048" width="9.140625" style="4"/>
    <col min="2049" max="2049" width="5.7109375" style="4" bestFit="1" customWidth="1"/>
    <col min="2050" max="2050" width="5" style="4" bestFit="1" customWidth="1"/>
    <col min="2051" max="2051" width="21" style="4" bestFit="1" customWidth="1"/>
    <col min="2052" max="2052" width="7.28515625" style="4" customWidth="1"/>
    <col min="2053" max="2053" width="5.140625" style="4" bestFit="1" customWidth="1"/>
    <col min="2054" max="2054" width="2.140625" style="4" customWidth="1"/>
    <col min="2055" max="2055" width="39.85546875" style="4" bestFit="1" customWidth="1"/>
    <col min="2056" max="2056" width="11.42578125" style="4" customWidth="1"/>
    <col min="2057" max="2057" width="11.7109375" style="4" customWidth="1"/>
    <col min="2058" max="2058" width="10.5703125" style="4" customWidth="1"/>
    <col min="2059" max="2059" width="11" style="4" customWidth="1"/>
    <col min="2060" max="2060" width="10.28515625" style="4" customWidth="1"/>
    <col min="2061" max="2061" width="10.7109375" style="4" customWidth="1"/>
    <col min="2062" max="2304" width="9.140625" style="4"/>
    <col min="2305" max="2305" width="5.7109375" style="4" bestFit="1" customWidth="1"/>
    <col min="2306" max="2306" width="5" style="4" bestFit="1" customWidth="1"/>
    <col min="2307" max="2307" width="21" style="4" bestFit="1" customWidth="1"/>
    <col min="2308" max="2308" width="7.28515625" style="4" customWidth="1"/>
    <col min="2309" max="2309" width="5.140625" style="4" bestFit="1" customWidth="1"/>
    <col min="2310" max="2310" width="2.140625" style="4" customWidth="1"/>
    <col min="2311" max="2311" width="39.85546875" style="4" bestFit="1" customWidth="1"/>
    <col min="2312" max="2312" width="11.42578125" style="4" customWidth="1"/>
    <col min="2313" max="2313" width="11.7109375" style="4" customWidth="1"/>
    <col min="2314" max="2314" width="10.5703125" style="4" customWidth="1"/>
    <col min="2315" max="2315" width="11" style="4" customWidth="1"/>
    <col min="2316" max="2316" width="10.28515625" style="4" customWidth="1"/>
    <col min="2317" max="2317" width="10.7109375" style="4" customWidth="1"/>
    <col min="2318" max="2560" width="9.140625" style="4"/>
    <col min="2561" max="2561" width="5.7109375" style="4" bestFit="1" customWidth="1"/>
    <col min="2562" max="2562" width="5" style="4" bestFit="1" customWidth="1"/>
    <col min="2563" max="2563" width="21" style="4" bestFit="1" customWidth="1"/>
    <col min="2564" max="2564" width="7.28515625" style="4" customWidth="1"/>
    <col min="2565" max="2565" width="5.140625" style="4" bestFit="1" customWidth="1"/>
    <col min="2566" max="2566" width="2.140625" style="4" customWidth="1"/>
    <col min="2567" max="2567" width="39.85546875" style="4" bestFit="1" customWidth="1"/>
    <col min="2568" max="2568" width="11.42578125" style="4" customWidth="1"/>
    <col min="2569" max="2569" width="11.7109375" style="4" customWidth="1"/>
    <col min="2570" max="2570" width="10.5703125" style="4" customWidth="1"/>
    <col min="2571" max="2571" width="11" style="4" customWidth="1"/>
    <col min="2572" max="2572" width="10.28515625" style="4" customWidth="1"/>
    <col min="2573" max="2573" width="10.7109375" style="4" customWidth="1"/>
    <col min="2574" max="2816" width="9.140625" style="4"/>
    <col min="2817" max="2817" width="5.7109375" style="4" bestFit="1" customWidth="1"/>
    <col min="2818" max="2818" width="5" style="4" bestFit="1" customWidth="1"/>
    <col min="2819" max="2819" width="21" style="4" bestFit="1" customWidth="1"/>
    <col min="2820" max="2820" width="7.28515625" style="4" customWidth="1"/>
    <col min="2821" max="2821" width="5.140625" style="4" bestFit="1" customWidth="1"/>
    <col min="2822" max="2822" width="2.140625" style="4" customWidth="1"/>
    <col min="2823" max="2823" width="39.85546875" style="4" bestFit="1" customWidth="1"/>
    <col min="2824" max="2824" width="11.42578125" style="4" customWidth="1"/>
    <col min="2825" max="2825" width="11.7109375" style="4" customWidth="1"/>
    <col min="2826" max="2826" width="10.5703125" style="4" customWidth="1"/>
    <col min="2827" max="2827" width="11" style="4" customWidth="1"/>
    <col min="2828" max="2828" width="10.28515625" style="4" customWidth="1"/>
    <col min="2829" max="2829" width="10.7109375" style="4" customWidth="1"/>
    <col min="2830" max="3072" width="9.140625" style="4"/>
    <col min="3073" max="3073" width="5.7109375" style="4" bestFit="1" customWidth="1"/>
    <col min="3074" max="3074" width="5" style="4" bestFit="1" customWidth="1"/>
    <col min="3075" max="3075" width="21" style="4" bestFit="1" customWidth="1"/>
    <col min="3076" max="3076" width="7.28515625" style="4" customWidth="1"/>
    <col min="3077" max="3077" width="5.140625" style="4" bestFit="1" customWidth="1"/>
    <col min="3078" max="3078" width="2.140625" style="4" customWidth="1"/>
    <col min="3079" max="3079" width="39.85546875" style="4" bestFit="1" customWidth="1"/>
    <col min="3080" max="3080" width="11.42578125" style="4" customWidth="1"/>
    <col min="3081" max="3081" width="11.7109375" style="4" customWidth="1"/>
    <col min="3082" max="3082" width="10.5703125" style="4" customWidth="1"/>
    <col min="3083" max="3083" width="11" style="4" customWidth="1"/>
    <col min="3084" max="3084" width="10.28515625" style="4" customWidth="1"/>
    <col min="3085" max="3085" width="10.7109375" style="4" customWidth="1"/>
    <col min="3086" max="3328" width="9.140625" style="4"/>
    <col min="3329" max="3329" width="5.7109375" style="4" bestFit="1" customWidth="1"/>
    <col min="3330" max="3330" width="5" style="4" bestFit="1" customWidth="1"/>
    <col min="3331" max="3331" width="21" style="4" bestFit="1" customWidth="1"/>
    <col min="3332" max="3332" width="7.28515625" style="4" customWidth="1"/>
    <col min="3333" max="3333" width="5.140625" style="4" bestFit="1" customWidth="1"/>
    <col min="3334" max="3334" width="2.140625" style="4" customWidth="1"/>
    <col min="3335" max="3335" width="39.85546875" style="4" bestFit="1" customWidth="1"/>
    <col min="3336" max="3336" width="11.42578125" style="4" customWidth="1"/>
    <col min="3337" max="3337" width="11.7109375" style="4" customWidth="1"/>
    <col min="3338" max="3338" width="10.5703125" style="4" customWidth="1"/>
    <col min="3339" max="3339" width="11" style="4" customWidth="1"/>
    <col min="3340" max="3340" width="10.28515625" style="4" customWidth="1"/>
    <col min="3341" max="3341" width="10.7109375" style="4" customWidth="1"/>
    <col min="3342" max="3584" width="9.140625" style="4"/>
    <col min="3585" max="3585" width="5.7109375" style="4" bestFit="1" customWidth="1"/>
    <col min="3586" max="3586" width="5" style="4" bestFit="1" customWidth="1"/>
    <col min="3587" max="3587" width="21" style="4" bestFit="1" customWidth="1"/>
    <col min="3588" max="3588" width="7.28515625" style="4" customWidth="1"/>
    <col min="3589" max="3589" width="5.140625" style="4" bestFit="1" customWidth="1"/>
    <col min="3590" max="3590" width="2.140625" style="4" customWidth="1"/>
    <col min="3591" max="3591" width="39.85546875" style="4" bestFit="1" customWidth="1"/>
    <col min="3592" max="3592" width="11.42578125" style="4" customWidth="1"/>
    <col min="3593" max="3593" width="11.7109375" style="4" customWidth="1"/>
    <col min="3594" max="3594" width="10.5703125" style="4" customWidth="1"/>
    <col min="3595" max="3595" width="11" style="4" customWidth="1"/>
    <col min="3596" max="3596" width="10.28515625" style="4" customWidth="1"/>
    <col min="3597" max="3597" width="10.7109375" style="4" customWidth="1"/>
    <col min="3598" max="3840" width="9.140625" style="4"/>
    <col min="3841" max="3841" width="5.7109375" style="4" bestFit="1" customWidth="1"/>
    <col min="3842" max="3842" width="5" style="4" bestFit="1" customWidth="1"/>
    <col min="3843" max="3843" width="21" style="4" bestFit="1" customWidth="1"/>
    <col min="3844" max="3844" width="7.28515625" style="4" customWidth="1"/>
    <col min="3845" max="3845" width="5.140625" style="4" bestFit="1" customWidth="1"/>
    <col min="3846" max="3846" width="2.140625" style="4" customWidth="1"/>
    <col min="3847" max="3847" width="39.85546875" style="4" bestFit="1" customWidth="1"/>
    <col min="3848" max="3848" width="11.42578125" style="4" customWidth="1"/>
    <col min="3849" max="3849" width="11.7109375" style="4" customWidth="1"/>
    <col min="3850" max="3850" width="10.5703125" style="4" customWidth="1"/>
    <col min="3851" max="3851" width="11" style="4" customWidth="1"/>
    <col min="3852" max="3852" width="10.28515625" style="4" customWidth="1"/>
    <col min="3853" max="3853" width="10.7109375" style="4" customWidth="1"/>
    <col min="3854" max="4096" width="9.140625" style="4"/>
    <col min="4097" max="4097" width="5.7109375" style="4" bestFit="1" customWidth="1"/>
    <col min="4098" max="4098" width="5" style="4" bestFit="1" customWidth="1"/>
    <col min="4099" max="4099" width="21" style="4" bestFit="1" customWidth="1"/>
    <col min="4100" max="4100" width="7.28515625" style="4" customWidth="1"/>
    <col min="4101" max="4101" width="5.140625" style="4" bestFit="1" customWidth="1"/>
    <col min="4102" max="4102" width="2.140625" style="4" customWidth="1"/>
    <col min="4103" max="4103" width="39.85546875" style="4" bestFit="1" customWidth="1"/>
    <col min="4104" max="4104" width="11.42578125" style="4" customWidth="1"/>
    <col min="4105" max="4105" width="11.7109375" style="4" customWidth="1"/>
    <col min="4106" max="4106" width="10.5703125" style="4" customWidth="1"/>
    <col min="4107" max="4107" width="11" style="4" customWidth="1"/>
    <col min="4108" max="4108" width="10.28515625" style="4" customWidth="1"/>
    <col min="4109" max="4109" width="10.7109375" style="4" customWidth="1"/>
    <col min="4110" max="4352" width="9.140625" style="4"/>
    <col min="4353" max="4353" width="5.7109375" style="4" bestFit="1" customWidth="1"/>
    <col min="4354" max="4354" width="5" style="4" bestFit="1" customWidth="1"/>
    <col min="4355" max="4355" width="21" style="4" bestFit="1" customWidth="1"/>
    <col min="4356" max="4356" width="7.28515625" style="4" customWidth="1"/>
    <col min="4357" max="4357" width="5.140625" style="4" bestFit="1" customWidth="1"/>
    <col min="4358" max="4358" width="2.140625" style="4" customWidth="1"/>
    <col min="4359" max="4359" width="39.85546875" style="4" bestFit="1" customWidth="1"/>
    <col min="4360" max="4360" width="11.42578125" style="4" customWidth="1"/>
    <col min="4361" max="4361" width="11.7109375" style="4" customWidth="1"/>
    <col min="4362" max="4362" width="10.5703125" style="4" customWidth="1"/>
    <col min="4363" max="4363" width="11" style="4" customWidth="1"/>
    <col min="4364" max="4364" width="10.28515625" style="4" customWidth="1"/>
    <col min="4365" max="4365" width="10.7109375" style="4" customWidth="1"/>
    <col min="4366" max="4608" width="9.140625" style="4"/>
    <col min="4609" max="4609" width="5.7109375" style="4" bestFit="1" customWidth="1"/>
    <col min="4610" max="4610" width="5" style="4" bestFit="1" customWidth="1"/>
    <col min="4611" max="4611" width="21" style="4" bestFit="1" customWidth="1"/>
    <col min="4612" max="4612" width="7.28515625" style="4" customWidth="1"/>
    <col min="4613" max="4613" width="5.140625" style="4" bestFit="1" customWidth="1"/>
    <col min="4614" max="4614" width="2.140625" style="4" customWidth="1"/>
    <col min="4615" max="4615" width="39.85546875" style="4" bestFit="1" customWidth="1"/>
    <col min="4616" max="4616" width="11.42578125" style="4" customWidth="1"/>
    <col min="4617" max="4617" width="11.7109375" style="4" customWidth="1"/>
    <col min="4618" max="4618" width="10.5703125" style="4" customWidth="1"/>
    <col min="4619" max="4619" width="11" style="4" customWidth="1"/>
    <col min="4620" max="4620" width="10.28515625" style="4" customWidth="1"/>
    <col min="4621" max="4621" width="10.7109375" style="4" customWidth="1"/>
    <col min="4622" max="4864" width="9.140625" style="4"/>
    <col min="4865" max="4865" width="5.7109375" style="4" bestFit="1" customWidth="1"/>
    <col min="4866" max="4866" width="5" style="4" bestFit="1" customWidth="1"/>
    <col min="4867" max="4867" width="21" style="4" bestFit="1" customWidth="1"/>
    <col min="4868" max="4868" width="7.28515625" style="4" customWidth="1"/>
    <col min="4869" max="4869" width="5.140625" style="4" bestFit="1" customWidth="1"/>
    <col min="4870" max="4870" width="2.140625" style="4" customWidth="1"/>
    <col min="4871" max="4871" width="39.85546875" style="4" bestFit="1" customWidth="1"/>
    <col min="4872" max="4872" width="11.42578125" style="4" customWidth="1"/>
    <col min="4873" max="4873" width="11.7109375" style="4" customWidth="1"/>
    <col min="4874" max="4874" width="10.5703125" style="4" customWidth="1"/>
    <col min="4875" max="4875" width="11" style="4" customWidth="1"/>
    <col min="4876" max="4876" width="10.28515625" style="4" customWidth="1"/>
    <col min="4877" max="4877" width="10.7109375" style="4" customWidth="1"/>
    <col min="4878" max="5120" width="9.140625" style="4"/>
    <col min="5121" max="5121" width="5.7109375" style="4" bestFit="1" customWidth="1"/>
    <col min="5122" max="5122" width="5" style="4" bestFit="1" customWidth="1"/>
    <col min="5123" max="5123" width="21" style="4" bestFit="1" customWidth="1"/>
    <col min="5124" max="5124" width="7.28515625" style="4" customWidth="1"/>
    <col min="5125" max="5125" width="5.140625" style="4" bestFit="1" customWidth="1"/>
    <col min="5126" max="5126" width="2.140625" style="4" customWidth="1"/>
    <col min="5127" max="5127" width="39.85546875" style="4" bestFit="1" customWidth="1"/>
    <col min="5128" max="5128" width="11.42578125" style="4" customWidth="1"/>
    <col min="5129" max="5129" width="11.7109375" style="4" customWidth="1"/>
    <col min="5130" max="5130" width="10.5703125" style="4" customWidth="1"/>
    <col min="5131" max="5131" width="11" style="4" customWidth="1"/>
    <col min="5132" max="5132" width="10.28515625" style="4" customWidth="1"/>
    <col min="5133" max="5133" width="10.7109375" style="4" customWidth="1"/>
    <col min="5134" max="5376" width="9.140625" style="4"/>
    <col min="5377" max="5377" width="5.7109375" style="4" bestFit="1" customWidth="1"/>
    <col min="5378" max="5378" width="5" style="4" bestFit="1" customWidth="1"/>
    <col min="5379" max="5379" width="21" style="4" bestFit="1" customWidth="1"/>
    <col min="5380" max="5380" width="7.28515625" style="4" customWidth="1"/>
    <col min="5381" max="5381" width="5.140625" style="4" bestFit="1" customWidth="1"/>
    <col min="5382" max="5382" width="2.140625" style="4" customWidth="1"/>
    <col min="5383" max="5383" width="39.85546875" style="4" bestFit="1" customWidth="1"/>
    <col min="5384" max="5384" width="11.42578125" style="4" customWidth="1"/>
    <col min="5385" max="5385" width="11.7109375" style="4" customWidth="1"/>
    <col min="5386" max="5386" width="10.5703125" style="4" customWidth="1"/>
    <col min="5387" max="5387" width="11" style="4" customWidth="1"/>
    <col min="5388" max="5388" width="10.28515625" style="4" customWidth="1"/>
    <col min="5389" max="5389" width="10.7109375" style="4" customWidth="1"/>
    <col min="5390" max="5632" width="9.140625" style="4"/>
    <col min="5633" max="5633" width="5.7109375" style="4" bestFit="1" customWidth="1"/>
    <col min="5634" max="5634" width="5" style="4" bestFit="1" customWidth="1"/>
    <col min="5635" max="5635" width="21" style="4" bestFit="1" customWidth="1"/>
    <col min="5636" max="5636" width="7.28515625" style="4" customWidth="1"/>
    <col min="5637" max="5637" width="5.140625" style="4" bestFit="1" customWidth="1"/>
    <col min="5638" max="5638" width="2.140625" style="4" customWidth="1"/>
    <col min="5639" max="5639" width="39.85546875" style="4" bestFit="1" customWidth="1"/>
    <col min="5640" max="5640" width="11.42578125" style="4" customWidth="1"/>
    <col min="5641" max="5641" width="11.7109375" style="4" customWidth="1"/>
    <col min="5642" max="5642" width="10.5703125" style="4" customWidth="1"/>
    <col min="5643" max="5643" width="11" style="4" customWidth="1"/>
    <col min="5644" max="5644" width="10.28515625" style="4" customWidth="1"/>
    <col min="5645" max="5645" width="10.7109375" style="4" customWidth="1"/>
    <col min="5646" max="5888" width="9.140625" style="4"/>
    <col min="5889" max="5889" width="5.7109375" style="4" bestFit="1" customWidth="1"/>
    <col min="5890" max="5890" width="5" style="4" bestFit="1" customWidth="1"/>
    <col min="5891" max="5891" width="21" style="4" bestFit="1" customWidth="1"/>
    <col min="5892" max="5892" width="7.28515625" style="4" customWidth="1"/>
    <col min="5893" max="5893" width="5.140625" style="4" bestFit="1" customWidth="1"/>
    <col min="5894" max="5894" width="2.140625" style="4" customWidth="1"/>
    <col min="5895" max="5895" width="39.85546875" style="4" bestFit="1" customWidth="1"/>
    <col min="5896" max="5896" width="11.42578125" style="4" customWidth="1"/>
    <col min="5897" max="5897" width="11.7109375" style="4" customWidth="1"/>
    <col min="5898" max="5898" width="10.5703125" style="4" customWidth="1"/>
    <col min="5899" max="5899" width="11" style="4" customWidth="1"/>
    <col min="5900" max="5900" width="10.28515625" style="4" customWidth="1"/>
    <col min="5901" max="5901" width="10.7109375" style="4" customWidth="1"/>
    <col min="5902" max="6144" width="9.140625" style="4"/>
    <col min="6145" max="6145" width="5.7109375" style="4" bestFit="1" customWidth="1"/>
    <col min="6146" max="6146" width="5" style="4" bestFit="1" customWidth="1"/>
    <col min="6147" max="6147" width="21" style="4" bestFit="1" customWidth="1"/>
    <col min="6148" max="6148" width="7.28515625" style="4" customWidth="1"/>
    <col min="6149" max="6149" width="5.140625" style="4" bestFit="1" customWidth="1"/>
    <col min="6150" max="6150" width="2.140625" style="4" customWidth="1"/>
    <col min="6151" max="6151" width="39.85546875" style="4" bestFit="1" customWidth="1"/>
    <col min="6152" max="6152" width="11.42578125" style="4" customWidth="1"/>
    <col min="6153" max="6153" width="11.7109375" style="4" customWidth="1"/>
    <col min="6154" max="6154" width="10.5703125" style="4" customWidth="1"/>
    <col min="6155" max="6155" width="11" style="4" customWidth="1"/>
    <col min="6156" max="6156" width="10.28515625" style="4" customWidth="1"/>
    <col min="6157" max="6157" width="10.7109375" style="4" customWidth="1"/>
    <col min="6158" max="6400" width="9.140625" style="4"/>
    <col min="6401" max="6401" width="5.7109375" style="4" bestFit="1" customWidth="1"/>
    <col min="6402" max="6402" width="5" style="4" bestFit="1" customWidth="1"/>
    <col min="6403" max="6403" width="21" style="4" bestFit="1" customWidth="1"/>
    <col min="6404" max="6404" width="7.28515625" style="4" customWidth="1"/>
    <col min="6405" max="6405" width="5.140625" style="4" bestFit="1" customWidth="1"/>
    <col min="6406" max="6406" width="2.140625" style="4" customWidth="1"/>
    <col min="6407" max="6407" width="39.85546875" style="4" bestFit="1" customWidth="1"/>
    <col min="6408" max="6408" width="11.42578125" style="4" customWidth="1"/>
    <col min="6409" max="6409" width="11.7109375" style="4" customWidth="1"/>
    <col min="6410" max="6410" width="10.5703125" style="4" customWidth="1"/>
    <col min="6411" max="6411" width="11" style="4" customWidth="1"/>
    <col min="6412" max="6412" width="10.28515625" style="4" customWidth="1"/>
    <col min="6413" max="6413" width="10.7109375" style="4" customWidth="1"/>
    <col min="6414" max="6656" width="9.140625" style="4"/>
    <col min="6657" max="6657" width="5.7109375" style="4" bestFit="1" customWidth="1"/>
    <col min="6658" max="6658" width="5" style="4" bestFit="1" customWidth="1"/>
    <col min="6659" max="6659" width="21" style="4" bestFit="1" customWidth="1"/>
    <col min="6660" max="6660" width="7.28515625" style="4" customWidth="1"/>
    <col min="6661" max="6661" width="5.140625" style="4" bestFit="1" customWidth="1"/>
    <col min="6662" max="6662" width="2.140625" style="4" customWidth="1"/>
    <col min="6663" max="6663" width="39.85546875" style="4" bestFit="1" customWidth="1"/>
    <col min="6664" max="6664" width="11.42578125" style="4" customWidth="1"/>
    <col min="6665" max="6665" width="11.7109375" style="4" customWidth="1"/>
    <col min="6666" max="6666" width="10.5703125" style="4" customWidth="1"/>
    <col min="6667" max="6667" width="11" style="4" customWidth="1"/>
    <col min="6668" max="6668" width="10.28515625" style="4" customWidth="1"/>
    <col min="6669" max="6669" width="10.7109375" style="4" customWidth="1"/>
    <col min="6670" max="6912" width="9.140625" style="4"/>
    <col min="6913" max="6913" width="5.7109375" style="4" bestFit="1" customWidth="1"/>
    <col min="6914" max="6914" width="5" style="4" bestFit="1" customWidth="1"/>
    <col min="6915" max="6915" width="21" style="4" bestFit="1" customWidth="1"/>
    <col min="6916" max="6916" width="7.28515625" style="4" customWidth="1"/>
    <col min="6917" max="6917" width="5.140625" style="4" bestFit="1" customWidth="1"/>
    <col min="6918" max="6918" width="2.140625" style="4" customWidth="1"/>
    <col min="6919" max="6919" width="39.85546875" style="4" bestFit="1" customWidth="1"/>
    <col min="6920" max="6920" width="11.42578125" style="4" customWidth="1"/>
    <col min="6921" max="6921" width="11.7109375" style="4" customWidth="1"/>
    <col min="6922" max="6922" width="10.5703125" style="4" customWidth="1"/>
    <col min="6923" max="6923" width="11" style="4" customWidth="1"/>
    <col min="6924" max="6924" width="10.28515625" style="4" customWidth="1"/>
    <col min="6925" max="6925" width="10.7109375" style="4" customWidth="1"/>
    <col min="6926" max="7168" width="9.140625" style="4"/>
    <col min="7169" max="7169" width="5.7109375" style="4" bestFit="1" customWidth="1"/>
    <col min="7170" max="7170" width="5" style="4" bestFit="1" customWidth="1"/>
    <col min="7171" max="7171" width="21" style="4" bestFit="1" customWidth="1"/>
    <col min="7172" max="7172" width="7.28515625" style="4" customWidth="1"/>
    <col min="7173" max="7173" width="5.140625" style="4" bestFit="1" customWidth="1"/>
    <col min="7174" max="7174" width="2.140625" style="4" customWidth="1"/>
    <col min="7175" max="7175" width="39.85546875" style="4" bestFit="1" customWidth="1"/>
    <col min="7176" max="7176" width="11.42578125" style="4" customWidth="1"/>
    <col min="7177" max="7177" width="11.7109375" style="4" customWidth="1"/>
    <col min="7178" max="7178" width="10.5703125" style="4" customWidth="1"/>
    <col min="7179" max="7179" width="11" style="4" customWidth="1"/>
    <col min="7180" max="7180" width="10.28515625" style="4" customWidth="1"/>
    <col min="7181" max="7181" width="10.7109375" style="4" customWidth="1"/>
    <col min="7182" max="7424" width="9.140625" style="4"/>
    <col min="7425" max="7425" width="5.7109375" style="4" bestFit="1" customWidth="1"/>
    <col min="7426" max="7426" width="5" style="4" bestFit="1" customWidth="1"/>
    <col min="7427" max="7427" width="21" style="4" bestFit="1" customWidth="1"/>
    <col min="7428" max="7428" width="7.28515625" style="4" customWidth="1"/>
    <col min="7429" max="7429" width="5.140625" style="4" bestFit="1" customWidth="1"/>
    <col min="7430" max="7430" width="2.140625" style="4" customWidth="1"/>
    <col min="7431" max="7431" width="39.85546875" style="4" bestFit="1" customWidth="1"/>
    <col min="7432" max="7432" width="11.42578125" style="4" customWidth="1"/>
    <col min="7433" max="7433" width="11.7109375" style="4" customWidth="1"/>
    <col min="7434" max="7434" width="10.5703125" style="4" customWidth="1"/>
    <col min="7435" max="7435" width="11" style="4" customWidth="1"/>
    <col min="7436" max="7436" width="10.28515625" style="4" customWidth="1"/>
    <col min="7437" max="7437" width="10.7109375" style="4" customWidth="1"/>
    <col min="7438" max="7680" width="9.140625" style="4"/>
    <col min="7681" max="7681" width="5.7109375" style="4" bestFit="1" customWidth="1"/>
    <col min="7682" max="7682" width="5" style="4" bestFit="1" customWidth="1"/>
    <col min="7683" max="7683" width="21" style="4" bestFit="1" customWidth="1"/>
    <col min="7684" max="7684" width="7.28515625" style="4" customWidth="1"/>
    <col min="7685" max="7685" width="5.140625" style="4" bestFit="1" customWidth="1"/>
    <col min="7686" max="7686" width="2.140625" style="4" customWidth="1"/>
    <col min="7687" max="7687" width="39.85546875" style="4" bestFit="1" customWidth="1"/>
    <col min="7688" max="7688" width="11.42578125" style="4" customWidth="1"/>
    <col min="7689" max="7689" width="11.7109375" style="4" customWidth="1"/>
    <col min="7690" max="7690" width="10.5703125" style="4" customWidth="1"/>
    <col min="7691" max="7691" width="11" style="4" customWidth="1"/>
    <col min="7692" max="7692" width="10.28515625" style="4" customWidth="1"/>
    <col min="7693" max="7693" width="10.7109375" style="4" customWidth="1"/>
    <col min="7694" max="7936" width="9.140625" style="4"/>
    <col min="7937" max="7937" width="5.7109375" style="4" bestFit="1" customWidth="1"/>
    <col min="7938" max="7938" width="5" style="4" bestFit="1" customWidth="1"/>
    <col min="7939" max="7939" width="21" style="4" bestFit="1" customWidth="1"/>
    <col min="7940" max="7940" width="7.28515625" style="4" customWidth="1"/>
    <col min="7941" max="7941" width="5.140625" style="4" bestFit="1" customWidth="1"/>
    <col min="7942" max="7942" width="2.140625" style="4" customWidth="1"/>
    <col min="7943" max="7943" width="39.85546875" style="4" bestFit="1" customWidth="1"/>
    <col min="7944" max="7944" width="11.42578125" style="4" customWidth="1"/>
    <col min="7945" max="7945" width="11.7109375" style="4" customWidth="1"/>
    <col min="7946" max="7946" width="10.5703125" style="4" customWidth="1"/>
    <col min="7947" max="7947" width="11" style="4" customWidth="1"/>
    <col min="7948" max="7948" width="10.28515625" style="4" customWidth="1"/>
    <col min="7949" max="7949" width="10.7109375" style="4" customWidth="1"/>
    <col min="7950" max="8192" width="9.140625" style="4"/>
    <col min="8193" max="8193" width="5.7109375" style="4" bestFit="1" customWidth="1"/>
    <col min="8194" max="8194" width="5" style="4" bestFit="1" customWidth="1"/>
    <col min="8195" max="8195" width="21" style="4" bestFit="1" customWidth="1"/>
    <col min="8196" max="8196" width="7.28515625" style="4" customWidth="1"/>
    <col min="8197" max="8197" width="5.140625" style="4" bestFit="1" customWidth="1"/>
    <col min="8198" max="8198" width="2.140625" style="4" customWidth="1"/>
    <col min="8199" max="8199" width="39.85546875" style="4" bestFit="1" customWidth="1"/>
    <col min="8200" max="8200" width="11.42578125" style="4" customWidth="1"/>
    <col min="8201" max="8201" width="11.7109375" style="4" customWidth="1"/>
    <col min="8202" max="8202" width="10.5703125" style="4" customWidth="1"/>
    <col min="8203" max="8203" width="11" style="4" customWidth="1"/>
    <col min="8204" max="8204" width="10.28515625" style="4" customWidth="1"/>
    <col min="8205" max="8205" width="10.7109375" style="4" customWidth="1"/>
    <col min="8206" max="8448" width="9.140625" style="4"/>
    <col min="8449" max="8449" width="5.7109375" style="4" bestFit="1" customWidth="1"/>
    <col min="8450" max="8450" width="5" style="4" bestFit="1" customWidth="1"/>
    <col min="8451" max="8451" width="21" style="4" bestFit="1" customWidth="1"/>
    <col min="8452" max="8452" width="7.28515625" style="4" customWidth="1"/>
    <col min="8453" max="8453" width="5.140625" style="4" bestFit="1" customWidth="1"/>
    <col min="8454" max="8454" width="2.140625" style="4" customWidth="1"/>
    <col min="8455" max="8455" width="39.85546875" style="4" bestFit="1" customWidth="1"/>
    <col min="8456" max="8456" width="11.42578125" style="4" customWidth="1"/>
    <col min="8457" max="8457" width="11.7109375" style="4" customWidth="1"/>
    <col min="8458" max="8458" width="10.5703125" style="4" customWidth="1"/>
    <col min="8459" max="8459" width="11" style="4" customWidth="1"/>
    <col min="8460" max="8460" width="10.28515625" style="4" customWidth="1"/>
    <col min="8461" max="8461" width="10.7109375" style="4" customWidth="1"/>
    <col min="8462" max="8704" width="9.140625" style="4"/>
    <col min="8705" max="8705" width="5.7109375" style="4" bestFit="1" customWidth="1"/>
    <col min="8706" max="8706" width="5" style="4" bestFit="1" customWidth="1"/>
    <col min="8707" max="8707" width="21" style="4" bestFit="1" customWidth="1"/>
    <col min="8708" max="8708" width="7.28515625" style="4" customWidth="1"/>
    <col min="8709" max="8709" width="5.140625" style="4" bestFit="1" customWidth="1"/>
    <col min="8710" max="8710" width="2.140625" style="4" customWidth="1"/>
    <col min="8711" max="8711" width="39.85546875" style="4" bestFit="1" customWidth="1"/>
    <col min="8712" max="8712" width="11.42578125" style="4" customWidth="1"/>
    <col min="8713" max="8713" width="11.7109375" style="4" customWidth="1"/>
    <col min="8714" max="8714" width="10.5703125" style="4" customWidth="1"/>
    <col min="8715" max="8715" width="11" style="4" customWidth="1"/>
    <col min="8716" max="8716" width="10.28515625" style="4" customWidth="1"/>
    <col min="8717" max="8717" width="10.7109375" style="4" customWidth="1"/>
    <col min="8718" max="8960" width="9.140625" style="4"/>
    <col min="8961" max="8961" width="5.7109375" style="4" bestFit="1" customWidth="1"/>
    <col min="8962" max="8962" width="5" style="4" bestFit="1" customWidth="1"/>
    <col min="8963" max="8963" width="21" style="4" bestFit="1" customWidth="1"/>
    <col min="8964" max="8964" width="7.28515625" style="4" customWidth="1"/>
    <col min="8965" max="8965" width="5.140625" style="4" bestFit="1" customWidth="1"/>
    <col min="8966" max="8966" width="2.140625" style="4" customWidth="1"/>
    <col min="8967" max="8967" width="39.85546875" style="4" bestFit="1" customWidth="1"/>
    <col min="8968" max="8968" width="11.42578125" style="4" customWidth="1"/>
    <col min="8969" max="8969" width="11.7109375" style="4" customWidth="1"/>
    <col min="8970" max="8970" width="10.5703125" style="4" customWidth="1"/>
    <col min="8971" max="8971" width="11" style="4" customWidth="1"/>
    <col min="8972" max="8972" width="10.28515625" style="4" customWidth="1"/>
    <col min="8973" max="8973" width="10.7109375" style="4" customWidth="1"/>
    <col min="8974" max="9216" width="9.140625" style="4"/>
    <col min="9217" max="9217" width="5.7109375" style="4" bestFit="1" customWidth="1"/>
    <col min="9218" max="9218" width="5" style="4" bestFit="1" customWidth="1"/>
    <col min="9219" max="9219" width="21" style="4" bestFit="1" customWidth="1"/>
    <col min="9220" max="9220" width="7.28515625" style="4" customWidth="1"/>
    <col min="9221" max="9221" width="5.140625" style="4" bestFit="1" customWidth="1"/>
    <col min="9222" max="9222" width="2.140625" style="4" customWidth="1"/>
    <col min="9223" max="9223" width="39.85546875" style="4" bestFit="1" customWidth="1"/>
    <col min="9224" max="9224" width="11.42578125" style="4" customWidth="1"/>
    <col min="9225" max="9225" width="11.7109375" style="4" customWidth="1"/>
    <col min="9226" max="9226" width="10.5703125" style="4" customWidth="1"/>
    <col min="9227" max="9227" width="11" style="4" customWidth="1"/>
    <col min="9228" max="9228" width="10.28515625" style="4" customWidth="1"/>
    <col min="9229" max="9229" width="10.7109375" style="4" customWidth="1"/>
    <col min="9230" max="9472" width="9.140625" style="4"/>
    <col min="9473" max="9473" width="5.7109375" style="4" bestFit="1" customWidth="1"/>
    <col min="9474" max="9474" width="5" style="4" bestFit="1" customWidth="1"/>
    <col min="9475" max="9475" width="21" style="4" bestFit="1" customWidth="1"/>
    <col min="9476" max="9476" width="7.28515625" style="4" customWidth="1"/>
    <col min="9477" max="9477" width="5.140625" style="4" bestFit="1" customWidth="1"/>
    <col min="9478" max="9478" width="2.140625" style="4" customWidth="1"/>
    <col min="9479" max="9479" width="39.85546875" style="4" bestFit="1" customWidth="1"/>
    <col min="9480" max="9480" width="11.42578125" style="4" customWidth="1"/>
    <col min="9481" max="9481" width="11.7109375" style="4" customWidth="1"/>
    <col min="9482" max="9482" width="10.5703125" style="4" customWidth="1"/>
    <col min="9483" max="9483" width="11" style="4" customWidth="1"/>
    <col min="9484" max="9484" width="10.28515625" style="4" customWidth="1"/>
    <col min="9485" max="9485" width="10.7109375" style="4" customWidth="1"/>
    <col min="9486" max="9728" width="9.140625" style="4"/>
    <col min="9729" max="9729" width="5.7109375" style="4" bestFit="1" customWidth="1"/>
    <col min="9730" max="9730" width="5" style="4" bestFit="1" customWidth="1"/>
    <col min="9731" max="9731" width="21" style="4" bestFit="1" customWidth="1"/>
    <col min="9732" max="9732" width="7.28515625" style="4" customWidth="1"/>
    <col min="9733" max="9733" width="5.140625" style="4" bestFit="1" customWidth="1"/>
    <col min="9734" max="9734" width="2.140625" style="4" customWidth="1"/>
    <col min="9735" max="9735" width="39.85546875" style="4" bestFit="1" customWidth="1"/>
    <col min="9736" max="9736" width="11.42578125" style="4" customWidth="1"/>
    <col min="9737" max="9737" width="11.7109375" style="4" customWidth="1"/>
    <col min="9738" max="9738" width="10.5703125" style="4" customWidth="1"/>
    <col min="9739" max="9739" width="11" style="4" customWidth="1"/>
    <col min="9740" max="9740" width="10.28515625" style="4" customWidth="1"/>
    <col min="9741" max="9741" width="10.7109375" style="4" customWidth="1"/>
    <col min="9742" max="9984" width="9.140625" style="4"/>
    <col min="9985" max="9985" width="5.7109375" style="4" bestFit="1" customWidth="1"/>
    <col min="9986" max="9986" width="5" style="4" bestFit="1" customWidth="1"/>
    <col min="9987" max="9987" width="21" style="4" bestFit="1" customWidth="1"/>
    <col min="9988" max="9988" width="7.28515625" style="4" customWidth="1"/>
    <col min="9989" max="9989" width="5.140625" style="4" bestFit="1" customWidth="1"/>
    <col min="9990" max="9990" width="2.140625" style="4" customWidth="1"/>
    <col min="9991" max="9991" width="39.85546875" style="4" bestFit="1" customWidth="1"/>
    <col min="9992" max="9992" width="11.42578125" style="4" customWidth="1"/>
    <col min="9993" max="9993" width="11.7109375" style="4" customWidth="1"/>
    <col min="9994" max="9994" width="10.5703125" style="4" customWidth="1"/>
    <col min="9995" max="9995" width="11" style="4" customWidth="1"/>
    <col min="9996" max="9996" width="10.28515625" style="4" customWidth="1"/>
    <col min="9997" max="9997" width="10.7109375" style="4" customWidth="1"/>
    <col min="9998" max="10240" width="9.140625" style="4"/>
    <col min="10241" max="10241" width="5.7109375" style="4" bestFit="1" customWidth="1"/>
    <col min="10242" max="10242" width="5" style="4" bestFit="1" customWidth="1"/>
    <col min="10243" max="10243" width="21" style="4" bestFit="1" customWidth="1"/>
    <col min="10244" max="10244" width="7.28515625" style="4" customWidth="1"/>
    <col min="10245" max="10245" width="5.140625" style="4" bestFit="1" customWidth="1"/>
    <col min="10246" max="10246" width="2.140625" style="4" customWidth="1"/>
    <col min="10247" max="10247" width="39.85546875" style="4" bestFit="1" customWidth="1"/>
    <col min="10248" max="10248" width="11.42578125" style="4" customWidth="1"/>
    <col min="10249" max="10249" width="11.7109375" style="4" customWidth="1"/>
    <col min="10250" max="10250" width="10.5703125" style="4" customWidth="1"/>
    <col min="10251" max="10251" width="11" style="4" customWidth="1"/>
    <col min="10252" max="10252" width="10.28515625" style="4" customWidth="1"/>
    <col min="10253" max="10253" width="10.7109375" style="4" customWidth="1"/>
    <col min="10254" max="10496" width="9.140625" style="4"/>
    <col min="10497" max="10497" width="5.7109375" style="4" bestFit="1" customWidth="1"/>
    <col min="10498" max="10498" width="5" style="4" bestFit="1" customWidth="1"/>
    <col min="10499" max="10499" width="21" style="4" bestFit="1" customWidth="1"/>
    <col min="10500" max="10500" width="7.28515625" style="4" customWidth="1"/>
    <col min="10501" max="10501" width="5.140625" style="4" bestFit="1" customWidth="1"/>
    <col min="10502" max="10502" width="2.140625" style="4" customWidth="1"/>
    <col min="10503" max="10503" width="39.85546875" style="4" bestFit="1" customWidth="1"/>
    <col min="10504" max="10504" width="11.42578125" style="4" customWidth="1"/>
    <col min="10505" max="10505" width="11.7109375" style="4" customWidth="1"/>
    <col min="10506" max="10506" width="10.5703125" style="4" customWidth="1"/>
    <col min="10507" max="10507" width="11" style="4" customWidth="1"/>
    <col min="10508" max="10508" width="10.28515625" style="4" customWidth="1"/>
    <col min="10509" max="10509" width="10.7109375" style="4" customWidth="1"/>
    <col min="10510" max="10752" width="9.140625" style="4"/>
    <col min="10753" max="10753" width="5.7109375" style="4" bestFit="1" customWidth="1"/>
    <col min="10754" max="10754" width="5" style="4" bestFit="1" customWidth="1"/>
    <col min="10755" max="10755" width="21" style="4" bestFit="1" customWidth="1"/>
    <col min="10756" max="10756" width="7.28515625" style="4" customWidth="1"/>
    <col min="10757" max="10757" width="5.140625" style="4" bestFit="1" customWidth="1"/>
    <col min="10758" max="10758" width="2.140625" style="4" customWidth="1"/>
    <col min="10759" max="10759" width="39.85546875" style="4" bestFit="1" customWidth="1"/>
    <col min="10760" max="10760" width="11.42578125" style="4" customWidth="1"/>
    <col min="10761" max="10761" width="11.7109375" style="4" customWidth="1"/>
    <col min="10762" max="10762" width="10.5703125" style="4" customWidth="1"/>
    <col min="10763" max="10763" width="11" style="4" customWidth="1"/>
    <col min="10764" max="10764" width="10.28515625" style="4" customWidth="1"/>
    <col min="10765" max="10765" width="10.7109375" style="4" customWidth="1"/>
    <col min="10766" max="11008" width="9.140625" style="4"/>
    <col min="11009" max="11009" width="5.7109375" style="4" bestFit="1" customWidth="1"/>
    <col min="11010" max="11010" width="5" style="4" bestFit="1" customWidth="1"/>
    <col min="11011" max="11011" width="21" style="4" bestFit="1" customWidth="1"/>
    <col min="11012" max="11012" width="7.28515625" style="4" customWidth="1"/>
    <col min="11013" max="11013" width="5.140625" style="4" bestFit="1" customWidth="1"/>
    <col min="11014" max="11014" width="2.140625" style="4" customWidth="1"/>
    <col min="11015" max="11015" width="39.85546875" style="4" bestFit="1" customWidth="1"/>
    <col min="11016" max="11016" width="11.42578125" style="4" customWidth="1"/>
    <col min="11017" max="11017" width="11.7109375" style="4" customWidth="1"/>
    <col min="11018" max="11018" width="10.5703125" style="4" customWidth="1"/>
    <col min="11019" max="11019" width="11" style="4" customWidth="1"/>
    <col min="11020" max="11020" width="10.28515625" style="4" customWidth="1"/>
    <col min="11021" max="11021" width="10.7109375" style="4" customWidth="1"/>
    <col min="11022" max="11264" width="9.140625" style="4"/>
    <col min="11265" max="11265" width="5.7109375" style="4" bestFit="1" customWidth="1"/>
    <col min="11266" max="11266" width="5" style="4" bestFit="1" customWidth="1"/>
    <col min="11267" max="11267" width="21" style="4" bestFit="1" customWidth="1"/>
    <col min="11268" max="11268" width="7.28515625" style="4" customWidth="1"/>
    <col min="11269" max="11269" width="5.140625" style="4" bestFit="1" customWidth="1"/>
    <col min="11270" max="11270" width="2.140625" style="4" customWidth="1"/>
    <col min="11271" max="11271" width="39.85546875" style="4" bestFit="1" customWidth="1"/>
    <col min="11272" max="11272" width="11.42578125" style="4" customWidth="1"/>
    <col min="11273" max="11273" width="11.7109375" style="4" customWidth="1"/>
    <col min="11274" max="11274" width="10.5703125" style="4" customWidth="1"/>
    <col min="11275" max="11275" width="11" style="4" customWidth="1"/>
    <col min="11276" max="11276" width="10.28515625" style="4" customWidth="1"/>
    <col min="11277" max="11277" width="10.7109375" style="4" customWidth="1"/>
    <col min="11278" max="11520" width="9.140625" style="4"/>
    <col min="11521" max="11521" width="5.7109375" style="4" bestFit="1" customWidth="1"/>
    <col min="11522" max="11522" width="5" style="4" bestFit="1" customWidth="1"/>
    <col min="11523" max="11523" width="21" style="4" bestFit="1" customWidth="1"/>
    <col min="11524" max="11524" width="7.28515625" style="4" customWidth="1"/>
    <col min="11525" max="11525" width="5.140625" style="4" bestFit="1" customWidth="1"/>
    <col min="11526" max="11526" width="2.140625" style="4" customWidth="1"/>
    <col min="11527" max="11527" width="39.85546875" style="4" bestFit="1" customWidth="1"/>
    <col min="11528" max="11528" width="11.42578125" style="4" customWidth="1"/>
    <col min="11529" max="11529" width="11.7109375" style="4" customWidth="1"/>
    <col min="11530" max="11530" width="10.5703125" style="4" customWidth="1"/>
    <col min="11531" max="11531" width="11" style="4" customWidth="1"/>
    <col min="11532" max="11532" width="10.28515625" style="4" customWidth="1"/>
    <col min="11533" max="11533" width="10.7109375" style="4" customWidth="1"/>
    <col min="11534" max="11776" width="9.140625" style="4"/>
    <col min="11777" max="11777" width="5.7109375" style="4" bestFit="1" customWidth="1"/>
    <col min="11778" max="11778" width="5" style="4" bestFit="1" customWidth="1"/>
    <col min="11779" max="11779" width="21" style="4" bestFit="1" customWidth="1"/>
    <col min="11780" max="11780" width="7.28515625" style="4" customWidth="1"/>
    <col min="11781" max="11781" width="5.140625" style="4" bestFit="1" customWidth="1"/>
    <col min="11782" max="11782" width="2.140625" style="4" customWidth="1"/>
    <col min="11783" max="11783" width="39.85546875" style="4" bestFit="1" customWidth="1"/>
    <col min="11784" max="11784" width="11.42578125" style="4" customWidth="1"/>
    <col min="11785" max="11785" width="11.7109375" style="4" customWidth="1"/>
    <col min="11786" max="11786" width="10.5703125" style="4" customWidth="1"/>
    <col min="11787" max="11787" width="11" style="4" customWidth="1"/>
    <col min="11788" max="11788" width="10.28515625" style="4" customWidth="1"/>
    <col min="11789" max="11789" width="10.7109375" style="4" customWidth="1"/>
    <col min="11790" max="12032" width="9.140625" style="4"/>
    <col min="12033" max="12033" width="5.7109375" style="4" bestFit="1" customWidth="1"/>
    <col min="12034" max="12034" width="5" style="4" bestFit="1" customWidth="1"/>
    <col min="12035" max="12035" width="21" style="4" bestFit="1" customWidth="1"/>
    <col min="12036" max="12036" width="7.28515625" style="4" customWidth="1"/>
    <col min="12037" max="12037" width="5.140625" style="4" bestFit="1" customWidth="1"/>
    <col min="12038" max="12038" width="2.140625" style="4" customWidth="1"/>
    <col min="12039" max="12039" width="39.85546875" style="4" bestFit="1" customWidth="1"/>
    <col min="12040" max="12040" width="11.42578125" style="4" customWidth="1"/>
    <col min="12041" max="12041" width="11.7109375" style="4" customWidth="1"/>
    <col min="12042" max="12042" width="10.5703125" style="4" customWidth="1"/>
    <col min="12043" max="12043" width="11" style="4" customWidth="1"/>
    <col min="12044" max="12044" width="10.28515625" style="4" customWidth="1"/>
    <col min="12045" max="12045" width="10.7109375" style="4" customWidth="1"/>
    <col min="12046" max="12288" width="9.140625" style="4"/>
    <col min="12289" max="12289" width="5.7109375" style="4" bestFit="1" customWidth="1"/>
    <col min="12290" max="12290" width="5" style="4" bestFit="1" customWidth="1"/>
    <col min="12291" max="12291" width="21" style="4" bestFit="1" customWidth="1"/>
    <col min="12292" max="12292" width="7.28515625" style="4" customWidth="1"/>
    <col min="12293" max="12293" width="5.140625" style="4" bestFit="1" customWidth="1"/>
    <col min="12294" max="12294" width="2.140625" style="4" customWidth="1"/>
    <col min="12295" max="12295" width="39.85546875" style="4" bestFit="1" customWidth="1"/>
    <col min="12296" max="12296" width="11.42578125" style="4" customWidth="1"/>
    <col min="12297" max="12297" width="11.7109375" style="4" customWidth="1"/>
    <col min="12298" max="12298" width="10.5703125" style="4" customWidth="1"/>
    <col min="12299" max="12299" width="11" style="4" customWidth="1"/>
    <col min="12300" max="12300" width="10.28515625" style="4" customWidth="1"/>
    <col min="12301" max="12301" width="10.7109375" style="4" customWidth="1"/>
    <col min="12302" max="12544" width="9.140625" style="4"/>
    <col min="12545" max="12545" width="5.7109375" style="4" bestFit="1" customWidth="1"/>
    <col min="12546" max="12546" width="5" style="4" bestFit="1" customWidth="1"/>
    <col min="12547" max="12547" width="21" style="4" bestFit="1" customWidth="1"/>
    <col min="12548" max="12548" width="7.28515625" style="4" customWidth="1"/>
    <col min="12549" max="12549" width="5.140625" style="4" bestFit="1" customWidth="1"/>
    <col min="12550" max="12550" width="2.140625" style="4" customWidth="1"/>
    <col min="12551" max="12551" width="39.85546875" style="4" bestFit="1" customWidth="1"/>
    <col min="12552" max="12552" width="11.42578125" style="4" customWidth="1"/>
    <col min="12553" max="12553" width="11.7109375" style="4" customWidth="1"/>
    <col min="12554" max="12554" width="10.5703125" style="4" customWidth="1"/>
    <col min="12555" max="12555" width="11" style="4" customWidth="1"/>
    <col min="12556" max="12556" width="10.28515625" style="4" customWidth="1"/>
    <col min="12557" max="12557" width="10.7109375" style="4" customWidth="1"/>
    <col min="12558" max="12800" width="9.140625" style="4"/>
    <col min="12801" max="12801" width="5.7109375" style="4" bestFit="1" customWidth="1"/>
    <col min="12802" max="12802" width="5" style="4" bestFit="1" customWidth="1"/>
    <col min="12803" max="12803" width="21" style="4" bestFit="1" customWidth="1"/>
    <col min="12804" max="12804" width="7.28515625" style="4" customWidth="1"/>
    <col min="12805" max="12805" width="5.140625" style="4" bestFit="1" customWidth="1"/>
    <col min="12806" max="12806" width="2.140625" style="4" customWidth="1"/>
    <col min="12807" max="12807" width="39.85546875" style="4" bestFit="1" customWidth="1"/>
    <col min="12808" max="12808" width="11.42578125" style="4" customWidth="1"/>
    <col min="12809" max="12809" width="11.7109375" style="4" customWidth="1"/>
    <col min="12810" max="12810" width="10.5703125" style="4" customWidth="1"/>
    <col min="12811" max="12811" width="11" style="4" customWidth="1"/>
    <col min="12812" max="12812" width="10.28515625" style="4" customWidth="1"/>
    <col min="12813" max="12813" width="10.7109375" style="4" customWidth="1"/>
    <col min="12814" max="13056" width="9.140625" style="4"/>
    <col min="13057" max="13057" width="5.7109375" style="4" bestFit="1" customWidth="1"/>
    <col min="13058" max="13058" width="5" style="4" bestFit="1" customWidth="1"/>
    <col min="13059" max="13059" width="21" style="4" bestFit="1" customWidth="1"/>
    <col min="13060" max="13060" width="7.28515625" style="4" customWidth="1"/>
    <col min="13061" max="13061" width="5.140625" style="4" bestFit="1" customWidth="1"/>
    <col min="13062" max="13062" width="2.140625" style="4" customWidth="1"/>
    <col min="13063" max="13063" width="39.85546875" style="4" bestFit="1" customWidth="1"/>
    <col min="13064" max="13064" width="11.42578125" style="4" customWidth="1"/>
    <col min="13065" max="13065" width="11.7109375" style="4" customWidth="1"/>
    <col min="13066" max="13066" width="10.5703125" style="4" customWidth="1"/>
    <col min="13067" max="13067" width="11" style="4" customWidth="1"/>
    <col min="13068" max="13068" width="10.28515625" style="4" customWidth="1"/>
    <col min="13069" max="13069" width="10.7109375" style="4" customWidth="1"/>
    <col min="13070" max="13312" width="9.140625" style="4"/>
    <col min="13313" max="13313" width="5.7109375" style="4" bestFit="1" customWidth="1"/>
    <col min="13314" max="13314" width="5" style="4" bestFit="1" customWidth="1"/>
    <col min="13315" max="13315" width="21" style="4" bestFit="1" customWidth="1"/>
    <col min="13316" max="13316" width="7.28515625" style="4" customWidth="1"/>
    <col min="13317" max="13317" width="5.140625" style="4" bestFit="1" customWidth="1"/>
    <col min="13318" max="13318" width="2.140625" style="4" customWidth="1"/>
    <col min="13319" max="13319" width="39.85546875" style="4" bestFit="1" customWidth="1"/>
    <col min="13320" max="13320" width="11.42578125" style="4" customWidth="1"/>
    <col min="13321" max="13321" width="11.7109375" style="4" customWidth="1"/>
    <col min="13322" max="13322" width="10.5703125" style="4" customWidth="1"/>
    <col min="13323" max="13323" width="11" style="4" customWidth="1"/>
    <col min="13324" max="13324" width="10.28515625" style="4" customWidth="1"/>
    <col min="13325" max="13325" width="10.7109375" style="4" customWidth="1"/>
    <col min="13326" max="13568" width="9.140625" style="4"/>
    <col min="13569" max="13569" width="5.7109375" style="4" bestFit="1" customWidth="1"/>
    <col min="13570" max="13570" width="5" style="4" bestFit="1" customWidth="1"/>
    <col min="13571" max="13571" width="21" style="4" bestFit="1" customWidth="1"/>
    <col min="13572" max="13572" width="7.28515625" style="4" customWidth="1"/>
    <col min="13573" max="13573" width="5.140625" style="4" bestFit="1" customWidth="1"/>
    <col min="13574" max="13574" width="2.140625" style="4" customWidth="1"/>
    <col min="13575" max="13575" width="39.85546875" style="4" bestFit="1" customWidth="1"/>
    <col min="13576" max="13576" width="11.42578125" style="4" customWidth="1"/>
    <col min="13577" max="13577" width="11.7109375" style="4" customWidth="1"/>
    <col min="13578" max="13578" width="10.5703125" style="4" customWidth="1"/>
    <col min="13579" max="13579" width="11" style="4" customWidth="1"/>
    <col min="13580" max="13580" width="10.28515625" style="4" customWidth="1"/>
    <col min="13581" max="13581" width="10.7109375" style="4" customWidth="1"/>
    <col min="13582" max="13824" width="9.140625" style="4"/>
    <col min="13825" max="13825" width="5.7109375" style="4" bestFit="1" customWidth="1"/>
    <col min="13826" max="13826" width="5" style="4" bestFit="1" customWidth="1"/>
    <col min="13827" max="13827" width="21" style="4" bestFit="1" customWidth="1"/>
    <col min="13828" max="13828" width="7.28515625" style="4" customWidth="1"/>
    <col min="13829" max="13829" width="5.140625" style="4" bestFit="1" customWidth="1"/>
    <col min="13830" max="13830" width="2.140625" style="4" customWidth="1"/>
    <col min="13831" max="13831" width="39.85546875" style="4" bestFit="1" customWidth="1"/>
    <col min="13832" max="13832" width="11.42578125" style="4" customWidth="1"/>
    <col min="13833" max="13833" width="11.7109375" style="4" customWidth="1"/>
    <col min="13834" max="13834" width="10.5703125" style="4" customWidth="1"/>
    <col min="13835" max="13835" width="11" style="4" customWidth="1"/>
    <col min="13836" max="13836" width="10.28515625" style="4" customWidth="1"/>
    <col min="13837" max="13837" width="10.7109375" style="4" customWidth="1"/>
    <col min="13838" max="14080" width="9.140625" style="4"/>
    <col min="14081" max="14081" width="5.7109375" style="4" bestFit="1" customWidth="1"/>
    <col min="14082" max="14082" width="5" style="4" bestFit="1" customWidth="1"/>
    <col min="14083" max="14083" width="21" style="4" bestFit="1" customWidth="1"/>
    <col min="14084" max="14084" width="7.28515625" style="4" customWidth="1"/>
    <col min="14085" max="14085" width="5.140625" style="4" bestFit="1" customWidth="1"/>
    <col min="14086" max="14086" width="2.140625" style="4" customWidth="1"/>
    <col min="14087" max="14087" width="39.85546875" style="4" bestFit="1" customWidth="1"/>
    <col min="14088" max="14088" width="11.42578125" style="4" customWidth="1"/>
    <col min="14089" max="14089" width="11.7109375" style="4" customWidth="1"/>
    <col min="14090" max="14090" width="10.5703125" style="4" customWidth="1"/>
    <col min="14091" max="14091" width="11" style="4" customWidth="1"/>
    <col min="14092" max="14092" width="10.28515625" style="4" customWidth="1"/>
    <col min="14093" max="14093" width="10.7109375" style="4" customWidth="1"/>
    <col min="14094" max="14336" width="9.140625" style="4"/>
    <col min="14337" max="14337" width="5.7109375" style="4" bestFit="1" customWidth="1"/>
    <col min="14338" max="14338" width="5" style="4" bestFit="1" customWidth="1"/>
    <col min="14339" max="14339" width="21" style="4" bestFit="1" customWidth="1"/>
    <col min="14340" max="14340" width="7.28515625" style="4" customWidth="1"/>
    <col min="14341" max="14341" width="5.140625" style="4" bestFit="1" customWidth="1"/>
    <col min="14342" max="14342" width="2.140625" style="4" customWidth="1"/>
    <col min="14343" max="14343" width="39.85546875" style="4" bestFit="1" customWidth="1"/>
    <col min="14344" max="14344" width="11.42578125" style="4" customWidth="1"/>
    <col min="14345" max="14345" width="11.7109375" style="4" customWidth="1"/>
    <col min="14346" max="14346" width="10.5703125" style="4" customWidth="1"/>
    <col min="14347" max="14347" width="11" style="4" customWidth="1"/>
    <col min="14348" max="14348" width="10.28515625" style="4" customWidth="1"/>
    <col min="14349" max="14349" width="10.7109375" style="4" customWidth="1"/>
    <col min="14350" max="14592" width="9.140625" style="4"/>
    <col min="14593" max="14593" width="5.7109375" style="4" bestFit="1" customWidth="1"/>
    <col min="14594" max="14594" width="5" style="4" bestFit="1" customWidth="1"/>
    <col min="14595" max="14595" width="21" style="4" bestFit="1" customWidth="1"/>
    <col min="14596" max="14596" width="7.28515625" style="4" customWidth="1"/>
    <col min="14597" max="14597" width="5.140625" style="4" bestFit="1" customWidth="1"/>
    <col min="14598" max="14598" width="2.140625" style="4" customWidth="1"/>
    <col min="14599" max="14599" width="39.85546875" style="4" bestFit="1" customWidth="1"/>
    <col min="14600" max="14600" width="11.42578125" style="4" customWidth="1"/>
    <col min="14601" max="14601" width="11.7109375" style="4" customWidth="1"/>
    <col min="14602" max="14602" width="10.5703125" style="4" customWidth="1"/>
    <col min="14603" max="14603" width="11" style="4" customWidth="1"/>
    <col min="14604" max="14604" width="10.28515625" style="4" customWidth="1"/>
    <col min="14605" max="14605" width="10.7109375" style="4" customWidth="1"/>
    <col min="14606" max="14848" width="9.140625" style="4"/>
    <col min="14849" max="14849" width="5.7109375" style="4" bestFit="1" customWidth="1"/>
    <col min="14850" max="14850" width="5" style="4" bestFit="1" customWidth="1"/>
    <col min="14851" max="14851" width="21" style="4" bestFit="1" customWidth="1"/>
    <col min="14852" max="14852" width="7.28515625" style="4" customWidth="1"/>
    <col min="14853" max="14853" width="5.140625" style="4" bestFit="1" customWidth="1"/>
    <col min="14854" max="14854" width="2.140625" style="4" customWidth="1"/>
    <col min="14855" max="14855" width="39.85546875" style="4" bestFit="1" customWidth="1"/>
    <col min="14856" max="14856" width="11.42578125" style="4" customWidth="1"/>
    <col min="14857" max="14857" width="11.7109375" style="4" customWidth="1"/>
    <col min="14858" max="14858" width="10.5703125" style="4" customWidth="1"/>
    <col min="14859" max="14859" width="11" style="4" customWidth="1"/>
    <col min="14860" max="14860" width="10.28515625" style="4" customWidth="1"/>
    <col min="14861" max="14861" width="10.7109375" style="4" customWidth="1"/>
    <col min="14862" max="15104" width="9.140625" style="4"/>
    <col min="15105" max="15105" width="5.7109375" style="4" bestFit="1" customWidth="1"/>
    <col min="15106" max="15106" width="5" style="4" bestFit="1" customWidth="1"/>
    <col min="15107" max="15107" width="21" style="4" bestFit="1" customWidth="1"/>
    <col min="15108" max="15108" width="7.28515625" style="4" customWidth="1"/>
    <col min="15109" max="15109" width="5.140625" style="4" bestFit="1" customWidth="1"/>
    <col min="15110" max="15110" width="2.140625" style="4" customWidth="1"/>
    <col min="15111" max="15111" width="39.85546875" style="4" bestFit="1" customWidth="1"/>
    <col min="15112" max="15112" width="11.42578125" style="4" customWidth="1"/>
    <col min="15113" max="15113" width="11.7109375" style="4" customWidth="1"/>
    <col min="15114" max="15114" width="10.5703125" style="4" customWidth="1"/>
    <col min="15115" max="15115" width="11" style="4" customWidth="1"/>
    <col min="15116" max="15116" width="10.28515625" style="4" customWidth="1"/>
    <col min="15117" max="15117" width="10.7109375" style="4" customWidth="1"/>
    <col min="15118" max="15360" width="9.140625" style="4"/>
    <col min="15361" max="15361" width="5.7109375" style="4" bestFit="1" customWidth="1"/>
    <col min="15362" max="15362" width="5" style="4" bestFit="1" customWidth="1"/>
    <col min="15363" max="15363" width="21" style="4" bestFit="1" customWidth="1"/>
    <col min="15364" max="15364" width="7.28515625" style="4" customWidth="1"/>
    <col min="15365" max="15365" width="5.140625" style="4" bestFit="1" customWidth="1"/>
    <col min="15366" max="15366" width="2.140625" style="4" customWidth="1"/>
    <col min="15367" max="15367" width="39.85546875" style="4" bestFit="1" customWidth="1"/>
    <col min="15368" max="15368" width="11.42578125" style="4" customWidth="1"/>
    <col min="15369" max="15369" width="11.7109375" style="4" customWidth="1"/>
    <col min="15370" max="15370" width="10.5703125" style="4" customWidth="1"/>
    <col min="15371" max="15371" width="11" style="4" customWidth="1"/>
    <col min="15372" max="15372" width="10.28515625" style="4" customWidth="1"/>
    <col min="15373" max="15373" width="10.7109375" style="4" customWidth="1"/>
    <col min="15374" max="15616" width="9.140625" style="4"/>
    <col min="15617" max="15617" width="5.7109375" style="4" bestFit="1" customWidth="1"/>
    <col min="15618" max="15618" width="5" style="4" bestFit="1" customWidth="1"/>
    <col min="15619" max="15619" width="21" style="4" bestFit="1" customWidth="1"/>
    <col min="15620" max="15620" width="7.28515625" style="4" customWidth="1"/>
    <col min="15621" max="15621" width="5.140625" style="4" bestFit="1" customWidth="1"/>
    <col min="15622" max="15622" width="2.140625" style="4" customWidth="1"/>
    <col min="15623" max="15623" width="39.85546875" style="4" bestFit="1" customWidth="1"/>
    <col min="15624" max="15624" width="11.42578125" style="4" customWidth="1"/>
    <col min="15625" max="15625" width="11.7109375" style="4" customWidth="1"/>
    <col min="15626" max="15626" width="10.5703125" style="4" customWidth="1"/>
    <col min="15627" max="15627" width="11" style="4" customWidth="1"/>
    <col min="15628" max="15628" width="10.28515625" style="4" customWidth="1"/>
    <col min="15629" max="15629" width="10.7109375" style="4" customWidth="1"/>
    <col min="15630" max="15872" width="9.140625" style="4"/>
    <col min="15873" max="15873" width="5.7109375" style="4" bestFit="1" customWidth="1"/>
    <col min="15874" max="15874" width="5" style="4" bestFit="1" customWidth="1"/>
    <col min="15875" max="15875" width="21" style="4" bestFit="1" customWidth="1"/>
    <col min="15876" max="15876" width="7.28515625" style="4" customWidth="1"/>
    <col min="15877" max="15877" width="5.140625" style="4" bestFit="1" customWidth="1"/>
    <col min="15878" max="15878" width="2.140625" style="4" customWidth="1"/>
    <col min="15879" max="15879" width="39.85546875" style="4" bestFit="1" customWidth="1"/>
    <col min="15880" max="15880" width="11.42578125" style="4" customWidth="1"/>
    <col min="15881" max="15881" width="11.7109375" style="4" customWidth="1"/>
    <col min="15882" max="15882" width="10.5703125" style="4" customWidth="1"/>
    <col min="15883" max="15883" width="11" style="4" customWidth="1"/>
    <col min="15884" max="15884" width="10.28515625" style="4" customWidth="1"/>
    <col min="15885" max="15885" width="10.7109375" style="4" customWidth="1"/>
    <col min="15886" max="16128" width="9.140625" style="4"/>
    <col min="16129" max="16129" width="5.7109375" style="4" bestFit="1" customWidth="1"/>
    <col min="16130" max="16130" width="5" style="4" bestFit="1" customWidth="1"/>
    <col min="16131" max="16131" width="21" style="4" bestFit="1" customWidth="1"/>
    <col min="16132" max="16132" width="7.28515625" style="4" customWidth="1"/>
    <col min="16133" max="16133" width="5.140625" style="4" bestFit="1" customWidth="1"/>
    <col min="16134" max="16134" width="2.140625" style="4" customWidth="1"/>
    <col min="16135" max="16135" width="39.85546875" style="4" bestFit="1" customWidth="1"/>
    <col min="16136" max="16136" width="11.42578125" style="4" customWidth="1"/>
    <col min="16137" max="16137" width="11.7109375" style="4" customWidth="1"/>
    <col min="16138" max="16138" width="10.5703125" style="4" customWidth="1"/>
    <col min="16139" max="16139" width="11" style="4" customWidth="1"/>
    <col min="16140" max="16140" width="10.28515625" style="4" customWidth="1"/>
    <col min="16141" max="16141" width="10.7109375" style="4" customWidth="1"/>
    <col min="16142" max="16384" width="9.140625" style="4"/>
  </cols>
  <sheetData>
    <row r="1" spans="1:14" x14ac:dyDescent="0.2">
      <c r="A1" s="1"/>
      <c r="C1" s="3"/>
      <c r="D1" s="3"/>
      <c r="E1" s="1"/>
      <c r="F1" s="1"/>
      <c r="G1" s="4"/>
    </row>
    <row r="2" spans="1:14" x14ac:dyDescent="0.2">
      <c r="A2" s="3" t="s">
        <v>0</v>
      </c>
      <c r="B2" s="5" t="s">
        <v>1</v>
      </c>
      <c r="C2" s="3" t="s">
        <v>2</v>
      </c>
      <c r="D2" s="3"/>
      <c r="E2" s="1" t="s">
        <v>3</v>
      </c>
      <c r="F2" s="1"/>
      <c r="G2" s="596" t="s">
        <v>603</v>
      </c>
      <c r="H2" s="631" t="s">
        <v>590</v>
      </c>
      <c r="I2" s="631" t="s">
        <v>591</v>
      </c>
      <c r="J2" s="764" t="s">
        <v>592</v>
      </c>
      <c r="K2" s="764"/>
      <c r="L2" s="764"/>
      <c r="M2" s="765"/>
    </row>
    <row r="3" spans="1:14" x14ac:dyDescent="0.2">
      <c r="A3" s="1"/>
      <c r="B3" s="6"/>
      <c r="C3" s="3"/>
      <c r="D3" s="3"/>
      <c r="E3" s="1"/>
      <c r="F3" s="1"/>
      <c r="G3" s="94" t="s">
        <v>4</v>
      </c>
      <c r="H3" s="431">
        <v>43100</v>
      </c>
      <c r="I3" s="431">
        <v>43465</v>
      </c>
      <c r="J3" s="431">
        <v>43830</v>
      </c>
      <c r="K3" s="431">
        <v>44196</v>
      </c>
      <c r="L3" s="431">
        <v>44561</v>
      </c>
      <c r="M3" s="431">
        <v>44926</v>
      </c>
    </row>
    <row r="4" spans="1:14" x14ac:dyDescent="0.2">
      <c r="A4" s="7"/>
      <c r="B4" s="2" t="s">
        <v>5</v>
      </c>
      <c r="C4" s="3">
        <v>1</v>
      </c>
      <c r="D4" s="3"/>
      <c r="E4" s="5"/>
      <c r="F4" s="7"/>
      <c r="G4" s="103" t="s">
        <v>6</v>
      </c>
      <c r="H4" s="77">
        <f t="shared" ref="H4:M4" si="0">H5+H10</f>
        <v>10674</v>
      </c>
      <c r="I4" s="77">
        <f>I5+I10</f>
        <v>13489</v>
      </c>
      <c r="J4" s="77">
        <f t="shared" si="0"/>
        <v>19834</v>
      </c>
      <c r="K4" s="77">
        <f t="shared" si="0"/>
        <v>22234</v>
      </c>
      <c r="L4" s="77">
        <f>L5+L10</f>
        <v>23034</v>
      </c>
      <c r="M4" s="77">
        <f t="shared" si="0"/>
        <v>22834</v>
      </c>
    </row>
    <row r="5" spans="1:14" x14ac:dyDescent="0.2">
      <c r="B5" s="2" t="s">
        <v>7</v>
      </c>
      <c r="C5" s="3">
        <v>10</v>
      </c>
      <c r="D5" s="3"/>
      <c r="G5" s="110" t="s">
        <v>8</v>
      </c>
      <c r="H5" s="77">
        <f t="shared" ref="H5:M5" si="1">SUM(H6:H9)</f>
        <v>3029</v>
      </c>
      <c r="I5" s="77">
        <f t="shared" si="1"/>
        <v>2494</v>
      </c>
      <c r="J5" s="77">
        <f t="shared" si="1"/>
        <v>2439</v>
      </c>
      <c r="K5" s="77">
        <f t="shared" si="1"/>
        <v>2839</v>
      </c>
      <c r="L5" s="77">
        <f t="shared" si="1"/>
        <v>3239</v>
      </c>
      <c r="M5" s="77">
        <f t="shared" si="1"/>
        <v>3239</v>
      </c>
    </row>
    <row r="6" spans="1:14" ht="12" x14ac:dyDescent="0.2">
      <c r="B6" s="2" t="s">
        <v>9</v>
      </c>
      <c r="C6" s="10" t="s">
        <v>10</v>
      </c>
      <c r="E6" s="11" t="s">
        <v>11</v>
      </c>
      <c r="G6" s="110" t="s">
        <v>12</v>
      </c>
      <c r="H6" s="76">
        <v>2848</v>
      </c>
      <c r="I6" s="76">
        <v>2180</v>
      </c>
      <c r="J6" s="76">
        <v>1925</v>
      </c>
      <c r="K6" s="76">
        <v>2430</v>
      </c>
      <c r="L6" s="76">
        <v>2845</v>
      </c>
      <c r="M6" s="76">
        <v>2845</v>
      </c>
    </row>
    <row r="7" spans="1:14" ht="12" x14ac:dyDescent="0.2">
      <c r="B7" s="2" t="s">
        <v>13</v>
      </c>
      <c r="C7" s="10" t="s">
        <v>14</v>
      </c>
      <c r="E7" s="11" t="s">
        <v>11</v>
      </c>
      <c r="G7" s="110" t="s">
        <v>15</v>
      </c>
      <c r="H7" s="76">
        <v>170</v>
      </c>
      <c r="I7" s="76">
        <v>305</v>
      </c>
      <c r="J7" s="76">
        <v>505</v>
      </c>
      <c r="K7" s="76">
        <v>400</v>
      </c>
      <c r="L7" s="76">
        <v>385</v>
      </c>
      <c r="M7" s="76">
        <v>385</v>
      </c>
      <c r="N7" s="4" t="s">
        <v>593</v>
      </c>
    </row>
    <row r="8" spans="1:14" ht="12" x14ac:dyDescent="0.2">
      <c r="B8" s="2" t="s">
        <v>16</v>
      </c>
      <c r="C8" s="10" t="s">
        <v>17</v>
      </c>
      <c r="E8" s="11" t="s">
        <v>11</v>
      </c>
      <c r="G8" s="110" t="s">
        <v>18</v>
      </c>
      <c r="H8" s="76">
        <v>0</v>
      </c>
      <c r="I8" s="76">
        <v>0</v>
      </c>
      <c r="J8" s="76">
        <v>0</v>
      </c>
      <c r="K8" s="76">
        <v>0</v>
      </c>
      <c r="L8" s="76">
        <v>0</v>
      </c>
      <c r="M8" s="76">
        <v>0</v>
      </c>
    </row>
    <row r="9" spans="1:14" x14ac:dyDescent="0.2">
      <c r="B9" s="2" t="s">
        <v>19</v>
      </c>
      <c r="C9" s="10">
        <v>108</v>
      </c>
      <c r="E9" s="12"/>
      <c r="G9" s="110" t="s">
        <v>20</v>
      </c>
      <c r="H9" s="76">
        <v>11</v>
      </c>
      <c r="I9" s="76">
        <v>9</v>
      </c>
      <c r="J9" s="76">
        <v>9</v>
      </c>
      <c r="K9" s="76">
        <v>9</v>
      </c>
      <c r="L9" s="76">
        <v>9</v>
      </c>
      <c r="M9" s="76">
        <v>9</v>
      </c>
    </row>
    <row r="10" spans="1:14" x14ac:dyDescent="0.2">
      <c r="A10" s="13"/>
      <c r="B10" s="2" t="s">
        <v>21</v>
      </c>
      <c r="C10" s="14">
        <v>15</v>
      </c>
      <c r="D10" s="14"/>
      <c r="E10" s="12"/>
      <c r="F10" s="13"/>
      <c r="G10" s="110" t="s">
        <v>22</v>
      </c>
      <c r="H10" s="77">
        <f t="shared" ref="H10:M10" si="2">SUM(H11:H16)</f>
        <v>7645</v>
      </c>
      <c r="I10" s="77">
        <f>SUM(I11:I16)</f>
        <v>10995</v>
      </c>
      <c r="J10" s="77">
        <f t="shared" si="2"/>
        <v>17395</v>
      </c>
      <c r="K10" s="77">
        <f t="shared" si="2"/>
        <v>19395</v>
      </c>
      <c r="L10" s="77">
        <f t="shared" si="2"/>
        <v>19795</v>
      </c>
      <c r="M10" s="77">
        <f t="shared" si="2"/>
        <v>19595</v>
      </c>
      <c r="N10" s="4" t="s">
        <v>594</v>
      </c>
    </row>
    <row r="11" spans="1:14" ht="12" x14ac:dyDescent="0.2">
      <c r="A11" s="13"/>
      <c r="B11" s="2" t="s">
        <v>23</v>
      </c>
      <c r="C11" s="14">
        <v>150</v>
      </c>
      <c r="D11" s="14"/>
      <c r="E11" s="11" t="s">
        <v>11</v>
      </c>
      <c r="F11" s="13"/>
      <c r="G11" s="110" t="s">
        <v>24</v>
      </c>
      <c r="H11" s="76">
        <v>0</v>
      </c>
      <c r="I11" s="76">
        <v>0</v>
      </c>
      <c r="J11" s="76">
        <v>0</v>
      </c>
      <c r="K11" s="76">
        <v>0</v>
      </c>
      <c r="L11" s="76">
        <v>0</v>
      </c>
      <c r="M11" s="76">
        <v>0</v>
      </c>
    </row>
    <row r="12" spans="1:14" ht="12" x14ac:dyDescent="0.2">
      <c r="A12" s="13"/>
      <c r="B12" s="2" t="s">
        <v>25</v>
      </c>
      <c r="C12" s="14">
        <v>151</v>
      </c>
      <c r="D12" s="14"/>
      <c r="E12" s="11" t="s">
        <v>11</v>
      </c>
      <c r="F12" s="13"/>
      <c r="G12" s="110" t="s">
        <v>26</v>
      </c>
      <c r="H12" s="76">
        <v>0</v>
      </c>
      <c r="I12" s="76">
        <v>0</v>
      </c>
      <c r="J12" s="76">
        <v>0</v>
      </c>
      <c r="K12" s="76">
        <v>0</v>
      </c>
      <c r="L12" s="76">
        <v>0</v>
      </c>
      <c r="M12" s="76">
        <v>0</v>
      </c>
    </row>
    <row r="13" spans="1:14" ht="12" x14ac:dyDescent="0.2">
      <c r="B13" s="2" t="s">
        <v>27</v>
      </c>
      <c r="C13" s="10" t="s">
        <v>28</v>
      </c>
      <c r="E13" s="11" t="s">
        <v>11</v>
      </c>
      <c r="G13" s="110" t="s">
        <v>29</v>
      </c>
      <c r="H13" s="76">
        <v>0</v>
      </c>
      <c r="I13" s="76">
        <v>0</v>
      </c>
      <c r="J13" s="76">
        <v>0</v>
      </c>
      <c r="K13" s="76">
        <v>0</v>
      </c>
      <c r="L13" s="76">
        <v>0</v>
      </c>
      <c r="M13" s="76">
        <v>0</v>
      </c>
    </row>
    <row r="14" spans="1:14" ht="12" x14ac:dyDescent="0.2">
      <c r="B14" s="2" t="s">
        <v>30</v>
      </c>
      <c r="C14" s="10">
        <v>154</v>
      </c>
      <c r="E14" s="11" t="s">
        <v>11</v>
      </c>
      <c r="G14" s="110" t="s">
        <v>31</v>
      </c>
      <c r="H14" s="76">
        <v>0</v>
      </c>
      <c r="I14" s="76">
        <v>0</v>
      </c>
      <c r="J14" s="76">
        <v>0</v>
      </c>
      <c r="K14" s="76">
        <v>0</v>
      </c>
      <c r="L14" s="76">
        <v>0</v>
      </c>
      <c r="M14" s="76">
        <v>0</v>
      </c>
    </row>
    <row r="15" spans="1:14" ht="12" x14ac:dyDescent="0.2">
      <c r="B15" s="2" t="s">
        <v>32</v>
      </c>
      <c r="C15" s="10" t="s">
        <v>33</v>
      </c>
      <c r="E15" s="11" t="s">
        <v>11</v>
      </c>
      <c r="G15" s="110" t="s">
        <v>34</v>
      </c>
      <c r="H15" s="76">
        <v>7645</v>
      </c>
      <c r="I15" s="76">
        <f>H15-I57+I45</f>
        <v>10995</v>
      </c>
      <c r="J15" s="76">
        <f>I15-J57+J45</f>
        <v>17395</v>
      </c>
      <c r="K15" s="76">
        <f>J15-K57+K45</f>
        <v>19395</v>
      </c>
      <c r="L15" s="76">
        <f>K15-L57+L45</f>
        <v>19795</v>
      </c>
      <c r="M15" s="76">
        <f>L15-M57+M45</f>
        <v>19595</v>
      </c>
    </row>
    <row r="16" spans="1:14" ht="12" x14ac:dyDescent="0.2">
      <c r="B16" s="2" t="s">
        <v>35</v>
      </c>
      <c r="C16" s="10">
        <v>157</v>
      </c>
      <c r="E16" s="11" t="s">
        <v>11</v>
      </c>
      <c r="G16" s="110" t="s">
        <v>36</v>
      </c>
      <c r="H16" s="76">
        <v>0</v>
      </c>
      <c r="I16" s="76">
        <v>0</v>
      </c>
      <c r="J16" s="76">
        <v>0</v>
      </c>
      <c r="K16" s="76">
        <v>0</v>
      </c>
      <c r="L16" s="76">
        <v>0</v>
      </c>
      <c r="M16" s="76">
        <v>0</v>
      </c>
    </row>
    <row r="17" spans="1:17" s="438" customFormat="1" ht="12" x14ac:dyDescent="0.2">
      <c r="A17" s="15"/>
      <c r="B17" s="2" t="s">
        <v>37</v>
      </c>
      <c r="C17" s="15" t="s">
        <v>38</v>
      </c>
      <c r="D17" s="15"/>
      <c r="E17" s="11" t="s">
        <v>11</v>
      </c>
      <c r="F17" s="16"/>
      <c r="G17" s="436" t="s">
        <v>39</v>
      </c>
      <c r="H17" s="625">
        <v>0</v>
      </c>
      <c r="I17" s="80">
        <v>0</v>
      </c>
      <c r="J17" s="80">
        <v>0</v>
      </c>
      <c r="K17" s="80">
        <v>0</v>
      </c>
      <c r="L17" s="80">
        <v>0</v>
      </c>
      <c r="M17" s="625">
        <v>0</v>
      </c>
      <c r="N17" s="4"/>
    </row>
    <row r="18" spans="1:17" x14ac:dyDescent="0.2">
      <c r="B18" s="2" t="s">
        <v>40</v>
      </c>
      <c r="C18" s="10">
        <v>2</v>
      </c>
      <c r="E18" s="12"/>
      <c r="G18" s="110" t="s">
        <v>41</v>
      </c>
      <c r="H18" s="77">
        <f t="shared" ref="H18:M18" si="3">H19+H27</f>
        <v>10674</v>
      </c>
      <c r="I18" s="77">
        <f t="shared" si="3"/>
        <v>13489</v>
      </c>
      <c r="J18" s="77">
        <f t="shared" si="3"/>
        <v>19834</v>
      </c>
      <c r="K18" s="77">
        <f t="shared" si="3"/>
        <v>22234</v>
      </c>
      <c r="L18" s="77">
        <f t="shared" si="3"/>
        <v>23034</v>
      </c>
      <c r="M18" s="77">
        <f t="shared" si="3"/>
        <v>22834</v>
      </c>
    </row>
    <row r="19" spans="1:17" x14ac:dyDescent="0.2">
      <c r="B19" s="2" t="s">
        <v>42</v>
      </c>
      <c r="C19" s="10" t="s">
        <v>43</v>
      </c>
      <c r="E19" s="12"/>
      <c r="G19" s="110" t="s">
        <v>44</v>
      </c>
      <c r="H19" s="77">
        <f t="shared" ref="H19:M19" si="4">SUM(H21:H26)</f>
        <v>1049</v>
      </c>
      <c r="I19" s="77">
        <f t="shared" si="4"/>
        <v>1350</v>
      </c>
      <c r="J19" s="77">
        <f t="shared" si="4"/>
        <v>1400</v>
      </c>
      <c r="K19" s="77">
        <f t="shared" si="4"/>
        <v>1000</v>
      </c>
      <c r="L19" s="77">
        <f t="shared" si="4"/>
        <v>1000</v>
      </c>
      <c r="M19" s="77">
        <f t="shared" si="4"/>
        <v>1000</v>
      </c>
    </row>
    <row r="20" spans="1:17" s="439" customFormat="1" ht="12" x14ac:dyDescent="0.2">
      <c r="A20" s="17"/>
      <c r="B20" s="2" t="s">
        <v>45</v>
      </c>
      <c r="C20" s="15" t="s">
        <v>46</v>
      </c>
      <c r="D20" s="15"/>
      <c r="E20" s="11" t="s">
        <v>11</v>
      </c>
      <c r="F20" s="17"/>
      <c r="G20" s="436" t="s">
        <v>47</v>
      </c>
      <c r="H20" s="625">
        <f>H21-356</f>
        <v>693</v>
      </c>
      <c r="I20" s="625">
        <f>I21-356-31</f>
        <v>963</v>
      </c>
      <c r="J20" s="625">
        <f>J21</f>
        <v>1400</v>
      </c>
      <c r="K20" s="625">
        <f>K21</f>
        <v>1000</v>
      </c>
      <c r="L20" s="625">
        <f>L21</f>
        <v>1000</v>
      </c>
      <c r="M20" s="625">
        <f>M21</f>
        <v>1000</v>
      </c>
    </row>
    <row r="21" spans="1:17" ht="12" x14ac:dyDescent="0.2">
      <c r="B21" s="2" t="s">
        <v>48</v>
      </c>
      <c r="C21" s="18" t="s">
        <v>49</v>
      </c>
      <c r="D21" s="18"/>
      <c r="E21" s="11" t="s">
        <v>11</v>
      </c>
      <c r="G21" s="110" t="s">
        <v>50</v>
      </c>
      <c r="H21" s="76">
        <v>1049</v>
      </c>
      <c r="I21" s="76">
        <v>1350</v>
      </c>
      <c r="J21" s="76">
        <v>1400</v>
      </c>
      <c r="K21" s="76">
        <v>1000</v>
      </c>
      <c r="L21" s="76">
        <v>1000</v>
      </c>
      <c r="M21" s="76">
        <v>1000</v>
      </c>
      <c r="N21" s="4" t="s">
        <v>595</v>
      </c>
    </row>
    <row r="22" spans="1:17" ht="12" x14ac:dyDescent="0.2">
      <c r="B22" s="2" t="s">
        <v>51</v>
      </c>
      <c r="C22" s="10" t="s">
        <v>52</v>
      </c>
      <c r="E22" s="11" t="s">
        <v>11</v>
      </c>
      <c r="G22" s="110" t="s">
        <v>53</v>
      </c>
      <c r="H22" s="76">
        <v>0</v>
      </c>
      <c r="I22" s="76">
        <v>0</v>
      </c>
      <c r="J22" s="76">
        <v>0</v>
      </c>
      <c r="K22" s="76">
        <v>0</v>
      </c>
      <c r="L22" s="76">
        <v>0</v>
      </c>
      <c r="M22" s="76">
        <v>0</v>
      </c>
    </row>
    <row r="23" spans="1:17" ht="12" x14ac:dyDescent="0.2">
      <c r="B23" s="2" t="s">
        <v>54</v>
      </c>
      <c r="C23" s="10">
        <v>257</v>
      </c>
      <c r="E23" s="11" t="s">
        <v>11</v>
      </c>
      <c r="G23" s="110" t="s">
        <v>55</v>
      </c>
      <c r="H23" s="76">
        <v>0</v>
      </c>
      <c r="I23" s="76">
        <v>0</v>
      </c>
      <c r="J23" s="76">
        <v>0</v>
      </c>
      <c r="K23" s="76">
        <v>0</v>
      </c>
      <c r="L23" s="76">
        <v>0</v>
      </c>
      <c r="M23" s="76">
        <v>0</v>
      </c>
    </row>
    <row r="24" spans="1:17" ht="12" x14ac:dyDescent="0.2">
      <c r="A24" s="19"/>
      <c r="B24" s="2" t="s">
        <v>56</v>
      </c>
      <c r="C24" s="10" t="s">
        <v>57</v>
      </c>
      <c r="E24" s="11" t="s">
        <v>11</v>
      </c>
      <c r="F24" s="19"/>
      <c r="G24" s="110" t="s">
        <v>58</v>
      </c>
      <c r="H24" s="76">
        <v>0</v>
      </c>
      <c r="I24" s="76">
        <v>0</v>
      </c>
      <c r="J24" s="76">
        <v>0</v>
      </c>
      <c r="K24" s="76">
        <v>0</v>
      </c>
      <c r="L24" s="76">
        <v>0</v>
      </c>
      <c r="M24" s="76">
        <v>0</v>
      </c>
    </row>
    <row r="25" spans="1:17" ht="12" x14ac:dyDescent="0.2">
      <c r="A25" s="19"/>
      <c r="B25" s="2" t="s">
        <v>59</v>
      </c>
      <c r="C25" s="10" t="s">
        <v>60</v>
      </c>
      <c r="E25" s="11" t="s">
        <v>11</v>
      </c>
      <c r="F25" s="19"/>
      <c r="G25" s="110" t="s">
        <v>61</v>
      </c>
      <c r="H25" s="76">
        <v>0</v>
      </c>
      <c r="I25" s="76">
        <v>0</v>
      </c>
      <c r="J25" s="76">
        <v>0</v>
      </c>
      <c r="K25" s="76">
        <v>0</v>
      </c>
      <c r="L25" s="76">
        <v>0</v>
      </c>
      <c r="M25" s="76">
        <v>0</v>
      </c>
    </row>
    <row r="26" spans="1:17" ht="12" x14ac:dyDescent="0.2">
      <c r="B26" s="2" t="s">
        <v>62</v>
      </c>
      <c r="C26" s="10">
        <v>28</v>
      </c>
      <c r="E26" s="11" t="s">
        <v>11</v>
      </c>
      <c r="G26" s="110" t="s">
        <v>63</v>
      </c>
      <c r="H26" s="76">
        <v>0</v>
      </c>
      <c r="I26" s="76">
        <v>0</v>
      </c>
      <c r="J26" s="76">
        <v>0</v>
      </c>
      <c r="K26" s="76">
        <v>0</v>
      </c>
      <c r="L26" s="76">
        <v>0</v>
      </c>
      <c r="M26" s="76">
        <v>0</v>
      </c>
    </row>
    <row r="27" spans="1:17" x14ac:dyDescent="0.2">
      <c r="B27" s="2" t="s">
        <v>64</v>
      </c>
      <c r="C27" s="10">
        <v>29</v>
      </c>
      <c r="E27" s="12"/>
      <c r="G27" s="110" t="s">
        <v>65</v>
      </c>
      <c r="H27" s="77">
        <f t="shared" ref="H27:M27" si="5">SUM(H28:H30)</f>
        <v>9625</v>
      </c>
      <c r="I27" s="77">
        <f t="shared" si="5"/>
        <v>12139</v>
      </c>
      <c r="J27" s="77">
        <f t="shared" si="5"/>
        <v>18434</v>
      </c>
      <c r="K27" s="77">
        <f t="shared" si="5"/>
        <v>21234</v>
      </c>
      <c r="L27" s="77">
        <f t="shared" si="5"/>
        <v>22034</v>
      </c>
      <c r="M27" s="77">
        <f t="shared" si="5"/>
        <v>21834</v>
      </c>
    </row>
    <row r="28" spans="1:17" ht="12" x14ac:dyDescent="0.2">
      <c r="B28" s="2" t="s">
        <v>66</v>
      </c>
      <c r="C28" s="8" t="s">
        <v>67</v>
      </c>
      <c r="D28" s="8"/>
      <c r="E28" s="11" t="s">
        <v>11</v>
      </c>
      <c r="G28" s="110" t="s">
        <v>68</v>
      </c>
      <c r="H28" s="76">
        <v>8631</v>
      </c>
      <c r="I28" s="76">
        <v>8631</v>
      </c>
      <c r="J28" s="76">
        <v>8631</v>
      </c>
      <c r="K28" s="76">
        <v>8631</v>
      </c>
      <c r="L28" s="76">
        <v>8631</v>
      </c>
      <c r="M28" s="76">
        <v>8631</v>
      </c>
      <c r="N28" s="4" t="s">
        <v>596</v>
      </c>
    </row>
    <row r="29" spans="1:17" ht="12" x14ac:dyDescent="0.2">
      <c r="B29" s="2" t="s">
        <v>69</v>
      </c>
      <c r="C29" s="10">
        <v>298</v>
      </c>
      <c r="E29" s="11" t="s">
        <v>11</v>
      </c>
      <c r="G29" s="110" t="s">
        <v>70</v>
      </c>
      <c r="H29" s="76">
        <v>0</v>
      </c>
      <c r="I29" s="76">
        <f>H30</f>
        <v>994</v>
      </c>
      <c r="J29" s="76">
        <f>I30+I29</f>
        <v>3508</v>
      </c>
      <c r="K29" s="76">
        <f>J30+J29</f>
        <v>9803</v>
      </c>
      <c r="L29" s="76">
        <f>K30+K29</f>
        <v>12603</v>
      </c>
      <c r="M29" s="76">
        <f>L30+L29</f>
        <v>13403</v>
      </c>
    </row>
    <row r="30" spans="1:17" ht="12" x14ac:dyDescent="0.2">
      <c r="B30" s="2" t="s">
        <v>71</v>
      </c>
      <c r="C30" s="10">
        <v>299</v>
      </c>
      <c r="E30" s="11" t="s">
        <v>72</v>
      </c>
      <c r="G30" s="110" t="s">
        <v>73</v>
      </c>
      <c r="H30" s="76">
        <v>994</v>
      </c>
      <c r="I30" s="76">
        <f>I51</f>
        <v>2514</v>
      </c>
      <c r="J30" s="76">
        <f>J51</f>
        <v>6295</v>
      </c>
      <c r="K30" s="76">
        <f>K51</f>
        <v>2800</v>
      </c>
      <c r="L30" s="76">
        <f>L51</f>
        <v>800</v>
      </c>
      <c r="M30" s="76">
        <f>M51</f>
        <v>-200</v>
      </c>
      <c r="N30" s="4" t="s">
        <v>597</v>
      </c>
      <c r="Q30" s="4" t="s">
        <v>598</v>
      </c>
    </row>
    <row r="31" spans="1:17" s="442" customFormat="1" x14ac:dyDescent="0.2">
      <c r="A31" s="20"/>
      <c r="B31" s="6"/>
      <c r="C31" s="21"/>
      <c r="D31" s="21"/>
      <c r="E31" s="22"/>
      <c r="F31" s="20"/>
      <c r="G31" s="440" t="s">
        <v>74</v>
      </c>
      <c r="H31" s="632">
        <f t="shared" ref="H31:M31" si="6">H4-H18</f>
        <v>0</v>
      </c>
      <c r="I31" s="85">
        <f>I4-I18</f>
        <v>0</v>
      </c>
      <c r="J31" s="85">
        <f>J4-J18</f>
        <v>0</v>
      </c>
      <c r="K31" s="85">
        <f t="shared" si="6"/>
        <v>0</v>
      </c>
      <c r="L31" s="85">
        <f t="shared" si="6"/>
        <v>0</v>
      </c>
      <c r="M31" s="85">
        <f t="shared" si="6"/>
        <v>0</v>
      </c>
      <c r="N31" s="4"/>
    </row>
    <row r="32" spans="1:17" x14ac:dyDescent="0.2">
      <c r="G32" s="94" t="s">
        <v>75</v>
      </c>
      <c r="H32" s="87">
        <v>2017</v>
      </c>
      <c r="I32" s="87">
        <f>H32+1</f>
        <v>2018</v>
      </c>
      <c r="J32" s="87">
        <f>I32+1</f>
        <v>2019</v>
      </c>
      <c r="K32" s="87">
        <f>J32+1</f>
        <v>2020</v>
      </c>
      <c r="L32" s="87">
        <v>2021</v>
      </c>
      <c r="M32" s="87">
        <v>2022</v>
      </c>
    </row>
    <row r="33" spans="1:14" x14ac:dyDescent="0.2">
      <c r="B33" s="2" t="s">
        <v>76</v>
      </c>
      <c r="C33" s="10">
        <v>3</v>
      </c>
      <c r="G33" s="103" t="s">
        <v>77</v>
      </c>
      <c r="H33" s="77">
        <f t="shared" ref="H33:M33" si="7">SUM(H34:H37)</f>
        <v>4582.3900000000003</v>
      </c>
      <c r="I33" s="77">
        <f t="shared" si="7"/>
        <v>9465</v>
      </c>
      <c r="J33" s="77">
        <f t="shared" si="7"/>
        <v>13900</v>
      </c>
      <c r="K33" s="77">
        <f t="shared" si="7"/>
        <v>10900</v>
      </c>
      <c r="L33" s="77">
        <f t="shared" si="7"/>
        <v>8900</v>
      </c>
      <c r="M33" s="77">
        <f t="shared" si="7"/>
        <v>7900</v>
      </c>
    </row>
    <row r="34" spans="1:14" ht="12" x14ac:dyDescent="0.2">
      <c r="B34" s="2" t="s">
        <v>78</v>
      </c>
      <c r="C34" s="10">
        <v>30</v>
      </c>
      <c r="E34" s="11" t="s">
        <v>11</v>
      </c>
      <c r="G34" s="110" t="s">
        <v>79</v>
      </c>
      <c r="H34" s="76">
        <v>0</v>
      </c>
      <c r="I34" s="76">
        <v>0</v>
      </c>
      <c r="J34" s="76">
        <v>0</v>
      </c>
      <c r="K34" s="76">
        <v>0</v>
      </c>
      <c r="L34" s="76">
        <v>0</v>
      </c>
      <c r="M34" s="76">
        <v>0</v>
      </c>
    </row>
    <row r="35" spans="1:14" ht="12" x14ac:dyDescent="0.2">
      <c r="B35" s="2" t="s">
        <v>80</v>
      </c>
      <c r="C35" s="10">
        <v>32</v>
      </c>
      <c r="E35" s="11" t="s">
        <v>11</v>
      </c>
      <c r="G35" s="110" t="s">
        <v>81</v>
      </c>
      <c r="H35" s="76">
        <v>2577</v>
      </c>
      <c r="I35" s="76">
        <v>2700</v>
      </c>
      <c r="J35" s="76">
        <v>3100</v>
      </c>
      <c r="K35" s="76">
        <v>3400</v>
      </c>
      <c r="L35" s="76">
        <v>3400</v>
      </c>
      <c r="M35" s="76">
        <v>3400</v>
      </c>
      <c r="N35" s="4" t="s">
        <v>599</v>
      </c>
    </row>
    <row r="36" spans="1:14" ht="12" x14ac:dyDescent="0.2">
      <c r="A36" s="13"/>
      <c r="B36" s="2" t="s">
        <v>82</v>
      </c>
      <c r="C36" s="10">
        <v>35</v>
      </c>
      <c r="E36" s="11" t="s">
        <v>11</v>
      </c>
      <c r="F36" s="13"/>
      <c r="G36" s="110" t="s">
        <v>83</v>
      </c>
      <c r="H36" s="76">
        <v>2005</v>
      </c>
      <c r="I36" s="76">
        <f>5550+1215</f>
        <v>6765</v>
      </c>
      <c r="J36" s="76">
        <v>10800</v>
      </c>
      <c r="K36" s="76">
        <v>7500</v>
      </c>
      <c r="L36" s="76">
        <v>5500</v>
      </c>
      <c r="M36" s="76">
        <v>4500</v>
      </c>
      <c r="N36" s="4" t="s">
        <v>600</v>
      </c>
    </row>
    <row r="37" spans="1:14" ht="12" x14ac:dyDescent="0.2">
      <c r="B37" s="2" t="s">
        <v>84</v>
      </c>
      <c r="C37" s="10">
        <v>38</v>
      </c>
      <c r="E37" s="11" t="s">
        <v>11</v>
      </c>
      <c r="G37" s="110" t="s">
        <v>85</v>
      </c>
      <c r="H37" s="76">
        <v>0.39</v>
      </c>
      <c r="I37" s="76">
        <v>0</v>
      </c>
      <c r="J37" s="76">
        <v>0</v>
      </c>
      <c r="K37" s="76">
        <v>0</v>
      </c>
      <c r="L37" s="76">
        <v>0</v>
      </c>
      <c r="M37" s="76">
        <v>0</v>
      </c>
    </row>
    <row r="38" spans="1:14" x14ac:dyDescent="0.2">
      <c r="B38" s="2" t="s">
        <v>86</v>
      </c>
      <c r="C38" s="10">
        <v>4</v>
      </c>
      <c r="E38" s="23"/>
      <c r="G38" s="110" t="s">
        <v>87</v>
      </c>
      <c r="H38" s="77">
        <v>-1</v>
      </c>
      <c r="I38" s="77">
        <f>I39+I40</f>
        <v>0</v>
      </c>
      <c r="J38" s="77">
        <f>J39+J40</f>
        <v>0</v>
      </c>
      <c r="K38" s="77">
        <f>K39+K40</f>
        <v>0</v>
      </c>
      <c r="L38" s="77">
        <f>L39+L40</f>
        <v>0</v>
      </c>
      <c r="M38" s="77">
        <f>M39+M40</f>
        <v>0</v>
      </c>
    </row>
    <row r="39" spans="1:14" ht="12" x14ac:dyDescent="0.2">
      <c r="B39" s="2" t="s">
        <v>88</v>
      </c>
      <c r="C39" s="10">
        <v>41</v>
      </c>
      <c r="E39" s="11" t="s">
        <v>89</v>
      </c>
      <c r="G39" s="110" t="s">
        <v>90</v>
      </c>
      <c r="H39" s="76">
        <v>0</v>
      </c>
      <c r="I39" s="76">
        <v>0</v>
      </c>
      <c r="J39" s="76">
        <v>0</v>
      </c>
      <c r="K39" s="76">
        <v>0</v>
      </c>
      <c r="L39" s="76">
        <v>0</v>
      </c>
      <c r="M39" s="76">
        <v>0</v>
      </c>
    </row>
    <row r="40" spans="1:14" ht="12" x14ac:dyDescent="0.2">
      <c r="B40" s="2" t="s">
        <v>91</v>
      </c>
      <c r="C40" s="10">
        <v>45</v>
      </c>
      <c r="E40" s="11" t="s">
        <v>89</v>
      </c>
      <c r="G40" s="110" t="s">
        <v>92</v>
      </c>
      <c r="H40" s="76">
        <v>0</v>
      </c>
      <c r="I40" s="76">
        <v>0</v>
      </c>
      <c r="J40" s="76">
        <v>0</v>
      </c>
      <c r="K40" s="76">
        <v>0</v>
      </c>
      <c r="L40" s="76">
        <v>0</v>
      </c>
      <c r="M40" s="76">
        <v>0</v>
      </c>
    </row>
    <row r="41" spans="1:14" x14ac:dyDescent="0.2">
      <c r="A41" s="13"/>
      <c r="B41" s="2" t="s">
        <v>93</v>
      </c>
      <c r="C41" s="10" t="s">
        <v>94</v>
      </c>
      <c r="E41" s="23"/>
      <c r="F41" s="13"/>
      <c r="G41" s="110" t="s">
        <v>95</v>
      </c>
      <c r="H41" s="77">
        <f t="shared" ref="H41:M41" si="8">SUM(H42:H45)</f>
        <v>-3587</v>
      </c>
      <c r="I41" s="77">
        <f t="shared" si="8"/>
        <v>-6951</v>
      </c>
      <c r="J41" s="77">
        <f t="shared" si="8"/>
        <v>-7605</v>
      </c>
      <c r="K41" s="77">
        <f t="shared" si="8"/>
        <v>-8100</v>
      </c>
      <c r="L41" s="77">
        <f t="shared" si="8"/>
        <v>-8100</v>
      </c>
      <c r="M41" s="77">
        <f t="shared" si="8"/>
        <v>-8100</v>
      </c>
    </row>
    <row r="42" spans="1:14" ht="12" x14ac:dyDescent="0.2">
      <c r="B42" s="2" t="s">
        <v>96</v>
      </c>
      <c r="C42" s="10">
        <v>50</v>
      </c>
      <c r="E42" s="11" t="s">
        <v>89</v>
      </c>
      <c r="G42" s="110" t="s">
        <v>97</v>
      </c>
      <c r="H42" s="76">
        <v>-1386</v>
      </c>
      <c r="I42" s="76">
        <v>-2180</v>
      </c>
      <c r="J42" s="76">
        <v>-2290</v>
      </c>
      <c r="K42" s="76">
        <v>-2300</v>
      </c>
      <c r="L42" s="76">
        <v>-2300</v>
      </c>
      <c r="M42" s="76">
        <v>-2300</v>
      </c>
    </row>
    <row r="43" spans="1:14" ht="12" x14ac:dyDescent="0.2">
      <c r="B43" s="2" t="s">
        <v>98</v>
      </c>
      <c r="C43" s="10">
        <v>55</v>
      </c>
      <c r="E43" s="11" t="s">
        <v>89</v>
      </c>
      <c r="G43" s="110" t="s">
        <v>99</v>
      </c>
      <c r="H43" s="76">
        <v>-2026</v>
      </c>
      <c r="I43" s="76">
        <v>-4621</v>
      </c>
      <c r="J43" s="76">
        <v>-4715</v>
      </c>
      <c r="K43" s="76">
        <v>-4800</v>
      </c>
      <c r="L43" s="76">
        <v>-4800</v>
      </c>
      <c r="M43" s="76">
        <v>-4800</v>
      </c>
    </row>
    <row r="44" spans="1:14" ht="12" x14ac:dyDescent="0.2">
      <c r="A44" s="13"/>
      <c r="B44" s="2" t="s">
        <v>100</v>
      </c>
      <c r="C44" s="10">
        <v>60</v>
      </c>
      <c r="E44" s="11" t="s">
        <v>89</v>
      </c>
      <c r="F44" s="13"/>
      <c r="G44" s="110" t="s">
        <v>101</v>
      </c>
      <c r="H44" s="76">
        <v>-7</v>
      </c>
      <c r="I44" s="76">
        <v>0</v>
      </c>
      <c r="J44" s="76">
        <v>0</v>
      </c>
      <c r="K44" s="76">
        <v>0</v>
      </c>
      <c r="L44" s="76">
        <v>0</v>
      </c>
      <c r="M44" s="76">
        <v>0</v>
      </c>
    </row>
    <row r="45" spans="1:14" ht="12" x14ac:dyDescent="0.2">
      <c r="B45" s="2" t="s">
        <v>102</v>
      </c>
      <c r="C45" s="10">
        <v>61</v>
      </c>
      <c r="E45" s="11" t="s">
        <v>89</v>
      </c>
      <c r="G45" s="110" t="s">
        <v>103</v>
      </c>
      <c r="H45" s="76">
        <v>-168</v>
      </c>
      <c r="I45" s="76">
        <v>-150</v>
      </c>
      <c r="J45" s="76">
        <v>-600</v>
      </c>
      <c r="K45" s="76">
        <v>-1000</v>
      </c>
      <c r="L45" s="76">
        <v>-1000</v>
      </c>
      <c r="M45" s="76">
        <v>-1000</v>
      </c>
    </row>
    <row r="46" spans="1:14" x14ac:dyDescent="0.2">
      <c r="B46" s="2" t="s">
        <v>104</v>
      </c>
      <c r="G46" s="110" t="s">
        <v>105</v>
      </c>
      <c r="H46" s="77">
        <f t="shared" ref="H46:M46" si="9">H33+H38+H41</f>
        <v>994.39000000000033</v>
      </c>
      <c r="I46" s="77">
        <f t="shared" si="9"/>
        <v>2514</v>
      </c>
      <c r="J46" s="77">
        <f t="shared" si="9"/>
        <v>6295</v>
      </c>
      <c r="K46" s="77">
        <f t="shared" si="9"/>
        <v>2800</v>
      </c>
      <c r="L46" s="77">
        <f t="shared" si="9"/>
        <v>800</v>
      </c>
      <c r="M46" s="77">
        <f t="shared" si="9"/>
        <v>-200</v>
      </c>
    </row>
    <row r="47" spans="1:14" ht="12" x14ac:dyDescent="0.2">
      <c r="B47" s="2" t="s">
        <v>106</v>
      </c>
      <c r="C47" s="10">
        <v>65</v>
      </c>
      <c r="E47" s="11" t="s">
        <v>72</v>
      </c>
      <c r="G47" s="110" t="s">
        <v>107</v>
      </c>
      <c r="H47" s="76">
        <v>0</v>
      </c>
      <c r="I47" s="76">
        <v>0</v>
      </c>
      <c r="J47" s="76">
        <v>0</v>
      </c>
      <c r="K47" s="76">
        <v>0</v>
      </c>
      <c r="L47" s="76">
        <v>0</v>
      </c>
      <c r="M47" s="76">
        <v>0</v>
      </c>
    </row>
    <row r="48" spans="1:14" x14ac:dyDescent="0.2">
      <c r="B48" s="2" t="s">
        <v>108</v>
      </c>
      <c r="G48" s="110" t="s">
        <v>109</v>
      </c>
      <c r="H48" s="77">
        <f t="shared" ref="H48:M48" si="10">H46+H47</f>
        <v>994.39000000000033</v>
      </c>
      <c r="I48" s="77">
        <f t="shared" si="10"/>
        <v>2514</v>
      </c>
      <c r="J48" s="77">
        <f t="shared" si="10"/>
        <v>6295</v>
      </c>
      <c r="K48" s="77">
        <f t="shared" si="10"/>
        <v>2800</v>
      </c>
      <c r="L48" s="77">
        <f>L46+L47</f>
        <v>800</v>
      </c>
      <c r="M48" s="77">
        <f t="shared" si="10"/>
        <v>-200</v>
      </c>
    </row>
    <row r="49" spans="1:15" ht="12" x14ac:dyDescent="0.2">
      <c r="B49" s="2" t="s">
        <v>110</v>
      </c>
      <c r="C49" s="10">
        <v>68</v>
      </c>
      <c r="E49" s="11" t="s">
        <v>89</v>
      </c>
      <c r="G49" s="110" t="s">
        <v>111</v>
      </c>
      <c r="H49" s="76">
        <v>0</v>
      </c>
      <c r="I49" s="76">
        <v>0</v>
      </c>
      <c r="J49" s="76">
        <v>0</v>
      </c>
      <c r="K49" s="76">
        <v>0</v>
      </c>
      <c r="L49" s="76">
        <v>0</v>
      </c>
      <c r="M49" s="76">
        <v>0</v>
      </c>
    </row>
    <row r="50" spans="1:15" ht="12" x14ac:dyDescent="0.2">
      <c r="B50" s="2" t="s">
        <v>112</v>
      </c>
      <c r="C50" s="10">
        <v>69</v>
      </c>
      <c r="E50" s="11" t="s">
        <v>11</v>
      </c>
      <c r="G50" s="110" t="s">
        <v>113</v>
      </c>
      <c r="H50" s="76">
        <v>0</v>
      </c>
      <c r="I50" s="76">
        <v>0</v>
      </c>
      <c r="J50" s="76">
        <v>0</v>
      </c>
      <c r="K50" s="76">
        <v>0</v>
      </c>
      <c r="L50" s="76">
        <v>0</v>
      </c>
      <c r="M50" s="76">
        <v>0</v>
      </c>
    </row>
    <row r="51" spans="1:15" x14ac:dyDescent="0.2">
      <c r="B51" s="2" t="s">
        <v>114</v>
      </c>
      <c r="G51" s="110" t="s">
        <v>115</v>
      </c>
      <c r="H51" s="77">
        <f t="shared" ref="H51:M51" si="11">H48+H49+H50</f>
        <v>994.39000000000033</v>
      </c>
      <c r="I51" s="77">
        <f t="shared" si="11"/>
        <v>2514</v>
      </c>
      <c r="J51" s="77">
        <f t="shared" si="11"/>
        <v>6295</v>
      </c>
      <c r="K51" s="77">
        <f t="shared" si="11"/>
        <v>2800</v>
      </c>
      <c r="L51" s="77">
        <f t="shared" si="11"/>
        <v>800</v>
      </c>
      <c r="M51" s="77">
        <f t="shared" si="11"/>
        <v>-200</v>
      </c>
    </row>
    <row r="52" spans="1:15" x14ac:dyDescent="0.2">
      <c r="A52" s="24"/>
      <c r="C52" s="25"/>
      <c r="D52" s="25"/>
      <c r="E52" s="26"/>
      <c r="F52" s="24"/>
      <c r="G52" s="440" t="s">
        <v>116</v>
      </c>
      <c r="H52" s="632">
        <f t="shared" ref="H52:M52" si="12">H30-H51</f>
        <v>-0.39000000000032742</v>
      </c>
      <c r="I52" s="85">
        <f t="shared" si="12"/>
        <v>0</v>
      </c>
      <c r="J52" s="85">
        <f t="shared" si="12"/>
        <v>0</v>
      </c>
      <c r="K52" s="85">
        <f t="shared" si="12"/>
        <v>0</v>
      </c>
      <c r="L52" s="85">
        <f>L30-L51</f>
        <v>0</v>
      </c>
      <c r="M52" s="85">
        <f t="shared" si="12"/>
        <v>0</v>
      </c>
    </row>
    <row r="53" spans="1:15" x14ac:dyDescent="0.2">
      <c r="G53" s="27" t="s">
        <v>117</v>
      </c>
    </row>
    <row r="54" spans="1:15" ht="12" x14ac:dyDescent="0.2">
      <c r="C54" s="10">
        <v>90</v>
      </c>
      <c r="E54" s="11" t="s">
        <v>11</v>
      </c>
      <c r="G54" s="27" t="s">
        <v>118</v>
      </c>
      <c r="H54" s="76">
        <v>85</v>
      </c>
      <c r="I54" s="76">
        <v>90</v>
      </c>
      <c r="J54" s="76">
        <f>85+7</f>
        <v>92</v>
      </c>
      <c r="K54" s="76">
        <f>85+7</f>
        <v>92</v>
      </c>
      <c r="L54" s="76">
        <f>85+7</f>
        <v>92</v>
      </c>
      <c r="M54" s="76">
        <f>85+7</f>
        <v>92</v>
      </c>
      <c r="O54" s="4" t="s">
        <v>601</v>
      </c>
    </row>
    <row r="56" spans="1:15" x14ac:dyDescent="0.2">
      <c r="D56" s="29" t="s">
        <v>120</v>
      </c>
      <c r="E56" s="30" t="s">
        <v>3</v>
      </c>
      <c r="F56" s="9"/>
      <c r="G56" s="94" t="s">
        <v>121</v>
      </c>
      <c r="H56" s="87">
        <f>H32</f>
        <v>2017</v>
      </c>
      <c r="I56" s="87">
        <f>I32</f>
        <v>2018</v>
      </c>
      <c r="J56" s="87">
        <f>J32</f>
        <v>2019</v>
      </c>
      <c r="K56" s="87">
        <f>K32</f>
        <v>2020</v>
      </c>
      <c r="L56" s="87">
        <v>2021</v>
      </c>
      <c r="M56" s="87">
        <v>2022</v>
      </c>
    </row>
    <row r="57" spans="1:15" ht="11.25" customHeight="1" x14ac:dyDescent="0.2">
      <c r="B57" s="31" t="s">
        <v>122</v>
      </c>
      <c r="C57" s="8" t="s">
        <v>123</v>
      </c>
      <c r="D57" s="32" t="s">
        <v>124</v>
      </c>
      <c r="E57" s="11" t="s">
        <v>89</v>
      </c>
      <c r="F57" s="12"/>
      <c r="G57" s="103" t="s">
        <v>125</v>
      </c>
      <c r="H57" s="76">
        <v>-333</v>
      </c>
      <c r="I57" s="76">
        <v>-3500</v>
      </c>
      <c r="J57" s="76">
        <v>-7000</v>
      </c>
      <c r="K57" s="76">
        <v>-3000</v>
      </c>
      <c r="L57" s="76">
        <v>-1400</v>
      </c>
      <c r="M57" s="76">
        <v>-800</v>
      </c>
      <c r="O57" s="4" t="s">
        <v>602</v>
      </c>
    </row>
    <row r="58" spans="1:15" ht="12" x14ac:dyDescent="0.2">
      <c r="B58" s="31" t="s">
        <v>126</v>
      </c>
      <c r="C58" s="33" t="s">
        <v>127</v>
      </c>
      <c r="D58" s="32" t="s">
        <v>128</v>
      </c>
      <c r="E58" s="11" t="s">
        <v>11</v>
      </c>
      <c r="F58" s="12"/>
      <c r="G58" s="158" t="s">
        <v>129</v>
      </c>
      <c r="H58" s="76">
        <v>0</v>
      </c>
      <c r="I58" s="76">
        <v>0</v>
      </c>
      <c r="J58" s="76">
        <v>0</v>
      </c>
      <c r="K58" s="76">
        <v>0</v>
      </c>
      <c r="L58" s="76">
        <v>0</v>
      </c>
      <c r="M58" s="76">
        <v>0</v>
      </c>
    </row>
    <row r="59" spans="1:15" ht="12" x14ac:dyDescent="0.2">
      <c r="B59" s="31" t="s">
        <v>130</v>
      </c>
      <c r="C59" s="34" t="s">
        <v>492</v>
      </c>
      <c r="D59" s="32" t="s">
        <v>131</v>
      </c>
      <c r="E59" s="11" t="s">
        <v>11</v>
      </c>
      <c r="F59" s="12"/>
      <c r="G59" s="110" t="s">
        <v>132</v>
      </c>
      <c r="H59" s="76">
        <v>35</v>
      </c>
      <c r="I59" s="76">
        <v>3200</v>
      </c>
      <c r="J59" s="76">
        <v>6300</v>
      </c>
      <c r="K59" s="76">
        <v>2000</v>
      </c>
      <c r="L59" s="76">
        <v>1000</v>
      </c>
      <c r="M59" s="76">
        <v>0</v>
      </c>
    </row>
    <row r="60" spans="1:15" ht="12" x14ac:dyDescent="0.2">
      <c r="B60" s="31" t="s">
        <v>133</v>
      </c>
      <c r="C60" s="34" t="s">
        <v>134</v>
      </c>
      <c r="D60" s="34" t="s">
        <v>135</v>
      </c>
      <c r="E60" s="11" t="s">
        <v>89</v>
      </c>
      <c r="F60" s="12"/>
      <c r="G60" s="110" t="s">
        <v>136</v>
      </c>
      <c r="H60" s="76">
        <v>0</v>
      </c>
      <c r="I60" s="76">
        <v>0</v>
      </c>
      <c r="J60" s="76">
        <v>0</v>
      </c>
      <c r="K60" s="76">
        <v>0</v>
      </c>
      <c r="L60" s="76">
        <v>0</v>
      </c>
      <c r="M60" s="76">
        <v>0</v>
      </c>
    </row>
    <row r="61" spans="1:15" ht="12" x14ac:dyDescent="0.2">
      <c r="B61" s="31" t="s">
        <v>137</v>
      </c>
      <c r="C61" s="10">
        <v>253800</v>
      </c>
      <c r="D61" s="34" t="s">
        <v>131</v>
      </c>
      <c r="E61" s="11" t="s">
        <v>11</v>
      </c>
      <c r="F61" s="12"/>
      <c r="G61" s="110" t="s">
        <v>138</v>
      </c>
      <c r="H61" s="76">
        <v>0</v>
      </c>
      <c r="I61" s="76">
        <v>0</v>
      </c>
      <c r="J61" s="76">
        <v>0</v>
      </c>
      <c r="K61" s="76">
        <v>0</v>
      </c>
      <c r="L61" s="76">
        <v>0</v>
      </c>
      <c r="M61" s="76">
        <v>0</v>
      </c>
    </row>
    <row r="62" spans="1:15" ht="12" x14ac:dyDescent="0.2">
      <c r="B62" s="31" t="s">
        <v>139</v>
      </c>
      <c r="C62" s="10">
        <v>150</v>
      </c>
      <c r="D62" s="34" t="s">
        <v>135</v>
      </c>
      <c r="E62" s="11" t="s">
        <v>89</v>
      </c>
      <c r="F62" s="12"/>
      <c r="G62" s="110" t="s">
        <v>140</v>
      </c>
      <c r="H62" s="76">
        <v>0</v>
      </c>
      <c r="I62" s="76">
        <v>0</v>
      </c>
      <c r="J62" s="76">
        <v>0</v>
      </c>
      <c r="K62" s="76">
        <v>0</v>
      </c>
      <c r="L62" s="76">
        <v>0</v>
      </c>
      <c r="M62" s="76">
        <v>0</v>
      </c>
    </row>
    <row r="63" spans="1:15" ht="12" x14ac:dyDescent="0.2">
      <c r="B63" s="31" t="s">
        <v>141</v>
      </c>
      <c r="C63" s="34" t="s">
        <v>142</v>
      </c>
      <c r="D63" s="34" t="s">
        <v>131</v>
      </c>
      <c r="E63" s="11" t="s">
        <v>11</v>
      </c>
      <c r="F63" s="12"/>
      <c r="G63" s="110" t="s">
        <v>143</v>
      </c>
      <c r="H63" s="76">
        <v>0</v>
      </c>
      <c r="I63" s="76">
        <v>0</v>
      </c>
      <c r="J63" s="76">
        <v>0</v>
      </c>
      <c r="K63" s="76">
        <v>0</v>
      </c>
      <c r="L63" s="76">
        <v>0</v>
      </c>
      <c r="M63" s="76">
        <v>0</v>
      </c>
    </row>
    <row r="64" spans="1:15" ht="12" x14ac:dyDescent="0.2">
      <c r="B64" s="31" t="s">
        <v>144</v>
      </c>
      <c r="C64" s="8" t="s">
        <v>493</v>
      </c>
      <c r="D64" s="34" t="s">
        <v>135</v>
      </c>
      <c r="E64" s="11" t="s">
        <v>89</v>
      </c>
      <c r="F64" s="12"/>
      <c r="G64" s="110" t="s">
        <v>145</v>
      </c>
      <c r="H64" s="76">
        <v>0</v>
      </c>
      <c r="I64" s="76">
        <v>0</v>
      </c>
      <c r="J64" s="76">
        <v>0</v>
      </c>
      <c r="K64" s="76">
        <v>0</v>
      </c>
      <c r="L64" s="76">
        <v>0</v>
      </c>
      <c r="M64" s="76">
        <v>0</v>
      </c>
    </row>
    <row r="65" spans="2:13" ht="12" x14ac:dyDescent="0.2">
      <c r="B65" s="31" t="s">
        <v>146</v>
      </c>
      <c r="C65" s="8" t="s">
        <v>493</v>
      </c>
      <c r="D65" s="34" t="s">
        <v>131</v>
      </c>
      <c r="E65" s="11" t="s">
        <v>11</v>
      </c>
      <c r="F65" s="12"/>
      <c r="G65" s="110" t="s">
        <v>147</v>
      </c>
      <c r="H65" s="76">
        <v>0</v>
      </c>
      <c r="I65" s="76">
        <v>0</v>
      </c>
      <c r="J65" s="76">
        <v>0</v>
      </c>
      <c r="K65" s="76">
        <v>0</v>
      </c>
      <c r="L65" s="76">
        <v>0</v>
      </c>
      <c r="M65" s="76">
        <v>0</v>
      </c>
    </row>
    <row r="66" spans="2:13" ht="12" x14ac:dyDescent="0.2">
      <c r="B66" s="31" t="s">
        <v>148</v>
      </c>
      <c r="C66" s="8" t="s">
        <v>149</v>
      </c>
      <c r="D66" s="34" t="s">
        <v>135</v>
      </c>
      <c r="E66" s="11" t="s">
        <v>89</v>
      </c>
      <c r="F66" s="12"/>
      <c r="G66" s="110" t="s">
        <v>150</v>
      </c>
      <c r="H66" s="76">
        <v>0</v>
      </c>
      <c r="I66" s="76">
        <v>0</v>
      </c>
      <c r="J66" s="76">
        <v>0</v>
      </c>
      <c r="K66" s="76">
        <v>0</v>
      </c>
      <c r="L66" s="76">
        <v>0</v>
      </c>
      <c r="M66" s="76">
        <v>0</v>
      </c>
    </row>
    <row r="67" spans="2:13" ht="12" x14ac:dyDescent="0.2">
      <c r="B67" s="31" t="s">
        <v>151</v>
      </c>
      <c r="C67" s="8" t="s">
        <v>149</v>
      </c>
      <c r="D67" s="34" t="s">
        <v>131</v>
      </c>
      <c r="E67" s="11" t="s">
        <v>11</v>
      </c>
      <c r="F67" s="12"/>
      <c r="G67" s="110" t="s">
        <v>152</v>
      </c>
      <c r="H67" s="76">
        <v>0</v>
      </c>
      <c r="I67" s="76">
        <v>0</v>
      </c>
      <c r="J67" s="76">
        <v>0</v>
      </c>
      <c r="K67" s="76">
        <v>0</v>
      </c>
      <c r="L67" s="76">
        <v>0</v>
      </c>
      <c r="M67" s="76">
        <v>0</v>
      </c>
    </row>
    <row r="68" spans="2:13" ht="12" x14ac:dyDescent="0.2">
      <c r="B68" s="31" t="s">
        <v>153</v>
      </c>
      <c r="C68" s="34" t="s">
        <v>142</v>
      </c>
      <c r="D68" s="34" t="s">
        <v>131</v>
      </c>
      <c r="E68" s="11" t="s">
        <v>11</v>
      </c>
      <c r="F68" s="12"/>
      <c r="G68" s="110" t="s">
        <v>154</v>
      </c>
      <c r="H68" s="76">
        <v>0</v>
      </c>
      <c r="I68" s="76">
        <v>0</v>
      </c>
      <c r="J68" s="76">
        <v>0</v>
      </c>
      <c r="K68" s="76">
        <v>0</v>
      </c>
      <c r="L68" s="76">
        <v>0</v>
      </c>
      <c r="M68" s="76">
        <v>0</v>
      </c>
    </row>
    <row r="69" spans="2:13" ht="12" x14ac:dyDescent="0.2">
      <c r="B69" s="31" t="s">
        <v>155</v>
      </c>
      <c r="C69" s="35" t="s">
        <v>156</v>
      </c>
      <c r="D69" s="8"/>
      <c r="E69" s="11" t="s">
        <v>72</v>
      </c>
      <c r="F69" s="12"/>
      <c r="G69" s="110" t="s">
        <v>107</v>
      </c>
      <c r="H69" s="76">
        <v>0</v>
      </c>
      <c r="I69" s="76">
        <v>0</v>
      </c>
      <c r="J69" s="76">
        <v>0</v>
      </c>
      <c r="K69" s="76">
        <v>0</v>
      </c>
      <c r="L69" s="76">
        <v>0</v>
      </c>
      <c r="M69" s="76">
        <v>0</v>
      </c>
    </row>
    <row r="70" spans="2:13" x14ac:dyDescent="0.2">
      <c r="B70" s="31" t="s">
        <v>157</v>
      </c>
      <c r="D70" s="8"/>
      <c r="E70" s="12"/>
      <c r="F70" s="12"/>
      <c r="G70" s="100" t="s">
        <v>158</v>
      </c>
      <c r="H70" s="77">
        <f t="shared" ref="H70:M70" si="13">SUM(H57:H69)</f>
        <v>-298</v>
      </c>
      <c r="I70" s="77">
        <f>SUM(I57:I69)</f>
        <v>-300</v>
      </c>
      <c r="J70" s="77">
        <f t="shared" si="13"/>
        <v>-700</v>
      </c>
      <c r="K70" s="77">
        <f t="shared" si="13"/>
        <v>-1000</v>
      </c>
      <c r="L70" s="77">
        <f>SUM(L57:L69)</f>
        <v>-400</v>
      </c>
      <c r="M70" s="77">
        <f t="shared" si="13"/>
        <v>-800</v>
      </c>
    </row>
    <row r="71" spans="2:13" x14ac:dyDescent="0.2">
      <c r="D71" s="8"/>
    </row>
    <row r="72" spans="2:13" x14ac:dyDescent="0.2">
      <c r="D72" s="29" t="s">
        <v>120</v>
      </c>
      <c r="E72" s="30" t="s">
        <v>3</v>
      </c>
      <c r="F72" s="9"/>
      <c r="G72" s="94" t="s">
        <v>159</v>
      </c>
      <c r="H72" s="87">
        <f t="shared" ref="H72:M72" si="14">H56</f>
        <v>2017</v>
      </c>
      <c r="I72" s="87">
        <f t="shared" si="14"/>
        <v>2018</v>
      </c>
      <c r="J72" s="87">
        <f t="shared" si="14"/>
        <v>2019</v>
      </c>
      <c r="K72" s="87">
        <f t="shared" si="14"/>
        <v>2020</v>
      </c>
      <c r="L72" s="87">
        <f>L56</f>
        <v>2021</v>
      </c>
      <c r="M72" s="87">
        <f t="shared" si="14"/>
        <v>2022</v>
      </c>
    </row>
    <row r="73" spans="2:13" ht="12" x14ac:dyDescent="0.2">
      <c r="B73" s="2" t="s">
        <v>160</v>
      </c>
      <c r="C73" s="34" t="s">
        <v>161</v>
      </c>
      <c r="D73" s="34" t="s">
        <v>128</v>
      </c>
      <c r="E73" s="11" t="s">
        <v>11</v>
      </c>
      <c r="G73" s="103" t="s">
        <v>162</v>
      </c>
      <c r="H73" s="76">
        <v>0</v>
      </c>
      <c r="I73" s="76">
        <v>0</v>
      </c>
      <c r="J73" s="76">
        <v>0</v>
      </c>
      <c r="K73" s="76">
        <v>0</v>
      </c>
      <c r="L73" s="76">
        <v>0</v>
      </c>
      <c r="M73" s="76">
        <v>0</v>
      </c>
    </row>
    <row r="74" spans="2:13" ht="12" x14ac:dyDescent="0.2">
      <c r="B74" s="2" t="s">
        <v>163</v>
      </c>
      <c r="C74" s="34" t="s">
        <v>161</v>
      </c>
      <c r="D74" s="34" t="s">
        <v>124</v>
      </c>
      <c r="E74" s="11" t="s">
        <v>89</v>
      </c>
      <c r="F74" s="12"/>
      <c r="G74" s="110" t="s">
        <v>164</v>
      </c>
      <c r="H74" s="76">
        <v>0</v>
      </c>
      <c r="I74" s="76">
        <v>0</v>
      </c>
      <c r="J74" s="76">
        <v>0</v>
      </c>
      <c r="K74" s="76">
        <v>0</v>
      </c>
      <c r="L74" s="76">
        <v>0</v>
      </c>
      <c r="M74" s="76">
        <v>0</v>
      </c>
    </row>
    <row r="75" spans="2:13" ht="12" x14ac:dyDescent="0.2">
      <c r="B75" s="2" t="s">
        <v>165</v>
      </c>
      <c r="C75" s="34" t="s">
        <v>166</v>
      </c>
      <c r="D75" s="34" t="s">
        <v>131</v>
      </c>
      <c r="E75" s="11" t="s">
        <v>11</v>
      </c>
      <c r="G75" s="110" t="s">
        <v>167</v>
      </c>
      <c r="H75" s="76">
        <v>0</v>
      </c>
      <c r="I75" s="76">
        <v>0</v>
      </c>
      <c r="J75" s="76">
        <v>0</v>
      </c>
      <c r="K75" s="76">
        <v>0</v>
      </c>
      <c r="L75" s="76">
        <v>0</v>
      </c>
      <c r="M75" s="76">
        <v>0</v>
      </c>
    </row>
    <row r="76" spans="2:13" ht="12" x14ac:dyDescent="0.2">
      <c r="B76" s="2" t="s">
        <v>168</v>
      </c>
      <c r="C76" s="34" t="s">
        <v>166</v>
      </c>
      <c r="D76" s="34" t="s">
        <v>135</v>
      </c>
      <c r="E76" s="11" t="s">
        <v>89</v>
      </c>
      <c r="F76" s="12"/>
      <c r="G76" s="110" t="s">
        <v>169</v>
      </c>
      <c r="H76" s="76">
        <v>0</v>
      </c>
      <c r="I76" s="76">
        <v>0</v>
      </c>
      <c r="J76" s="76">
        <v>0</v>
      </c>
      <c r="K76" s="76">
        <v>0</v>
      </c>
      <c r="L76" s="76">
        <v>0</v>
      </c>
      <c r="M76" s="76">
        <v>0</v>
      </c>
    </row>
    <row r="77" spans="2:13" ht="12" x14ac:dyDescent="0.2">
      <c r="B77" s="2" t="s">
        <v>170</v>
      </c>
      <c r="C77" s="34" t="s">
        <v>171</v>
      </c>
      <c r="D77" s="34" t="s">
        <v>135</v>
      </c>
      <c r="E77" s="11" t="s">
        <v>89</v>
      </c>
      <c r="F77" s="12"/>
      <c r="G77" s="110" t="s">
        <v>172</v>
      </c>
      <c r="H77" s="76">
        <v>0</v>
      </c>
      <c r="I77" s="76">
        <v>0</v>
      </c>
      <c r="J77" s="76">
        <v>0</v>
      </c>
      <c r="K77" s="76">
        <v>0</v>
      </c>
      <c r="L77" s="76">
        <v>0</v>
      </c>
      <c r="M77" s="76">
        <v>0</v>
      </c>
    </row>
    <row r="78" spans="2:13" ht="12" x14ac:dyDescent="0.2">
      <c r="B78" s="2" t="s">
        <v>173</v>
      </c>
      <c r="C78" s="34" t="s">
        <v>174</v>
      </c>
      <c r="D78" s="34" t="s">
        <v>135</v>
      </c>
      <c r="E78" s="11" t="s">
        <v>89</v>
      </c>
      <c r="F78" s="12"/>
      <c r="G78" s="110" t="s">
        <v>175</v>
      </c>
      <c r="H78" s="76">
        <v>0</v>
      </c>
      <c r="I78" s="76">
        <v>0</v>
      </c>
      <c r="J78" s="76">
        <v>0</v>
      </c>
      <c r="K78" s="76">
        <v>0</v>
      </c>
      <c r="L78" s="76">
        <v>0</v>
      </c>
      <c r="M78" s="76">
        <v>0</v>
      </c>
    </row>
    <row r="79" spans="2:13" ht="12" x14ac:dyDescent="0.2">
      <c r="B79" s="2" t="s">
        <v>176</v>
      </c>
      <c r="C79" s="34" t="s">
        <v>177</v>
      </c>
      <c r="D79" s="34" t="s">
        <v>135</v>
      </c>
      <c r="E79" s="11" t="s">
        <v>89</v>
      </c>
      <c r="F79" s="12"/>
      <c r="G79" s="110" t="s">
        <v>178</v>
      </c>
      <c r="H79" s="76">
        <v>0</v>
      </c>
      <c r="I79" s="76">
        <v>0</v>
      </c>
      <c r="J79" s="76">
        <v>0</v>
      </c>
      <c r="K79" s="76">
        <v>0</v>
      </c>
      <c r="L79" s="76">
        <v>0</v>
      </c>
      <c r="M79" s="76">
        <v>0</v>
      </c>
    </row>
    <row r="80" spans="2:13" ht="12" x14ac:dyDescent="0.2">
      <c r="B80" s="2" t="s">
        <v>179</v>
      </c>
      <c r="C80" s="34" t="s">
        <v>52</v>
      </c>
      <c r="D80" s="34" t="s">
        <v>135</v>
      </c>
      <c r="E80" s="11" t="s">
        <v>89</v>
      </c>
      <c r="F80" s="12"/>
      <c r="G80" s="110" t="s">
        <v>180</v>
      </c>
      <c r="H80" s="76">
        <v>0</v>
      </c>
      <c r="I80" s="76">
        <v>0</v>
      </c>
      <c r="J80" s="76">
        <v>0</v>
      </c>
      <c r="K80" s="76">
        <v>0</v>
      </c>
      <c r="L80" s="76">
        <v>0</v>
      </c>
      <c r="M80" s="76">
        <v>0</v>
      </c>
    </row>
    <row r="81" spans="1:13" ht="12" x14ac:dyDescent="0.2">
      <c r="B81" s="2" t="s">
        <v>181</v>
      </c>
      <c r="C81" s="34" t="s">
        <v>182</v>
      </c>
      <c r="D81" s="34" t="s">
        <v>131</v>
      </c>
      <c r="E81" s="11" t="s">
        <v>11</v>
      </c>
      <c r="G81" s="110" t="s">
        <v>183</v>
      </c>
      <c r="H81" s="76">
        <v>0</v>
      </c>
      <c r="I81" s="76">
        <v>0</v>
      </c>
      <c r="J81" s="76">
        <v>0</v>
      </c>
      <c r="K81" s="76">
        <v>0</v>
      </c>
      <c r="L81" s="76">
        <v>0</v>
      </c>
      <c r="M81" s="76">
        <v>0</v>
      </c>
    </row>
    <row r="82" spans="1:13" ht="12" x14ac:dyDescent="0.2">
      <c r="B82" s="2" t="s">
        <v>184</v>
      </c>
      <c r="C82" s="34" t="s">
        <v>182</v>
      </c>
      <c r="D82" s="34" t="s">
        <v>135</v>
      </c>
      <c r="E82" s="11" t="s">
        <v>89</v>
      </c>
      <c r="F82" s="12"/>
      <c r="G82" s="110" t="s">
        <v>494</v>
      </c>
      <c r="H82" s="76">
        <v>0</v>
      </c>
      <c r="I82" s="76">
        <v>0</v>
      </c>
      <c r="J82" s="76">
        <v>0</v>
      </c>
      <c r="K82" s="76">
        <v>0</v>
      </c>
      <c r="L82" s="76">
        <v>0</v>
      </c>
      <c r="M82" s="76">
        <v>0</v>
      </c>
    </row>
    <row r="83" spans="1:13" ht="12" x14ac:dyDescent="0.2">
      <c r="B83" s="2" t="s">
        <v>185</v>
      </c>
      <c r="C83" s="36">
        <v>68</v>
      </c>
      <c r="D83" s="34" t="s">
        <v>135</v>
      </c>
      <c r="E83" s="11" t="s">
        <v>89</v>
      </c>
      <c r="F83" s="12"/>
      <c r="G83" s="46" t="s">
        <v>111</v>
      </c>
      <c r="H83" s="76">
        <v>0</v>
      </c>
      <c r="I83" s="76">
        <v>0</v>
      </c>
      <c r="J83" s="76">
        <v>0</v>
      </c>
      <c r="K83" s="76">
        <v>0</v>
      </c>
      <c r="L83" s="76">
        <v>0</v>
      </c>
      <c r="M83" s="76">
        <v>0</v>
      </c>
    </row>
    <row r="84" spans="1:13" x14ac:dyDescent="0.2">
      <c r="B84" s="2" t="s">
        <v>186</v>
      </c>
      <c r="G84" s="46" t="s">
        <v>158</v>
      </c>
      <c r="H84" s="77">
        <f t="shared" ref="H84:M84" si="15">SUM(H73:H83)</f>
        <v>0</v>
      </c>
      <c r="I84" s="77">
        <f t="shared" si="15"/>
        <v>0</v>
      </c>
      <c r="J84" s="77">
        <f t="shared" si="15"/>
        <v>0</v>
      </c>
      <c r="K84" s="77">
        <f t="shared" si="15"/>
        <v>0</v>
      </c>
      <c r="L84" s="77">
        <f>SUM(L73:L83)</f>
        <v>0</v>
      </c>
      <c r="M84" s="77">
        <f t="shared" si="15"/>
        <v>0</v>
      </c>
    </row>
    <row r="86" spans="1:13" hidden="1" x14ac:dyDescent="0.2">
      <c r="A86" s="13" t="s">
        <v>0</v>
      </c>
      <c r="D86" s="753" t="s">
        <v>187</v>
      </c>
      <c r="E86" s="754"/>
      <c r="G86" s="94" t="s">
        <v>495</v>
      </c>
      <c r="H86" s="87">
        <f t="shared" ref="H86:M86" si="16">H32</f>
        <v>2017</v>
      </c>
      <c r="I86" s="87">
        <f t="shared" si="16"/>
        <v>2018</v>
      </c>
      <c r="J86" s="87">
        <f t="shared" si="16"/>
        <v>2019</v>
      </c>
      <c r="K86" s="87">
        <f t="shared" si="16"/>
        <v>2020</v>
      </c>
      <c r="L86" s="87">
        <f t="shared" si="16"/>
        <v>2021</v>
      </c>
      <c r="M86" s="87">
        <f t="shared" si="16"/>
        <v>2022</v>
      </c>
    </row>
    <row r="87" spans="1:13" hidden="1" x14ac:dyDescent="0.2">
      <c r="A87" s="8" t="s">
        <v>496</v>
      </c>
      <c r="B87" s="2" t="s">
        <v>188</v>
      </c>
      <c r="C87" s="8" t="s">
        <v>497</v>
      </c>
      <c r="E87" s="109"/>
      <c r="G87" s="103" t="s">
        <v>498</v>
      </c>
      <c r="H87" s="77">
        <f t="shared" ref="H87:L87" si="17">H46+H70</f>
        <v>696.39000000000033</v>
      </c>
      <c r="I87" s="77">
        <f t="shared" si="17"/>
        <v>2214</v>
      </c>
      <c r="J87" s="77">
        <f t="shared" si="17"/>
        <v>5595</v>
      </c>
      <c r="K87" s="77">
        <f t="shared" si="17"/>
        <v>1800</v>
      </c>
      <c r="L87" s="77">
        <f t="shared" si="17"/>
        <v>400</v>
      </c>
      <c r="M87" s="77">
        <f>M46+M70</f>
        <v>-1000</v>
      </c>
    </row>
    <row r="88" spans="1:13" hidden="1" x14ac:dyDescent="0.2">
      <c r="A88" s="8" t="s">
        <v>499</v>
      </c>
      <c r="B88" s="2" t="s">
        <v>189</v>
      </c>
      <c r="C88" s="34" t="s">
        <v>190</v>
      </c>
      <c r="E88" s="109"/>
      <c r="G88" s="103" t="s">
        <v>191</v>
      </c>
      <c r="H88" s="77">
        <f t="shared" ref="H88:M88" si="18">H33+H38+H41-H45</f>
        <v>1162.3900000000003</v>
      </c>
      <c r="I88" s="77">
        <f t="shared" si="18"/>
        <v>2664</v>
      </c>
      <c r="J88" s="77">
        <f t="shared" si="18"/>
        <v>6895</v>
      </c>
      <c r="K88" s="77">
        <f t="shared" si="18"/>
        <v>3800</v>
      </c>
      <c r="L88" s="77">
        <f t="shared" si="18"/>
        <v>1800</v>
      </c>
      <c r="M88" s="77">
        <f t="shared" si="18"/>
        <v>800</v>
      </c>
    </row>
    <row r="89" spans="1:13" hidden="1" x14ac:dyDescent="0.2">
      <c r="A89" s="8" t="s">
        <v>500</v>
      </c>
      <c r="B89" s="2" t="s">
        <v>192</v>
      </c>
      <c r="C89" s="8" t="s">
        <v>501</v>
      </c>
      <c r="E89" s="106">
        <v>0</v>
      </c>
      <c r="G89" s="46" t="s">
        <v>193</v>
      </c>
      <c r="H89" s="108">
        <f>H88/H33</f>
        <v>0.25366457241745033</v>
      </c>
      <c r="I89" s="108">
        <f t="shared" ref="I89:M89" si="19">I88/I33</f>
        <v>0.28145800316957209</v>
      </c>
      <c r="J89" s="108">
        <f t="shared" si="19"/>
        <v>0.49604316546762589</v>
      </c>
      <c r="K89" s="108">
        <f t="shared" si="19"/>
        <v>0.34862385321100919</v>
      </c>
      <c r="L89" s="108">
        <f t="shared" si="19"/>
        <v>0.20224719101123595</v>
      </c>
      <c r="M89" s="108">
        <f t="shared" si="19"/>
        <v>0.10126582278481013</v>
      </c>
    </row>
    <row r="90" spans="1:13" hidden="1" x14ac:dyDescent="0.2">
      <c r="A90" s="8" t="s">
        <v>502</v>
      </c>
      <c r="B90" s="2" t="s">
        <v>194</v>
      </c>
      <c r="C90" s="34" t="s">
        <v>195</v>
      </c>
      <c r="E90" s="109"/>
      <c r="G90" s="110" t="s">
        <v>196</v>
      </c>
      <c r="H90" s="111">
        <f t="shared" ref="H90:M90" si="20">-H33/(H38+H41)</f>
        <v>1.2771432552954294</v>
      </c>
      <c r="I90" s="111">
        <f t="shared" si="20"/>
        <v>1.3616745791972378</v>
      </c>
      <c r="J90" s="111">
        <f t="shared" si="20"/>
        <v>1.8277449046679817</v>
      </c>
      <c r="K90" s="111">
        <f t="shared" si="20"/>
        <v>1.345679012345679</v>
      </c>
      <c r="L90" s="111">
        <f t="shared" si="20"/>
        <v>1.0987654320987654</v>
      </c>
      <c r="M90" s="111">
        <f t="shared" si="20"/>
        <v>0.97530864197530864</v>
      </c>
    </row>
    <row r="91" spans="1:13" hidden="1" x14ac:dyDescent="0.2">
      <c r="A91" s="8" t="s">
        <v>503</v>
      </c>
      <c r="B91" s="2" t="s">
        <v>197</v>
      </c>
      <c r="C91" s="8" t="s">
        <v>198</v>
      </c>
      <c r="E91" s="109"/>
      <c r="G91" s="103" t="s">
        <v>199</v>
      </c>
      <c r="H91" s="105">
        <f t="shared" ref="H91:M91" si="21">H46</f>
        <v>994.39000000000033</v>
      </c>
      <c r="I91" s="105">
        <f t="shared" si="21"/>
        <v>2514</v>
      </c>
      <c r="J91" s="105">
        <f t="shared" si="21"/>
        <v>6295</v>
      </c>
      <c r="K91" s="105">
        <f t="shared" si="21"/>
        <v>2800</v>
      </c>
      <c r="L91" s="105">
        <f t="shared" si="21"/>
        <v>800</v>
      </c>
      <c r="M91" s="105">
        <f t="shared" si="21"/>
        <v>-200</v>
      </c>
    </row>
    <row r="92" spans="1:13" hidden="1" x14ac:dyDescent="0.2">
      <c r="A92" s="8" t="s">
        <v>504</v>
      </c>
      <c r="B92" s="2" t="s">
        <v>200</v>
      </c>
      <c r="C92" s="8" t="s">
        <v>201</v>
      </c>
      <c r="D92" s="106">
        <v>-0.3</v>
      </c>
      <c r="E92" s="106">
        <v>0</v>
      </c>
      <c r="G92" s="110" t="s">
        <v>202</v>
      </c>
      <c r="H92" s="113">
        <f t="shared" ref="H92:M92" si="22">H46/H33</f>
        <v>0.21700248123795668</v>
      </c>
      <c r="I92" s="113">
        <f t="shared" si="22"/>
        <v>0.26561014263074484</v>
      </c>
      <c r="J92" s="113">
        <f t="shared" si="22"/>
        <v>0.4528776978417266</v>
      </c>
      <c r="K92" s="113">
        <f t="shared" si="22"/>
        <v>0.25688073394495414</v>
      </c>
      <c r="L92" s="113">
        <f t="shared" si="22"/>
        <v>8.98876404494382E-2</v>
      </c>
      <c r="M92" s="113">
        <f t="shared" si="22"/>
        <v>-2.5316455696202531E-2</v>
      </c>
    </row>
    <row r="93" spans="1:13" hidden="1" x14ac:dyDescent="0.2">
      <c r="A93" s="8" t="s">
        <v>505</v>
      </c>
      <c r="B93" s="2" t="s">
        <v>203</v>
      </c>
      <c r="C93" s="8" t="s">
        <v>204</v>
      </c>
      <c r="E93" s="109"/>
      <c r="G93" s="46" t="s">
        <v>205</v>
      </c>
      <c r="H93" s="105">
        <f t="shared" ref="H93:M93" si="23">H29+H30</f>
        <v>994</v>
      </c>
      <c r="I93" s="105">
        <f>I29+I30</f>
        <v>3508</v>
      </c>
      <c r="J93" s="105">
        <f t="shared" si="23"/>
        <v>9803</v>
      </c>
      <c r="K93" s="105">
        <f t="shared" si="23"/>
        <v>12603</v>
      </c>
      <c r="L93" s="105">
        <f t="shared" si="23"/>
        <v>13403</v>
      </c>
      <c r="M93" s="105">
        <f t="shared" si="23"/>
        <v>13203</v>
      </c>
    </row>
    <row r="94" spans="1:13" hidden="1" x14ac:dyDescent="0.2">
      <c r="G94" s="451" t="s">
        <v>206</v>
      </c>
      <c r="H94" s="87">
        <f t="shared" ref="H94:M94" si="24">H86</f>
        <v>2017</v>
      </c>
      <c r="I94" s="87">
        <f t="shared" si="24"/>
        <v>2018</v>
      </c>
      <c r="J94" s="87">
        <f t="shared" si="24"/>
        <v>2019</v>
      </c>
      <c r="K94" s="87">
        <f t="shared" si="24"/>
        <v>2020</v>
      </c>
      <c r="L94" s="87">
        <f>L86</f>
        <v>2021</v>
      </c>
      <c r="M94" s="87">
        <f t="shared" si="24"/>
        <v>2022</v>
      </c>
    </row>
    <row r="95" spans="1:13" hidden="1" x14ac:dyDescent="0.2">
      <c r="A95" s="34" t="s">
        <v>506</v>
      </c>
      <c r="B95" s="2" t="s">
        <v>207</v>
      </c>
      <c r="C95" s="10" t="s">
        <v>208</v>
      </c>
      <c r="E95" s="109"/>
      <c r="F95" s="37"/>
      <c r="G95" s="103" t="s">
        <v>209</v>
      </c>
      <c r="H95" s="77">
        <f t="shared" ref="H95:M95" si="25">H6+H12</f>
        <v>2848</v>
      </c>
      <c r="I95" s="77">
        <f t="shared" si="25"/>
        <v>2180</v>
      </c>
      <c r="J95" s="77">
        <f t="shared" si="25"/>
        <v>1925</v>
      </c>
      <c r="K95" s="77">
        <f t="shared" si="25"/>
        <v>2430</v>
      </c>
      <c r="L95" s="77">
        <f t="shared" si="25"/>
        <v>2845</v>
      </c>
      <c r="M95" s="77">
        <f t="shared" si="25"/>
        <v>2845</v>
      </c>
    </row>
    <row r="96" spans="1:13" hidden="1" x14ac:dyDescent="0.2">
      <c r="A96" s="8" t="s">
        <v>507</v>
      </c>
      <c r="B96" s="2" t="s">
        <v>210</v>
      </c>
      <c r="C96" s="8" t="s">
        <v>42</v>
      </c>
      <c r="E96" s="109"/>
      <c r="F96" s="37"/>
      <c r="G96" s="110" t="s">
        <v>211</v>
      </c>
      <c r="H96" s="105">
        <f t="shared" ref="H96:M96" si="26">H19</f>
        <v>1049</v>
      </c>
      <c r="I96" s="105">
        <f t="shared" si="26"/>
        <v>1350</v>
      </c>
      <c r="J96" s="105">
        <f t="shared" si="26"/>
        <v>1400</v>
      </c>
      <c r="K96" s="105">
        <f t="shared" si="26"/>
        <v>1000</v>
      </c>
      <c r="L96" s="105">
        <f t="shared" si="26"/>
        <v>1000</v>
      </c>
      <c r="M96" s="105">
        <f t="shared" si="26"/>
        <v>1000</v>
      </c>
    </row>
    <row r="97" spans="1:13" hidden="1" x14ac:dyDescent="0.2">
      <c r="A97" s="8" t="s">
        <v>508</v>
      </c>
      <c r="B97" s="2" t="s">
        <v>509</v>
      </c>
      <c r="C97" s="8" t="s">
        <v>510</v>
      </c>
      <c r="E97" s="109"/>
      <c r="F97" s="37"/>
      <c r="G97" s="110" t="s">
        <v>212</v>
      </c>
      <c r="H97" s="77">
        <f t="shared" ref="H97:M97" si="27">H96-H95</f>
        <v>-1799</v>
      </c>
      <c r="I97" s="77">
        <f t="shared" si="27"/>
        <v>-830</v>
      </c>
      <c r="J97" s="77">
        <f t="shared" si="27"/>
        <v>-525</v>
      </c>
      <c r="K97" s="77">
        <f t="shared" si="27"/>
        <v>-1430</v>
      </c>
      <c r="L97" s="77">
        <f>L96-L95</f>
        <v>-1845</v>
      </c>
      <c r="M97" s="77">
        <f t="shared" si="27"/>
        <v>-1845</v>
      </c>
    </row>
    <row r="98" spans="1:13" hidden="1" x14ac:dyDescent="0.2">
      <c r="A98" s="34" t="s">
        <v>511</v>
      </c>
      <c r="B98" s="2" t="s">
        <v>512</v>
      </c>
      <c r="C98" s="8" t="s">
        <v>513</v>
      </c>
      <c r="E98" s="106">
        <v>0.4</v>
      </c>
      <c r="F98" s="37"/>
      <c r="G98" s="110" t="s">
        <v>213</v>
      </c>
      <c r="H98" s="108">
        <f t="shared" ref="H98:M98" si="28">H97/H33</f>
        <v>-0.39258989304707803</v>
      </c>
      <c r="I98" s="108">
        <f t="shared" si="28"/>
        <v>-8.7691494981510826E-2</v>
      </c>
      <c r="J98" s="108">
        <f t="shared" si="28"/>
        <v>-3.7769784172661872E-2</v>
      </c>
      <c r="K98" s="108">
        <f t="shared" si="28"/>
        <v>-0.13119266055045872</v>
      </c>
      <c r="L98" s="108">
        <f t="shared" si="28"/>
        <v>-0.20730337078651687</v>
      </c>
      <c r="M98" s="108">
        <f t="shared" si="28"/>
        <v>-0.23354430379746835</v>
      </c>
    </row>
    <row r="99" spans="1:13" hidden="1" x14ac:dyDescent="0.2">
      <c r="A99" s="8" t="s">
        <v>514</v>
      </c>
      <c r="B99" s="2" t="s">
        <v>214</v>
      </c>
      <c r="C99" s="8" t="s">
        <v>515</v>
      </c>
      <c r="D99" s="116">
        <v>0</v>
      </c>
      <c r="E99" s="116">
        <v>5</v>
      </c>
      <c r="F99" s="37"/>
      <c r="G99" s="110" t="s">
        <v>215</v>
      </c>
      <c r="H99" s="111">
        <f t="shared" ref="H99:M99" si="29">H97/H88</f>
        <v>-1.5476733282289072</v>
      </c>
      <c r="I99" s="111">
        <f t="shared" si="29"/>
        <v>-0.31156156156156156</v>
      </c>
      <c r="J99" s="111">
        <f t="shared" si="29"/>
        <v>-7.6142131979695438E-2</v>
      </c>
      <c r="K99" s="111">
        <f t="shared" si="29"/>
        <v>-0.37631578947368421</v>
      </c>
      <c r="L99" s="111">
        <f>L97/L88</f>
        <v>-1.0249999999999999</v>
      </c>
      <c r="M99" s="111">
        <f t="shared" si="29"/>
        <v>-2.3062499999999999</v>
      </c>
    </row>
    <row r="100" spans="1:13" hidden="1" x14ac:dyDescent="0.2">
      <c r="A100" s="8" t="s">
        <v>516</v>
      </c>
      <c r="B100" s="2" t="s">
        <v>216</v>
      </c>
      <c r="C100" s="8" t="s">
        <v>217</v>
      </c>
      <c r="E100" s="109"/>
      <c r="F100" s="37"/>
      <c r="G100" s="110" t="s">
        <v>218</v>
      </c>
      <c r="H100" s="105">
        <f>-(H74+H76+H77+H78+H79+H80)</f>
        <v>0</v>
      </c>
      <c r="I100" s="105">
        <f t="shared" ref="I100:M100" si="30">-(I74+I76+I77+I78+I79+I80)</f>
        <v>0</v>
      </c>
      <c r="J100" s="105">
        <f t="shared" si="30"/>
        <v>0</v>
      </c>
      <c r="K100" s="105">
        <f t="shared" si="30"/>
        <v>0</v>
      </c>
      <c r="L100" s="105">
        <f>-(L74+L76+L77+L78+L79+L80)</f>
        <v>0</v>
      </c>
      <c r="M100" s="105">
        <f t="shared" si="30"/>
        <v>0</v>
      </c>
    </row>
    <row r="101" spans="1:13" hidden="1" x14ac:dyDescent="0.2">
      <c r="A101" s="8" t="s">
        <v>517</v>
      </c>
      <c r="B101" s="2" t="s">
        <v>219</v>
      </c>
      <c r="C101" s="8" t="s">
        <v>518</v>
      </c>
      <c r="E101" s="116">
        <v>1.2</v>
      </c>
      <c r="F101" s="37"/>
      <c r="G101" s="110" t="s">
        <v>220</v>
      </c>
      <c r="H101" s="111" t="e">
        <f>H88/H100</f>
        <v>#DIV/0!</v>
      </c>
      <c r="I101" s="111" t="e">
        <f t="shared" ref="I101:M101" si="31">I88/I100</f>
        <v>#DIV/0!</v>
      </c>
      <c r="J101" s="111" t="e">
        <f t="shared" si="31"/>
        <v>#DIV/0!</v>
      </c>
      <c r="K101" s="111" t="e">
        <f t="shared" si="31"/>
        <v>#DIV/0!</v>
      </c>
      <c r="L101" s="111" t="e">
        <f>L88/L100</f>
        <v>#DIV/0!</v>
      </c>
      <c r="M101" s="111" t="e">
        <f t="shared" si="31"/>
        <v>#DIV/0!</v>
      </c>
    </row>
    <row r="102" spans="1:13" hidden="1" x14ac:dyDescent="0.2">
      <c r="A102" s="38" t="s">
        <v>519</v>
      </c>
      <c r="B102" s="2" t="s">
        <v>221</v>
      </c>
      <c r="C102" s="8" t="s">
        <v>222</v>
      </c>
      <c r="E102" s="116">
        <v>0</v>
      </c>
      <c r="F102" s="37"/>
      <c r="G102" s="103" t="s">
        <v>223</v>
      </c>
      <c r="H102" s="105">
        <f t="shared" ref="H102:M102" si="32">H5-H20</f>
        <v>2336</v>
      </c>
      <c r="I102" s="105">
        <f t="shared" si="32"/>
        <v>1531</v>
      </c>
      <c r="J102" s="105">
        <f t="shared" si="32"/>
        <v>1039</v>
      </c>
      <c r="K102" s="105">
        <f t="shared" si="32"/>
        <v>1839</v>
      </c>
      <c r="L102" s="105">
        <f t="shared" si="32"/>
        <v>2239</v>
      </c>
      <c r="M102" s="105">
        <f t="shared" si="32"/>
        <v>2239</v>
      </c>
    </row>
    <row r="103" spans="1:13" hidden="1" x14ac:dyDescent="0.2">
      <c r="A103" s="34" t="s">
        <v>520</v>
      </c>
      <c r="B103" s="2" t="s">
        <v>224</v>
      </c>
      <c r="C103" s="8" t="s">
        <v>225</v>
      </c>
      <c r="E103" s="116">
        <v>1</v>
      </c>
      <c r="F103" s="37"/>
      <c r="G103" s="110" t="s">
        <v>226</v>
      </c>
      <c r="H103" s="117">
        <f t="shared" ref="H103:M103" si="33">H5/H20</f>
        <v>4.370851370851371</v>
      </c>
      <c r="I103" s="117">
        <f t="shared" si="33"/>
        <v>2.5898234683281411</v>
      </c>
      <c r="J103" s="117">
        <f t="shared" si="33"/>
        <v>1.7421428571428572</v>
      </c>
      <c r="K103" s="117">
        <f t="shared" si="33"/>
        <v>2.839</v>
      </c>
      <c r="L103" s="117">
        <f t="shared" si="33"/>
        <v>3.2389999999999999</v>
      </c>
      <c r="M103" s="117">
        <f t="shared" si="33"/>
        <v>3.2389999999999999</v>
      </c>
    </row>
    <row r="104" spans="1:13" hidden="1" x14ac:dyDescent="0.2">
      <c r="A104" s="34" t="s">
        <v>521</v>
      </c>
      <c r="B104" s="2" t="s">
        <v>227</v>
      </c>
      <c r="C104" s="34" t="s">
        <v>228</v>
      </c>
      <c r="E104" s="116">
        <v>1</v>
      </c>
      <c r="F104" s="37"/>
      <c r="G104" s="46" t="s">
        <v>229</v>
      </c>
      <c r="H104" s="117">
        <f t="shared" ref="H104:M104" si="34">-H6/((H38+H41-H45+H47)/12)</f>
        <v>9.9929824561403517</v>
      </c>
      <c r="I104" s="117">
        <f t="shared" si="34"/>
        <v>3.8464931627701811</v>
      </c>
      <c r="J104" s="117">
        <f t="shared" si="34"/>
        <v>3.2976445396145611</v>
      </c>
      <c r="K104" s="117">
        <f t="shared" si="34"/>
        <v>4.1070422535211266</v>
      </c>
      <c r="L104" s="117">
        <f t="shared" si="34"/>
        <v>4.8084507042253524</v>
      </c>
      <c r="M104" s="117">
        <f t="shared" si="34"/>
        <v>4.8084507042253524</v>
      </c>
    </row>
    <row r="105" spans="1:13" hidden="1" x14ac:dyDescent="0.2">
      <c r="C105" s="8"/>
      <c r="F105" s="37"/>
      <c r="G105" s="451" t="s">
        <v>230</v>
      </c>
      <c r="H105" s="87">
        <f t="shared" ref="H105:M105" si="35">H94</f>
        <v>2017</v>
      </c>
      <c r="I105" s="87">
        <f t="shared" si="35"/>
        <v>2018</v>
      </c>
      <c r="J105" s="87">
        <f t="shared" si="35"/>
        <v>2019</v>
      </c>
      <c r="K105" s="87">
        <f t="shared" si="35"/>
        <v>2020</v>
      </c>
      <c r="L105" s="87">
        <f>L94</f>
        <v>2021</v>
      </c>
      <c r="M105" s="87">
        <f t="shared" si="35"/>
        <v>2022</v>
      </c>
    </row>
    <row r="106" spans="1:13" hidden="1" x14ac:dyDescent="0.2">
      <c r="A106" s="34" t="s">
        <v>522</v>
      </c>
      <c r="B106" s="2" t="s">
        <v>231</v>
      </c>
      <c r="C106" s="34" t="s">
        <v>232</v>
      </c>
      <c r="E106" s="106">
        <v>0.6</v>
      </c>
      <c r="F106" s="37"/>
      <c r="G106" s="103" t="s">
        <v>233</v>
      </c>
      <c r="H106" s="115">
        <f t="shared" ref="H106:M106" si="36">H17/H4</f>
        <v>0</v>
      </c>
      <c r="I106" s="115">
        <f t="shared" si="36"/>
        <v>0</v>
      </c>
      <c r="J106" s="115">
        <f t="shared" si="36"/>
        <v>0</v>
      </c>
      <c r="K106" s="115">
        <f t="shared" si="36"/>
        <v>0</v>
      </c>
      <c r="L106" s="115">
        <f t="shared" si="36"/>
        <v>0</v>
      </c>
      <c r="M106" s="115">
        <f t="shared" si="36"/>
        <v>0</v>
      </c>
    </row>
    <row r="107" spans="1:13" hidden="1" x14ac:dyDescent="0.2">
      <c r="A107" s="34" t="s">
        <v>523</v>
      </c>
      <c r="B107" s="2" t="s">
        <v>234</v>
      </c>
      <c r="C107" s="34" t="s">
        <v>235</v>
      </c>
      <c r="E107" s="106">
        <v>0.4</v>
      </c>
      <c r="F107" s="37"/>
      <c r="G107" s="46" t="s">
        <v>236</v>
      </c>
      <c r="H107" s="115" t="e">
        <f t="shared" ref="H107:M107" si="37">H27/H17</f>
        <v>#DIV/0!</v>
      </c>
      <c r="I107" s="115" t="e">
        <f t="shared" si="37"/>
        <v>#DIV/0!</v>
      </c>
      <c r="J107" s="115" t="e">
        <f t="shared" si="37"/>
        <v>#DIV/0!</v>
      </c>
      <c r="K107" s="115" t="e">
        <f t="shared" si="37"/>
        <v>#DIV/0!</v>
      </c>
      <c r="L107" s="115" t="e">
        <f t="shared" si="37"/>
        <v>#DIV/0!</v>
      </c>
      <c r="M107" s="115" t="e">
        <f t="shared" si="37"/>
        <v>#DIV/0!</v>
      </c>
    </row>
    <row r="108" spans="1:13" hidden="1" x14ac:dyDescent="0.2">
      <c r="C108" s="8"/>
      <c r="F108" s="37"/>
      <c r="G108" s="455" t="s">
        <v>237</v>
      </c>
      <c r="H108" s="87">
        <f t="shared" ref="H108:M108" si="38">H94</f>
        <v>2017</v>
      </c>
      <c r="I108" s="87">
        <f t="shared" si="38"/>
        <v>2018</v>
      </c>
      <c r="J108" s="87">
        <f t="shared" si="38"/>
        <v>2019</v>
      </c>
      <c r="K108" s="87">
        <f t="shared" si="38"/>
        <v>2020</v>
      </c>
      <c r="L108" s="87">
        <f>L94</f>
        <v>2021</v>
      </c>
      <c r="M108" s="87">
        <f t="shared" si="38"/>
        <v>2022</v>
      </c>
    </row>
    <row r="109" spans="1:13" hidden="1" x14ac:dyDescent="0.2">
      <c r="A109" s="34" t="s">
        <v>524</v>
      </c>
      <c r="B109" s="2" t="s">
        <v>238</v>
      </c>
      <c r="C109" s="39" t="s">
        <v>239</v>
      </c>
      <c r="E109" s="109"/>
      <c r="F109" s="37"/>
      <c r="G109" s="110" t="s">
        <v>240</v>
      </c>
      <c r="H109" s="118">
        <f t="shared" ref="H109:M109" si="39">H10/H4</f>
        <v>0.71622634438823307</v>
      </c>
      <c r="I109" s="118">
        <f t="shared" si="39"/>
        <v>0.81510860701312182</v>
      </c>
      <c r="J109" s="118">
        <f t="shared" si="39"/>
        <v>0.87702934355147721</v>
      </c>
      <c r="K109" s="118">
        <f t="shared" si="39"/>
        <v>0.87231267428263015</v>
      </c>
      <c r="L109" s="118">
        <f t="shared" si="39"/>
        <v>0.85938178345055138</v>
      </c>
      <c r="M109" s="118">
        <f t="shared" si="39"/>
        <v>0.85815012700359117</v>
      </c>
    </row>
    <row r="110" spans="1:13" hidden="1" x14ac:dyDescent="0.2">
      <c r="A110" s="34" t="s">
        <v>525</v>
      </c>
      <c r="B110" s="2" t="s">
        <v>241</v>
      </c>
      <c r="C110" s="39" t="s">
        <v>242</v>
      </c>
      <c r="E110" s="109"/>
      <c r="F110" s="37"/>
      <c r="G110" s="110" t="s">
        <v>243</v>
      </c>
      <c r="H110" s="118">
        <f t="shared" ref="H110:M110" si="40">-(H57)/H15</f>
        <v>4.3557880967952912E-2</v>
      </c>
      <c r="I110" s="118">
        <f t="shared" si="40"/>
        <v>0.31832651205093226</v>
      </c>
      <c r="J110" s="118">
        <f t="shared" si="40"/>
        <v>0.4024144869215292</v>
      </c>
      <c r="K110" s="118">
        <f t="shared" si="40"/>
        <v>0.15467904098994587</v>
      </c>
      <c r="L110" s="118">
        <f t="shared" si="40"/>
        <v>7.0724930538014652E-2</v>
      </c>
      <c r="M110" s="118">
        <f t="shared" si="40"/>
        <v>4.082674151569278E-2</v>
      </c>
    </row>
    <row r="111" spans="1:13" hidden="1" x14ac:dyDescent="0.2">
      <c r="A111" s="34" t="s">
        <v>526</v>
      </c>
      <c r="B111" s="2" t="s">
        <v>244</v>
      </c>
      <c r="C111" s="8" t="s">
        <v>245</v>
      </c>
      <c r="E111" s="109"/>
      <c r="F111" s="37"/>
      <c r="G111" s="103" t="s">
        <v>246</v>
      </c>
      <c r="H111" s="111">
        <f t="shared" ref="H111:M111" si="41">H33/H4</f>
        <v>0.42930391605771034</v>
      </c>
      <c r="I111" s="111">
        <f t="shared" si="41"/>
        <v>0.70168285269478836</v>
      </c>
      <c r="J111" s="111">
        <f t="shared" si="41"/>
        <v>0.70081677926792374</v>
      </c>
      <c r="K111" s="111">
        <f t="shared" si="41"/>
        <v>0.49024017270846454</v>
      </c>
      <c r="L111" s="111">
        <f t="shared" si="41"/>
        <v>0.38638534340540071</v>
      </c>
      <c r="M111" s="111">
        <f t="shared" si="41"/>
        <v>0.34597529999124116</v>
      </c>
    </row>
    <row r="112" spans="1:13" hidden="1" x14ac:dyDescent="0.2">
      <c r="A112" s="34" t="s">
        <v>527</v>
      </c>
      <c r="B112" s="2" t="s">
        <v>247</v>
      </c>
      <c r="C112" s="39" t="s">
        <v>248</v>
      </c>
      <c r="E112" s="109"/>
      <c r="F112" s="37"/>
      <c r="G112" s="46" t="s">
        <v>249</v>
      </c>
      <c r="H112" s="111">
        <f t="shared" ref="H112:M112" si="42">H33/H15</f>
        <v>0.59939699149771097</v>
      </c>
      <c r="I112" s="111">
        <f t="shared" si="42"/>
        <v>0.86084583901773537</v>
      </c>
      <c r="J112" s="111">
        <f t="shared" si="42"/>
        <v>0.79908019545846509</v>
      </c>
      <c r="K112" s="111">
        <f t="shared" si="42"/>
        <v>0.56200051559680331</v>
      </c>
      <c r="L112" s="111">
        <f t="shared" si="42"/>
        <v>0.44960848699166456</v>
      </c>
      <c r="M112" s="111">
        <f t="shared" si="42"/>
        <v>0.40316407246746622</v>
      </c>
    </row>
    <row r="113" spans="1:14" hidden="1" x14ac:dyDescent="0.2">
      <c r="A113" s="8" t="s">
        <v>528</v>
      </c>
      <c r="B113" s="2" t="s">
        <v>250</v>
      </c>
      <c r="C113" s="39" t="s">
        <v>251</v>
      </c>
      <c r="D113" s="106">
        <v>0.5</v>
      </c>
      <c r="E113" s="106">
        <f>1/3</f>
        <v>0.33333333333333331</v>
      </c>
      <c r="F113" s="37"/>
      <c r="G113" s="110" t="s">
        <v>252</v>
      </c>
      <c r="H113" s="118">
        <f t="shared" ref="H113:M113" si="43">H27/H4</f>
        <v>0.90172381487727182</v>
      </c>
      <c r="I113" s="118">
        <f t="shared" si="43"/>
        <v>0.89991845207205867</v>
      </c>
      <c r="J113" s="118">
        <f t="shared" si="43"/>
        <v>0.9294141373399214</v>
      </c>
      <c r="K113" s="118">
        <f t="shared" si="43"/>
        <v>0.95502383736619589</v>
      </c>
      <c r="L113" s="118">
        <f t="shared" si="43"/>
        <v>0.95658591647130331</v>
      </c>
      <c r="M113" s="118">
        <f t="shared" si="43"/>
        <v>0.95620565822895687</v>
      </c>
    </row>
    <row r="114" spans="1:14" hidden="1" x14ac:dyDescent="0.2">
      <c r="A114" s="40"/>
      <c r="C114" s="40"/>
      <c r="D114" s="41"/>
      <c r="E114" s="42"/>
      <c r="F114" s="37"/>
      <c r="G114" s="94" t="s">
        <v>253</v>
      </c>
      <c r="H114" s="87">
        <f t="shared" ref="H114:M114" si="44">H108</f>
        <v>2017</v>
      </c>
      <c r="I114" s="87">
        <f t="shared" si="44"/>
        <v>2018</v>
      </c>
      <c r="J114" s="87">
        <f t="shared" si="44"/>
        <v>2019</v>
      </c>
      <c r="K114" s="87">
        <f t="shared" si="44"/>
        <v>2020</v>
      </c>
      <c r="L114" s="87">
        <f>L108</f>
        <v>2021</v>
      </c>
      <c r="M114" s="87">
        <f t="shared" si="44"/>
        <v>2022</v>
      </c>
    </row>
    <row r="115" spans="1:14" hidden="1" x14ac:dyDescent="0.2">
      <c r="A115" s="8" t="s">
        <v>529</v>
      </c>
      <c r="B115" s="2" t="s">
        <v>254</v>
      </c>
      <c r="C115" s="8" t="s">
        <v>255</v>
      </c>
      <c r="D115" s="43"/>
      <c r="E115" s="106">
        <v>0.05</v>
      </c>
      <c r="G115" s="103" t="s">
        <v>256</v>
      </c>
      <c r="H115" s="108">
        <f t="shared" ref="H115:M115" si="45">H35/H33</f>
        <v>0.56237029148544748</v>
      </c>
      <c r="I115" s="108">
        <f t="shared" si="45"/>
        <v>0.28526148969889065</v>
      </c>
      <c r="J115" s="108">
        <f t="shared" si="45"/>
        <v>0.22302158273381295</v>
      </c>
      <c r="K115" s="108">
        <f t="shared" si="45"/>
        <v>0.31192660550458717</v>
      </c>
      <c r="L115" s="108">
        <f t="shared" si="45"/>
        <v>0.38202247191011235</v>
      </c>
      <c r="M115" s="108">
        <f t="shared" si="45"/>
        <v>0.43037974683544306</v>
      </c>
    </row>
    <row r="116" spans="1:14" hidden="1" x14ac:dyDescent="0.2">
      <c r="A116" s="8" t="s">
        <v>530</v>
      </c>
      <c r="B116" s="2" t="s">
        <v>257</v>
      </c>
      <c r="C116" s="8" t="s">
        <v>258</v>
      </c>
      <c r="E116" s="106">
        <v>0.95</v>
      </c>
      <c r="G116" s="110" t="s">
        <v>259</v>
      </c>
      <c r="H116" s="118">
        <f t="shared" ref="H116:M116" si="46">(H36+H34)/H33</f>
        <v>0.43754460008860002</v>
      </c>
      <c r="I116" s="118">
        <f t="shared" si="46"/>
        <v>0.71473851030110935</v>
      </c>
      <c r="J116" s="118">
        <f t="shared" si="46"/>
        <v>0.7769784172661871</v>
      </c>
      <c r="K116" s="118">
        <f t="shared" si="46"/>
        <v>0.68807339449541283</v>
      </c>
      <c r="L116" s="118">
        <f t="shared" si="46"/>
        <v>0.6179775280898876</v>
      </c>
      <c r="M116" s="118">
        <f t="shared" si="46"/>
        <v>0.569620253164557</v>
      </c>
    </row>
    <row r="117" spans="1:14" hidden="1" x14ac:dyDescent="0.2">
      <c r="A117" s="8" t="s">
        <v>531</v>
      </c>
      <c r="B117" s="2" t="s">
        <v>260</v>
      </c>
      <c r="C117" s="8" t="s">
        <v>261</v>
      </c>
      <c r="E117" s="106">
        <v>0.95</v>
      </c>
      <c r="G117" s="46" t="s">
        <v>262</v>
      </c>
      <c r="H117" s="108">
        <f t="shared" ref="H117:M117" si="47">H38/(H38+H41)</f>
        <v>2.7870680044593088E-4</v>
      </c>
      <c r="I117" s="108">
        <f t="shared" si="47"/>
        <v>0</v>
      </c>
      <c r="J117" s="108">
        <f t="shared" si="47"/>
        <v>0</v>
      </c>
      <c r="K117" s="108">
        <f t="shared" si="47"/>
        <v>0</v>
      </c>
      <c r="L117" s="108">
        <f t="shared" si="47"/>
        <v>0</v>
      </c>
      <c r="M117" s="108">
        <f t="shared" si="47"/>
        <v>0</v>
      </c>
    </row>
    <row r="118" spans="1:14" hidden="1" x14ac:dyDescent="0.2">
      <c r="A118" s="40"/>
      <c r="C118" s="41"/>
      <c r="D118" s="41"/>
      <c r="E118" s="42"/>
      <c r="F118" s="37"/>
      <c r="G118" s="94" t="s">
        <v>532</v>
      </c>
      <c r="H118" s="87">
        <f t="shared" ref="H118:M118" si="48">H114</f>
        <v>2017</v>
      </c>
      <c r="I118" s="87">
        <f t="shared" si="48"/>
        <v>2018</v>
      </c>
      <c r="J118" s="87">
        <f t="shared" si="48"/>
        <v>2019</v>
      </c>
      <c r="K118" s="87">
        <f t="shared" si="48"/>
        <v>2020</v>
      </c>
      <c r="L118" s="87">
        <f>L114</f>
        <v>2021</v>
      </c>
      <c r="M118" s="87">
        <f t="shared" si="48"/>
        <v>2022</v>
      </c>
    </row>
    <row r="119" spans="1:14" hidden="1" x14ac:dyDescent="0.2">
      <c r="A119" s="4" t="s">
        <v>533</v>
      </c>
      <c r="B119" s="2" t="s">
        <v>263</v>
      </c>
      <c r="C119" s="8" t="s">
        <v>264</v>
      </c>
      <c r="D119" s="120">
        <v>0.5</v>
      </c>
      <c r="E119" s="121" t="s">
        <v>265</v>
      </c>
      <c r="F119" s="4"/>
      <c r="G119" s="103" t="s">
        <v>266</v>
      </c>
      <c r="H119" s="111">
        <f t="shared" ref="H119:M119" si="49">IF(H115&lt;$D$119,$E$119,H35/H4)</f>
        <v>0.24142776840921867</v>
      </c>
      <c r="I119" s="111" t="str">
        <f>IF(I115&lt;$D$119,$E$119,I35/I4)</f>
        <v>N/A</v>
      </c>
      <c r="J119" s="111" t="str">
        <f t="shared" si="49"/>
        <v>N/A</v>
      </c>
      <c r="K119" s="111" t="str">
        <f t="shared" si="49"/>
        <v>N/A</v>
      </c>
      <c r="L119" s="111" t="str">
        <f t="shared" si="49"/>
        <v>N/A</v>
      </c>
      <c r="M119" s="111" t="str">
        <f t="shared" si="49"/>
        <v>N/A</v>
      </c>
    </row>
    <row r="120" spans="1:14" hidden="1" x14ac:dyDescent="0.2">
      <c r="A120" s="4" t="s">
        <v>534</v>
      </c>
      <c r="B120" s="2" t="s">
        <v>535</v>
      </c>
      <c r="C120" s="8" t="s">
        <v>267</v>
      </c>
      <c r="D120" s="120">
        <v>0.5</v>
      </c>
      <c r="E120" s="121" t="s">
        <v>265</v>
      </c>
      <c r="F120" s="4"/>
      <c r="G120" s="110" t="s">
        <v>268</v>
      </c>
      <c r="H120" s="111">
        <f t="shared" ref="H120:M120" si="50">IF(H115&lt;$D$120,$E$120,H35/H15)</f>
        <v>0.33708306082406803</v>
      </c>
      <c r="I120" s="111" t="str">
        <f>IF(I115&lt;$D$120,$E$120,I35/I15)</f>
        <v>N/A</v>
      </c>
      <c r="J120" s="111" t="str">
        <f t="shared" si="50"/>
        <v>N/A</v>
      </c>
      <c r="K120" s="111" t="str">
        <f t="shared" si="50"/>
        <v>N/A</v>
      </c>
      <c r="L120" s="111" t="str">
        <f t="shared" si="50"/>
        <v>N/A</v>
      </c>
      <c r="M120" s="111" t="str">
        <f t="shared" si="50"/>
        <v>N/A</v>
      </c>
    </row>
    <row r="121" spans="1:14" hidden="1" x14ac:dyDescent="0.2">
      <c r="A121" s="4" t="s">
        <v>536</v>
      </c>
      <c r="B121" s="2" t="s">
        <v>537</v>
      </c>
      <c r="C121" s="8" t="s">
        <v>201</v>
      </c>
      <c r="D121" s="120">
        <v>0.5</v>
      </c>
      <c r="E121" s="121" t="s">
        <v>265</v>
      </c>
      <c r="F121" s="4"/>
      <c r="G121" s="103" t="s">
        <v>269</v>
      </c>
      <c r="H121" s="118">
        <f t="shared" ref="H121:M121" si="51">IF(H115&lt;$D$121,$E$121,H46/H33)</f>
        <v>0.21700248123795668</v>
      </c>
      <c r="I121" s="118" t="str">
        <f t="shared" si="51"/>
        <v>N/A</v>
      </c>
      <c r="J121" s="118" t="str">
        <f t="shared" si="51"/>
        <v>N/A</v>
      </c>
      <c r="K121" s="118" t="str">
        <f t="shared" si="51"/>
        <v>N/A</v>
      </c>
      <c r="L121" s="118" t="str">
        <f t="shared" si="51"/>
        <v>N/A</v>
      </c>
      <c r="M121" s="118" t="str">
        <f t="shared" si="51"/>
        <v>N/A</v>
      </c>
    </row>
    <row r="122" spans="1:14" hidden="1" x14ac:dyDescent="0.2">
      <c r="A122" s="4" t="s">
        <v>538</v>
      </c>
      <c r="B122" s="2" t="s">
        <v>539</v>
      </c>
      <c r="C122" s="8" t="s">
        <v>270</v>
      </c>
      <c r="D122" s="120">
        <v>0.5</v>
      </c>
      <c r="E122" s="121" t="s">
        <v>265</v>
      </c>
      <c r="F122" s="4"/>
      <c r="G122" s="110" t="s">
        <v>271</v>
      </c>
      <c r="H122" s="118">
        <f t="shared" ref="H122:M122" si="52">IF(H115&lt;$D$121,$E$122,H51/H33)</f>
        <v>0.21700248123795668</v>
      </c>
      <c r="I122" s="118" t="str">
        <f t="shared" si="52"/>
        <v>N/A</v>
      </c>
      <c r="J122" s="118" t="str">
        <f t="shared" si="52"/>
        <v>N/A</v>
      </c>
      <c r="K122" s="118" t="str">
        <f t="shared" si="52"/>
        <v>N/A</v>
      </c>
      <c r="L122" s="118" t="str">
        <f t="shared" si="52"/>
        <v>N/A</v>
      </c>
      <c r="M122" s="118" t="str">
        <f t="shared" si="52"/>
        <v>N/A</v>
      </c>
    </row>
    <row r="123" spans="1:14" hidden="1" x14ac:dyDescent="0.2">
      <c r="A123" s="4" t="s">
        <v>540</v>
      </c>
      <c r="B123" s="2" t="s">
        <v>541</v>
      </c>
      <c r="C123" s="8" t="s">
        <v>272</v>
      </c>
      <c r="D123" s="120">
        <v>0.5</v>
      </c>
      <c r="E123" s="121" t="s">
        <v>265</v>
      </c>
      <c r="F123" s="4"/>
      <c r="G123" s="110" t="s">
        <v>273</v>
      </c>
      <c r="H123" s="118">
        <f t="shared" ref="H123:M123" si="53">IF(H115&lt;$D$123,$E$123,H51/H4)</f>
        <v>9.3160014989694617E-2</v>
      </c>
      <c r="I123" s="118" t="str">
        <f t="shared" si="53"/>
        <v>N/A</v>
      </c>
      <c r="J123" s="118" t="str">
        <f t="shared" si="53"/>
        <v>N/A</v>
      </c>
      <c r="K123" s="118" t="str">
        <f t="shared" si="53"/>
        <v>N/A</v>
      </c>
      <c r="L123" s="118" t="str">
        <f t="shared" si="53"/>
        <v>N/A</v>
      </c>
      <c r="M123" s="118" t="str">
        <f t="shared" si="53"/>
        <v>N/A</v>
      </c>
    </row>
    <row r="124" spans="1:14" hidden="1" x14ac:dyDescent="0.2">
      <c r="A124" s="4" t="s">
        <v>542</v>
      </c>
      <c r="B124" s="2" t="s">
        <v>543</v>
      </c>
      <c r="C124" s="8" t="s">
        <v>274</v>
      </c>
      <c r="D124" s="120">
        <v>0.5</v>
      </c>
      <c r="E124" s="121" t="s">
        <v>265</v>
      </c>
      <c r="F124" s="4"/>
      <c r="G124" s="46" t="s">
        <v>275</v>
      </c>
      <c r="H124" s="118">
        <f t="shared" ref="H124:M124" si="54">IF(H115&lt;$D$124,$E$124,H51/H27)</f>
        <v>0.10331324675324678</v>
      </c>
      <c r="I124" s="118" t="str">
        <f t="shared" si="54"/>
        <v>N/A</v>
      </c>
      <c r="J124" s="118" t="str">
        <f t="shared" si="54"/>
        <v>N/A</v>
      </c>
      <c r="K124" s="118" t="str">
        <f t="shared" si="54"/>
        <v>N/A</v>
      </c>
      <c r="L124" s="118" t="str">
        <f t="shared" si="54"/>
        <v>N/A</v>
      </c>
      <c r="M124" s="118" t="str">
        <f t="shared" si="54"/>
        <v>N/A</v>
      </c>
    </row>
    <row r="125" spans="1:14" x14ac:dyDescent="0.2">
      <c r="C125" s="41"/>
      <c r="D125" s="41"/>
      <c r="E125" s="42"/>
      <c r="F125" s="4"/>
      <c r="G125" s="8"/>
      <c r="H125" s="8"/>
      <c r="I125" s="8"/>
      <c r="J125" s="8"/>
      <c r="K125" s="8"/>
      <c r="L125" s="8"/>
      <c r="M125" s="8"/>
      <c r="N125" s="8"/>
    </row>
    <row r="126" spans="1:14" x14ac:dyDescent="0.2">
      <c r="F126" s="4"/>
      <c r="H126" s="87">
        <f t="shared" ref="H126:M126" si="55">H118</f>
        <v>2017</v>
      </c>
      <c r="I126" s="87">
        <f t="shared" si="55"/>
        <v>2018</v>
      </c>
      <c r="J126" s="87">
        <f t="shared" si="55"/>
        <v>2019</v>
      </c>
      <c r="K126" s="87">
        <f t="shared" si="55"/>
        <v>2020</v>
      </c>
      <c r="L126" s="87">
        <f>L118</f>
        <v>2021</v>
      </c>
      <c r="M126" s="87">
        <f t="shared" si="55"/>
        <v>2022</v>
      </c>
    </row>
    <row r="127" spans="1:14" x14ac:dyDescent="0.2">
      <c r="G127" s="95" t="s">
        <v>276</v>
      </c>
      <c r="H127" s="633">
        <f t="shared" ref="H127:M127" si="56">H33</f>
        <v>4582.3900000000003</v>
      </c>
      <c r="I127" s="96">
        <f t="shared" si="56"/>
        <v>9465</v>
      </c>
      <c r="J127" s="96">
        <f t="shared" si="56"/>
        <v>13900</v>
      </c>
      <c r="K127" s="96">
        <f t="shared" si="56"/>
        <v>10900</v>
      </c>
      <c r="L127" s="96">
        <f>L33</f>
        <v>8900</v>
      </c>
      <c r="M127" s="633">
        <f t="shared" si="56"/>
        <v>7900</v>
      </c>
    </row>
    <row r="128" spans="1:14" x14ac:dyDescent="0.2">
      <c r="G128" s="95" t="s">
        <v>277</v>
      </c>
      <c r="H128" s="633">
        <f t="shared" ref="H128:M129" si="57">H35</f>
        <v>2577</v>
      </c>
      <c r="I128" s="96">
        <f t="shared" si="57"/>
        <v>2700</v>
      </c>
      <c r="J128" s="96">
        <f t="shared" si="57"/>
        <v>3100</v>
      </c>
      <c r="K128" s="96">
        <f t="shared" si="57"/>
        <v>3400</v>
      </c>
      <c r="L128" s="96">
        <f>L35</f>
        <v>3400</v>
      </c>
      <c r="M128" s="633">
        <f t="shared" si="57"/>
        <v>3400</v>
      </c>
    </row>
    <row r="129" spans="3:14" x14ac:dyDescent="0.2">
      <c r="G129" s="95" t="s">
        <v>278</v>
      </c>
      <c r="H129" s="633">
        <f t="shared" si="57"/>
        <v>2005</v>
      </c>
      <c r="I129" s="96">
        <f t="shared" si="57"/>
        <v>6765</v>
      </c>
      <c r="J129" s="96">
        <f t="shared" si="57"/>
        <v>10800</v>
      </c>
      <c r="K129" s="96">
        <f t="shared" si="57"/>
        <v>7500</v>
      </c>
      <c r="L129" s="96">
        <f>L36</f>
        <v>5500</v>
      </c>
      <c r="M129" s="633">
        <f t="shared" si="57"/>
        <v>4500</v>
      </c>
    </row>
    <row r="130" spans="3:14" x14ac:dyDescent="0.2">
      <c r="G130" s="95" t="s">
        <v>279</v>
      </c>
      <c r="H130" s="633">
        <f t="shared" ref="H130:M130" si="58">H38+H41</f>
        <v>-3588</v>
      </c>
      <c r="I130" s="96">
        <f t="shared" si="58"/>
        <v>-6951</v>
      </c>
      <c r="J130" s="96">
        <f t="shared" si="58"/>
        <v>-7605</v>
      </c>
      <c r="K130" s="96">
        <f t="shared" si="58"/>
        <v>-8100</v>
      </c>
      <c r="L130" s="96">
        <f>L38+L41</f>
        <v>-8100</v>
      </c>
      <c r="M130" s="633">
        <f t="shared" si="58"/>
        <v>-8100</v>
      </c>
    </row>
    <row r="131" spans="3:14" x14ac:dyDescent="0.2">
      <c r="G131" s="95" t="s">
        <v>280</v>
      </c>
      <c r="H131" s="633">
        <f t="shared" ref="H131:M131" si="59">H41</f>
        <v>-3587</v>
      </c>
      <c r="I131" s="96">
        <f t="shared" si="59"/>
        <v>-6951</v>
      </c>
      <c r="J131" s="96">
        <f t="shared" si="59"/>
        <v>-7605</v>
      </c>
      <c r="K131" s="96">
        <f t="shared" si="59"/>
        <v>-8100</v>
      </c>
      <c r="L131" s="96">
        <f>L41</f>
        <v>-8100</v>
      </c>
      <c r="M131" s="633">
        <f t="shared" si="59"/>
        <v>-8100</v>
      </c>
    </row>
    <row r="132" spans="3:14" x14ac:dyDescent="0.2">
      <c r="G132" s="95" t="s">
        <v>281</v>
      </c>
      <c r="H132" s="633">
        <f t="shared" ref="H132:M132" si="60">H38</f>
        <v>-1</v>
      </c>
      <c r="I132" s="96">
        <f t="shared" si="60"/>
        <v>0</v>
      </c>
      <c r="J132" s="96">
        <f t="shared" si="60"/>
        <v>0</v>
      </c>
      <c r="K132" s="96">
        <f t="shared" si="60"/>
        <v>0</v>
      </c>
      <c r="L132" s="96">
        <f>L38</f>
        <v>0</v>
      </c>
      <c r="M132" s="633">
        <f t="shared" si="60"/>
        <v>0</v>
      </c>
    </row>
    <row r="133" spans="3:14" x14ac:dyDescent="0.2">
      <c r="G133" s="95" t="s">
        <v>282</v>
      </c>
      <c r="H133" s="633">
        <f t="shared" ref="H133:M133" si="61">H46</f>
        <v>994.39000000000033</v>
      </c>
      <c r="I133" s="96">
        <f t="shared" si="61"/>
        <v>2514</v>
      </c>
      <c r="J133" s="96">
        <f t="shared" si="61"/>
        <v>6295</v>
      </c>
      <c r="K133" s="96">
        <f t="shared" si="61"/>
        <v>2800</v>
      </c>
      <c r="L133" s="96">
        <f>L46</f>
        <v>800</v>
      </c>
      <c r="M133" s="633">
        <f t="shared" si="61"/>
        <v>-200</v>
      </c>
    </row>
    <row r="134" spans="3:14" x14ac:dyDescent="0.2">
      <c r="G134" s="95" t="s">
        <v>283</v>
      </c>
      <c r="H134" s="633">
        <f t="shared" ref="H134:M134" si="62">H51</f>
        <v>994.39000000000033</v>
      </c>
      <c r="I134" s="96">
        <f t="shared" si="62"/>
        <v>2514</v>
      </c>
      <c r="J134" s="96">
        <f t="shared" si="62"/>
        <v>6295</v>
      </c>
      <c r="K134" s="96">
        <f t="shared" si="62"/>
        <v>2800</v>
      </c>
      <c r="L134" s="96">
        <f>L51</f>
        <v>800</v>
      </c>
      <c r="M134" s="633">
        <f t="shared" si="62"/>
        <v>-200</v>
      </c>
    </row>
    <row r="135" spans="3:14" x14ac:dyDescent="0.2">
      <c r="G135" s="95" t="s">
        <v>284</v>
      </c>
      <c r="H135" s="633">
        <f t="shared" ref="H135:M136" si="63">H4</f>
        <v>10674</v>
      </c>
      <c r="I135" s="96">
        <f t="shared" si="63"/>
        <v>13489</v>
      </c>
      <c r="J135" s="96">
        <f t="shared" si="63"/>
        <v>19834</v>
      </c>
      <c r="K135" s="96">
        <f t="shared" si="63"/>
        <v>22234</v>
      </c>
      <c r="L135" s="96">
        <f>L4</f>
        <v>23034</v>
      </c>
      <c r="M135" s="633">
        <f t="shared" si="63"/>
        <v>22834</v>
      </c>
    </row>
    <row r="136" spans="3:14" x14ac:dyDescent="0.2">
      <c r="G136" s="95" t="s">
        <v>285</v>
      </c>
      <c r="H136" s="633">
        <f t="shared" si="63"/>
        <v>3029</v>
      </c>
      <c r="I136" s="96">
        <f t="shared" si="63"/>
        <v>2494</v>
      </c>
      <c r="J136" s="96">
        <f t="shared" si="63"/>
        <v>2439</v>
      </c>
      <c r="K136" s="96">
        <f t="shared" si="63"/>
        <v>2839</v>
      </c>
      <c r="L136" s="96">
        <f>L5</f>
        <v>3239</v>
      </c>
      <c r="M136" s="633">
        <f t="shared" si="63"/>
        <v>3239</v>
      </c>
    </row>
    <row r="137" spans="3:14" x14ac:dyDescent="0.2">
      <c r="G137" s="95" t="s">
        <v>286</v>
      </c>
      <c r="H137" s="633">
        <f t="shared" ref="H137:M137" si="64">H10</f>
        <v>7645</v>
      </c>
      <c r="I137" s="96">
        <f t="shared" si="64"/>
        <v>10995</v>
      </c>
      <c r="J137" s="96">
        <f t="shared" si="64"/>
        <v>17395</v>
      </c>
      <c r="K137" s="96">
        <f t="shared" si="64"/>
        <v>19395</v>
      </c>
      <c r="L137" s="96">
        <f>L10</f>
        <v>19795</v>
      </c>
      <c r="M137" s="633">
        <f t="shared" si="64"/>
        <v>19595</v>
      </c>
    </row>
    <row r="138" spans="3:14" x14ac:dyDescent="0.2">
      <c r="G138" s="95" t="s">
        <v>287</v>
      </c>
      <c r="H138" s="633">
        <f t="shared" ref="H138:M139" si="65">H19</f>
        <v>1049</v>
      </c>
      <c r="I138" s="96">
        <f t="shared" si="65"/>
        <v>1350</v>
      </c>
      <c r="J138" s="96">
        <f t="shared" si="65"/>
        <v>1400</v>
      </c>
      <c r="K138" s="96">
        <f t="shared" si="65"/>
        <v>1000</v>
      </c>
      <c r="L138" s="96">
        <f>L19</f>
        <v>1000</v>
      </c>
      <c r="M138" s="633">
        <f t="shared" si="65"/>
        <v>1000</v>
      </c>
    </row>
    <row r="139" spans="3:14" x14ac:dyDescent="0.2">
      <c r="G139" s="95" t="s">
        <v>288</v>
      </c>
      <c r="H139" s="633">
        <f t="shared" si="65"/>
        <v>693</v>
      </c>
      <c r="I139" s="96">
        <f t="shared" si="65"/>
        <v>963</v>
      </c>
      <c r="J139" s="96">
        <f t="shared" si="65"/>
        <v>1400</v>
      </c>
      <c r="K139" s="96">
        <f t="shared" si="65"/>
        <v>1000</v>
      </c>
      <c r="L139" s="96">
        <f>L20</f>
        <v>1000</v>
      </c>
      <c r="M139" s="633">
        <f t="shared" si="65"/>
        <v>1000</v>
      </c>
    </row>
    <row r="140" spans="3:14" x14ac:dyDescent="0.2">
      <c r="G140" s="95" t="s">
        <v>289</v>
      </c>
      <c r="H140" s="633">
        <f t="shared" ref="H140:M140" si="66">H24</f>
        <v>0</v>
      </c>
      <c r="I140" s="96">
        <f t="shared" si="66"/>
        <v>0</v>
      </c>
      <c r="J140" s="96">
        <f t="shared" si="66"/>
        <v>0</v>
      </c>
      <c r="K140" s="96">
        <f t="shared" si="66"/>
        <v>0</v>
      </c>
      <c r="L140" s="96">
        <f>L24</f>
        <v>0</v>
      </c>
      <c r="M140" s="633">
        <f t="shared" si="66"/>
        <v>0</v>
      </c>
    </row>
    <row r="141" spans="3:14" x14ac:dyDescent="0.2">
      <c r="G141" s="95" t="s">
        <v>290</v>
      </c>
      <c r="H141" s="633">
        <f t="shared" ref="H141:M141" si="67">H27</f>
        <v>9625</v>
      </c>
      <c r="I141" s="96">
        <f t="shared" si="67"/>
        <v>12139</v>
      </c>
      <c r="J141" s="96">
        <f t="shared" si="67"/>
        <v>18434</v>
      </c>
      <c r="K141" s="96">
        <f t="shared" si="67"/>
        <v>21234</v>
      </c>
      <c r="L141" s="96">
        <f>L27</f>
        <v>22034</v>
      </c>
      <c r="M141" s="633">
        <f t="shared" si="67"/>
        <v>21834</v>
      </c>
    </row>
    <row r="142" spans="3:14" x14ac:dyDescent="0.2">
      <c r="C142" s="41"/>
      <c r="D142" s="41"/>
      <c r="E142" s="42"/>
      <c r="G142" s="8"/>
      <c r="H142" s="8"/>
      <c r="I142" s="8"/>
      <c r="J142" s="8"/>
      <c r="K142" s="8"/>
      <c r="L142" s="8"/>
      <c r="M142" s="8"/>
      <c r="N142" s="8"/>
    </row>
    <row r="143" spans="3:14" x14ac:dyDescent="0.2">
      <c r="C143" s="8" t="s">
        <v>544</v>
      </c>
      <c r="G143" s="8"/>
      <c r="H143" s="8"/>
      <c r="I143" s="8"/>
      <c r="J143" s="8"/>
      <c r="K143" s="8"/>
      <c r="L143" s="8"/>
      <c r="M143" s="8"/>
      <c r="N143" s="8"/>
    </row>
    <row r="144" spans="3:14" x14ac:dyDescent="0.2">
      <c r="C144" s="8"/>
      <c r="H144" s="28"/>
      <c r="I144" s="28"/>
      <c r="J144" s="28"/>
      <c r="K144" s="28"/>
      <c r="L144" s="28"/>
      <c r="M144" s="28"/>
    </row>
    <row r="145" spans="3:13" x14ac:dyDescent="0.2">
      <c r="C145" s="8" t="s">
        <v>291</v>
      </c>
      <c r="H145" s="28"/>
      <c r="I145" s="28"/>
      <c r="J145" s="28"/>
      <c r="K145" s="28"/>
      <c r="L145" s="28"/>
      <c r="M145" s="28"/>
    </row>
    <row r="146" spans="3:13" x14ac:dyDescent="0.2">
      <c r="C146" s="8" t="s">
        <v>292</v>
      </c>
      <c r="F146" s="12"/>
      <c r="G146" s="44"/>
      <c r="H146" s="44"/>
      <c r="I146" s="44"/>
      <c r="J146" s="44"/>
      <c r="K146" s="44"/>
      <c r="L146" s="44"/>
      <c r="M146" s="44"/>
    </row>
    <row r="147" spans="3:13" x14ac:dyDescent="0.2">
      <c r="C147" s="8"/>
      <c r="F147" s="12"/>
      <c r="G147" s="27"/>
      <c r="H147" s="27"/>
      <c r="I147" s="27"/>
      <c r="J147" s="27"/>
      <c r="K147" s="27"/>
      <c r="L147" s="27"/>
      <c r="M147" s="27"/>
    </row>
    <row r="148" spans="3:13" x14ac:dyDescent="0.2">
      <c r="C148" s="8" t="s">
        <v>293</v>
      </c>
      <c r="F148" s="12"/>
    </row>
    <row r="149" spans="3:13" x14ac:dyDescent="0.2">
      <c r="C149" s="8" t="s">
        <v>294</v>
      </c>
      <c r="F149" s="12"/>
    </row>
  </sheetData>
  <mergeCells count="2">
    <mergeCell ref="J2:M2"/>
    <mergeCell ref="D86:E86"/>
  </mergeCells>
  <conditionalFormatting sqref="H115:K115">
    <cfRule type="cellIs" dxfId="1621" priority="80" stopIfTrue="1" operator="greaterThan">
      <formula>$E$115</formula>
    </cfRule>
    <cfRule type="cellIs" dxfId="1620" priority="81" stopIfTrue="1" operator="lessThanOrEqual">
      <formula>$E$115</formula>
    </cfRule>
  </conditionalFormatting>
  <conditionalFormatting sqref="H117:K117">
    <cfRule type="cellIs" dxfId="1619" priority="78" stopIfTrue="1" operator="lessThanOrEqual">
      <formula>$E$117</formula>
    </cfRule>
    <cfRule type="cellIs" dxfId="1618" priority="79" stopIfTrue="1" operator="greaterThan">
      <formula>$E$117</formula>
    </cfRule>
  </conditionalFormatting>
  <conditionalFormatting sqref="H98:K98">
    <cfRule type="cellIs" dxfId="1617" priority="76" operator="greaterThan">
      <formula>$E$98</formula>
    </cfRule>
    <cfRule type="cellIs" dxfId="1616" priority="77" operator="lessThanOrEqual">
      <formula>$E$98</formula>
    </cfRule>
  </conditionalFormatting>
  <conditionalFormatting sqref="H101:K101">
    <cfRule type="cellIs" dxfId="1615" priority="74" stopIfTrue="1" operator="greaterThanOrEqual">
      <formula>$E$101</formula>
    </cfRule>
    <cfRule type="cellIs" dxfId="1614" priority="75" stopIfTrue="1" operator="lessThan">
      <formula>$E$101</formula>
    </cfRule>
  </conditionalFormatting>
  <conditionalFormatting sqref="H103:K103">
    <cfRule type="cellIs" dxfId="1613" priority="72" stopIfTrue="1" operator="lessThan">
      <formula>$E$103</formula>
    </cfRule>
    <cfRule type="cellIs" dxfId="1612" priority="73" stopIfTrue="1" operator="greaterThanOrEqual">
      <formula>$E$103</formula>
    </cfRule>
  </conditionalFormatting>
  <conditionalFormatting sqref="H102:K102">
    <cfRule type="cellIs" dxfId="1611" priority="70" stopIfTrue="1" operator="greaterThan">
      <formula>$E$102</formula>
    </cfRule>
    <cfRule type="cellIs" dxfId="1610" priority="71" stopIfTrue="1" operator="lessThanOrEqual">
      <formula>$E$102</formula>
    </cfRule>
  </conditionalFormatting>
  <conditionalFormatting sqref="H99:K99">
    <cfRule type="cellIs" dxfId="1609" priority="59" stopIfTrue="1" operator="between">
      <formula>$D$99</formula>
      <formula>$E$99</formula>
    </cfRule>
    <cfRule type="cellIs" dxfId="1608" priority="68" stopIfTrue="1" operator="lessThanOrEqual">
      <formula>$D$99</formula>
    </cfRule>
    <cfRule type="cellIs" dxfId="1607" priority="69" stopIfTrue="1" operator="greaterThan">
      <formula>$E$99</formula>
    </cfRule>
  </conditionalFormatting>
  <conditionalFormatting sqref="H116:K116">
    <cfRule type="cellIs" dxfId="1606" priority="66" stopIfTrue="1" operator="greaterThan">
      <formula>$E$116</formula>
    </cfRule>
    <cfRule type="cellIs" dxfId="1605" priority="67" stopIfTrue="1" operator="lessThanOrEqual">
      <formula>$E$116</formula>
    </cfRule>
  </conditionalFormatting>
  <conditionalFormatting sqref="H106:K106">
    <cfRule type="cellIs" dxfId="1604" priority="64" stopIfTrue="1" operator="greaterThan">
      <formula>$E$106</formula>
    </cfRule>
    <cfRule type="cellIs" dxfId="1603" priority="65" stopIfTrue="1" operator="lessThanOrEqual">
      <formula>$E$106</formula>
    </cfRule>
  </conditionalFormatting>
  <conditionalFormatting sqref="H107:K107">
    <cfRule type="cellIs" dxfId="1602" priority="62" stopIfTrue="1" operator="lessThan">
      <formula>$E$107</formula>
    </cfRule>
    <cfRule type="cellIs" dxfId="1601" priority="63" stopIfTrue="1" operator="greaterThanOrEqual">
      <formula>$E$107</formula>
    </cfRule>
  </conditionalFormatting>
  <conditionalFormatting sqref="H92:K92">
    <cfRule type="cellIs" dxfId="1600" priority="82" stopIfTrue="1" operator="lessThan">
      <formula>$D$92</formula>
    </cfRule>
    <cfRule type="cellIs" dxfId="1599" priority="83" stopIfTrue="1" operator="between">
      <formula>$D$92</formula>
      <formula>$E$92</formula>
    </cfRule>
    <cfRule type="cellIs" dxfId="1598" priority="84" stopIfTrue="1" operator="greaterThan">
      <formula>$E$92</formula>
    </cfRule>
  </conditionalFormatting>
  <conditionalFormatting sqref="H113:K113">
    <cfRule type="cellIs" dxfId="1597" priority="85" stopIfTrue="1" operator="lessThan">
      <formula>$E$113</formula>
    </cfRule>
    <cfRule type="cellIs" dxfId="1596" priority="86" stopIfTrue="1" operator="between">
      <formula>$D$113</formula>
      <formula>$E$113</formula>
    </cfRule>
    <cfRule type="cellIs" dxfId="1595" priority="87" stopIfTrue="1" operator="greaterThanOrEqual">
      <formula>$D$113</formula>
    </cfRule>
  </conditionalFormatting>
  <conditionalFormatting sqref="H89:K89">
    <cfRule type="cellIs" dxfId="1594" priority="60" stopIfTrue="1" operator="lessThan">
      <formula>$E$89</formula>
    </cfRule>
    <cfRule type="cellIs" dxfId="1593" priority="61" stopIfTrue="1" operator="greaterThan">
      <formula>$E$89</formula>
    </cfRule>
  </conditionalFormatting>
  <conditionalFormatting sqref="M115">
    <cfRule type="cellIs" dxfId="1592" priority="51" stopIfTrue="1" operator="greaterThan">
      <formula>$E$115</formula>
    </cfRule>
    <cfRule type="cellIs" dxfId="1591" priority="52" stopIfTrue="1" operator="lessThanOrEqual">
      <formula>$E$115</formula>
    </cfRule>
  </conditionalFormatting>
  <conditionalFormatting sqref="M117">
    <cfRule type="cellIs" dxfId="1590" priority="49" stopIfTrue="1" operator="lessThanOrEqual">
      <formula>$E$117</formula>
    </cfRule>
    <cfRule type="cellIs" dxfId="1589" priority="50" stopIfTrue="1" operator="greaterThan">
      <formula>$E$117</formula>
    </cfRule>
  </conditionalFormatting>
  <conditionalFormatting sqref="M98">
    <cfRule type="cellIs" dxfId="1588" priority="47" operator="greaterThan">
      <formula>$E$98</formula>
    </cfRule>
    <cfRule type="cellIs" dxfId="1587" priority="48" operator="lessThanOrEqual">
      <formula>$E$98</formula>
    </cfRule>
  </conditionalFormatting>
  <conditionalFormatting sqref="M101">
    <cfRule type="cellIs" dxfId="1586" priority="45" stopIfTrue="1" operator="greaterThanOrEqual">
      <formula>$E$101</formula>
    </cfRule>
    <cfRule type="cellIs" dxfId="1585" priority="46" stopIfTrue="1" operator="lessThan">
      <formula>$E$101</formula>
    </cfRule>
  </conditionalFormatting>
  <conditionalFormatting sqref="M103">
    <cfRule type="cellIs" dxfId="1584" priority="43" stopIfTrue="1" operator="lessThan">
      <formula>$E$103</formula>
    </cfRule>
    <cfRule type="cellIs" dxfId="1583" priority="44" stopIfTrue="1" operator="greaterThanOrEqual">
      <formula>$E$103</formula>
    </cfRule>
  </conditionalFormatting>
  <conditionalFormatting sqref="M102">
    <cfRule type="cellIs" dxfId="1582" priority="41" stopIfTrue="1" operator="greaterThan">
      <formula>$E$102</formula>
    </cfRule>
    <cfRule type="cellIs" dxfId="1581" priority="42" stopIfTrue="1" operator="lessThanOrEqual">
      <formula>$E$102</formula>
    </cfRule>
  </conditionalFormatting>
  <conditionalFormatting sqref="M99">
    <cfRule type="cellIs" dxfId="1580" priority="30" stopIfTrue="1" operator="between">
      <formula>$D$99</formula>
      <formula>$E$99</formula>
    </cfRule>
    <cfRule type="cellIs" dxfId="1579" priority="39" stopIfTrue="1" operator="lessThanOrEqual">
      <formula>$D$99</formula>
    </cfRule>
    <cfRule type="cellIs" dxfId="1578" priority="40" stopIfTrue="1" operator="greaterThan">
      <formula>$E$99</formula>
    </cfRule>
  </conditionalFormatting>
  <conditionalFormatting sqref="M116">
    <cfRule type="cellIs" dxfId="1577" priority="37" stopIfTrue="1" operator="greaterThan">
      <formula>$E$116</formula>
    </cfRule>
    <cfRule type="cellIs" dxfId="1576" priority="38" stopIfTrue="1" operator="lessThanOrEqual">
      <formula>$E$116</formula>
    </cfRule>
  </conditionalFormatting>
  <conditionalFormatting sqref="M106">
    <cfRule type="cellIs" dxfId="1575" priority="35" stopIfTrue="1" operator="greaterThan">
      <formula>$E$106</formula>
    </cfRule>
    <cfRule type="cellIs" dxfId="1574" priority="36" stopIfTrue="1" operator="lessThanOrEqual">
      <formula>$E$106</formula>
    </cfRule>
  </conditionalFormatting>
  <conditionalFormatting sqref="M107">
    <cfRule type="cellIs" dxfId="1573" priority="33" stopIfTrue="1" operator="lessThan">
      <formula>$E$107</formula>
    </cfRule>
    <cfRule type="cellIs" dxfId="1572" priority="34" stopIfTrue="1" operator="greaterThanOrEqual">
      <formula>$E$107</formula>
    </cfRule>
  </conditionalFormatting>
  <conditionalFormatting sqref="M92">
    <cfRule type="cellIs" dxfId="1571" priority="53" stopIfTrue="1" operator="lessThan">
      <formula>$D$92</formula>
    </cfRule>
    <cfRule type="cellIs" dxfId="1570" priority="54" stopIfTrue="1" operator="between">
      <formula>$D$92</formula>
      <formula>$E$92</formula>
    </cfRule>
    <cfRule type="cellIs" dxfId="1569" priority="55" stopIfTrue="1" operator="greaterThan">
      <formula>$E$92</formula>
    </cfRule>
  </conditionalFormatting>
  <conditionalFormatting sqref="M113">
    <cfRule type="cellIs" dxfId="1568" priority="56" stopIfTrue="1" operator="lessThan">
      <formula>$E$113</formula>
    </cfRule>
    <cfRule type="cellIs" dxfId="1567" priority="57" stopIfTrue="1" operator="between">
      <formula>$D$113</formula>
      <formula>$E$113</formula>
    </cfRule>
    <cfRule type="cellIs" dxfId="1566" priority="58" stopIfTrue="1" operator="greaterThanOrEqual">
      <formula>$D$113</formula>
    </cfRule>
  </conditionalFormatting>
  <conditionalFormatting sqref="M89">
    <cfRule type="cellIs" dxfId="1565" priority="31" stopIfTrue="1" operator="lessThan">
      <formula>$E$89</formula>
    </cfRule>
    <cfRule type="cellIs" dxfId="1564" priority="32" stopIfTrue="1" operator="greaterThan">
      <formula>$E$89</formula>
    </cfRule>
  </conditionalFormatting>
  <conditionalFormatting sqref="L115">
    <cfRule type="cellIs" dxfId="1563" priority="22" stopIfTrue="1" operator="greaterThan">
      <formula>$E$115</formula>
    </cfRule>
    <cfRule type="cellIs" dxfId="1562" priority="23" stopIfTrue="1" operator="lessThanOrEqual">
      <formula>$E$115</formula>
    </cfRule>
  </conditionalFormatting>
  <conditionalFormatting sqref="L117">
    <cfRule type="cellIs" dxfId="1561" priority="20" stopIfTrue="1" operator="lessThanOrEqual">
      <formula>$E$117</formula>
    </cfRule>
    <cfRule type="cellIs" dxfId="1560" priority="21" stopIfTrue="1" operator="greaterThan">
      <formula>$E$117</formula>
    </cfRule>
  </conditionalFormatting>
  <conditionalFormatting sqref="L98">
    <cfRule type="cellIs" dxfId="1559" priority="18" operator="greaterThan">
      <formula>$E$98</formula>
    </cfRule>
    <cfRule type="cellIs" dxfId="1558" priority="19" operator="lessThanOrEqual">
      <formula>$E$98</formula>
    </cfRule>
  </conditionalFormatting>
  <conditionalFormatting sqref="L101">
    <cfRule type="cellIs" dxfId="1557" priority="16" stopIfTrue="1" operator="greaterThanOrEqual">
      <formula>$E$101</formula>
    </cfRule>
    <cfRule type="cellIs" dxfId="1556" priority="17" stopIfTrue="1" operator="lessThan">
      <formula>$E$101</formula>
    </cfRule>
  </conditionalFormatting>
  <conditionalFormatting sqref="L103">
    <cfRule type="cellIs" dxfId="1555" priority="14" stopIfTrue="1" operator="lessThan">
      <formula>$E$103</formula>
    </cfRule>
    <cfRule type="cellIs" dxfId="1554" priority="15" stopIfTrue="1" operator="greaterThanOrEqual">
      <formula>$E$103</formula>
    </cfRule>
  </conditionalFormatting>
  <conditionalFormatting sqref="L102">
    <cfRule type="cellIs" dxfId="1553" priority="12" stopIfTrue="1" operator="greaterThan">
      <formula>$E$102</formula>
    </cfRule>
    <cfRule type="cellIs" dxfId="1552" priority="13" stopIfTrue="1" operator="lessThanOrEqual">
      <formula>$E$102</formula>
    </cfRule>
  </conditionalFormatting>
  <conditionalFormatting sqref="L99">
    <cfRule type="cellIs" dxfId="1551" priority="1" stopIfTrue="1" operator="between">
      <formula>$D$99</formula>
      <formula>$E$99</formula>
    </cfRule>
    <cfRule type="cellIs" dxfId="1550" priority="10" stopIfTrue="1" operator="lessThanOrEqual">
      <formula>$D$99</formula>
    </cfRule>
    <cfRule type="cellIs" dxfId="1549" priority="11" stopIfTrue="1" operator="greaterThan">
      <formula>$E$99</formula>
    </cfRule>
  </conditionalFormatting>
  <conditionalFormatting sqref="L116">
    <cfRule type="cellIs" dxfId="1548" priority="8" stopIfTrue="1" operator="greaterThan">
      <formula>$E$116</formula>
    </cfRule>
    <cfRule type="cellIs" dxfId="1547" priority="9" stopIfTrue="1" operator="lessThanOrEqual">
      <formula>$E$116</formula>
    </cfRule>
  </conditionalFormatting>
  <conditionalFormatting sqref="L106">
    <cfRule type="cellIs" dxfId="1546" priority="6" stopIfTrue="1" operator="greaterThan">
      <formula>$E$106</formula>
    </cfRule>
    <cfRule type="cellIs" dxfId="1545" priority="7" stopIfTrue="1" operator="lessThanOrEqual">
      <formula>$E$106</formula>
    </cfRule>
  </conditionalFormatting>
  <conditionalFormatting sqref="L107">
    <cfRule type="cellIs" dxfId="1544" priority="4" stopIfTrue="1" operator="lessThan">
      <formula>$E$107</formula>
    </cfRule>
    <cfRule type="cellIs" dxfId="1543" priority="5" stopIfTrue="1" operator="greaterThanOrEqual">
      <formula>$E$107</formula>
    </cfRule>
  </conditionalFormatting>
  <conditionalFormatting sqref="L92">
    <cfRule type="cellIs" dxfId="1542" priority="24" stopIfTrue="1" operator="lessThan">
      <formula>$D$92</formula>
    </cfRule>
    <cfRule type="cellIs" dxfId="1541" priority="25" stopIfTrue="1" operator="between">
      <formula>$D$92</formula>
      <formula>$E$92</formula>
    </cfRule>
    <cfRule type="cellIs" dxfId="1540" priority="26" stopIfTrue="1" operator="greaterThan">
      <formula>$E$92</formula>
    </cfRule>
  </conditionalFormatting>
  <conditionalFormatting sqref="L113">
    <cfRule type="cellIs" dxfId="1539" priority="27" stopIfTrue="1" operator="lessThan">
      <formula>$E$113</formula>
    </cfRule>
    <cfRule type="cellIs" dxfId="1538" priority="28" stopIfTrue="1" operator="between">
      <formula>$D$113</formula>
      <formula>$E$113</formula>
    </cfRule>
    <cfRule type="cellIs" dxfId="1537" priority="29" stopIfTrue="1" operator="greaterThanOrEqual">
      <formula>$D$113</formula>
    </cfRule>
  </conditionalFormatting>
  <conditionalFormatting sqref="L89">
    <cfRule type="cellIs" dxfId="1536" priority="2" stopIfTrue="1" operator="lessThan">
      <formula>$E$89</formula>
    </cfRule>
    <cfRule type="cellIs" dxfId="1535" priority="3" stopIfTrue="1" operator="greaterThan">
      <formula>$E$89</formula>
    </cfRule>
  </conditionalFormatting>
  <pageMargins left="0.7" right="0.7" top="0.75" bottom="0.75" header="0.3" footer="0.3"/>
  <pageSetup paperSize="9" scale="37" fitToHeight="0"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FE067F-A2EB-4523-B184-E0EACF8EDFAE}">
  <dimension ref="A1:U202"/>
  <sheetViews>
    <sheetView topLeftCell="B1" workbookViewId="0">
      <pane ySplit="3" topLeftCell="A4" activePane="bottomLeft" state="frozen"/>
      <selection pane="bottomLeft" activeCell="G2" sqref="G2"/>
    </sheetView>
  </sheetViews>
  <sheetFormatPr defaultColWidth="8.85546875" defaultRowHeight="11.25" outlineLevelCol="1" x14ac:dyDescent="0.2"/>
  <cols>
    <col min="1" max="1" width="6.7109375" style="47" customWidth="1"/>
    <col min="2" max="2" width="5.140625" style="47" bestFit="1" customWidth="1"/>
    <col min="3" max="3" width="27.140625" style="47" customWidth="1"/>
    <col min="4" max="5" width="5.28515625" style="47" bestFit="1" customWidth="1"/>
    <col min="6" max="6" width="2.7109375" style="8" customWidth="1"/>
    <col min="7" max="7" width="43" style="47" bestFit="1" customWidth="1"/>
    <col min="8" max="12" width="9.85546875" style="47" hidden="1" customWidth="1" outlineLevel="1"/>
    <col min="13" max="13" width="9.85546875" style="47" bestFit="1" customWidth="1" collapsed="1"/>
    <col min="14" max="14" width="9.85546875" style="47" customWidth="1"/>
    <col min="15" max="19" width="9.85546875" style="47" bestFit="1" customWidth="1"/>
    <col min="20" max="256" width="8.85546875" style="47"/>
    <col min="257" max="257" width="6.7109375" style="47" customWidth="1"/>
    <col min="258" max="258" width="5.140625" style="47" bestFit="1" customWidth="1"/>
    <col min="259" max="259" width="27.140625" style="47" customWidth="1"/>
    <col min="260" max="261" width="5.28515625" style="47" bestFit="1" customWidth="1"/>
    <col min="262" max="262" width="2.7109375" style="47" customWidth="1"/>
    <col min="263" max="263" width="43" style="47" bestFit="1" customWidth="1"/>
    <col min="264" max="269" width="9.85546875" style="47" bestFit="1" customWidth="1"/>
    <col min="270" max="270" width="9.85546875" style="47" customWidth="1"/>
    <col min="271" max="275" width="9.85546875" style="47" bestFit="1" customWidth="1"/>
    <col min="276" max="512" width="8.85546875" style="47"/>
    <col min="513" max="513" width="6.7109375" style="47" customWidth="1"/>
    <col min="514" max="514" width="5.140625" style="47" bestFit="1" customWidth="1"/>
    <col min="515" max="515" width="27.140625" style="47" customWidth="1"/>
    <col min="516" max="517" width="5.28515625" style="47" bestFit="1" customWidth="1"/>
    <col min="518" max="518" width="2.7109375" style="47" customWidth="1"/>
    <col min="519" max="519" width="43" style="47" bestFit="1" customWidth="1"/>
    <col min="520" max="525" width="9.85546875" style="47" bestFit="1" customWidth="1"/>
    <col min="526" max="526" width="9.85546875" style="47" customWidth="1"/>
    <col min="527" max="531" width="9.85546875" style="47" bestFit="1" customWidth="1"/>
    <col min="532" max="768" width="8.85546875" style="47"/>
    <col min="769" max="769" width="6.7109375" style="47" customWidth="1"/>
    <col min="770" max="770" width="5.140625" style="47" bestFit="1" customWidth="1"/>
    <col min="771" max="771" width="27.140625" style="47" customWidth="1"/>
    <col min="772" max="773" width="5.28515625" style="47" bestFit="1" customWidth="1"/>
    <col min="774" max="774" width="2.7109375" style="47" customWidth="1"/>
    <col min="775" max="775" width="43" style="47" bestFit="1" customWidth="1"/>
    <col min="776" max="781" width="9.85546875" style="47" bestFit="1" customWidth="1"/>
    <col min="782" max="782" width="9.85546875" style="47" customWidth="1"/>
    <col min="783" max="787" width="9.85546875" style="47" bestFit="1" customWidth="1"/>
    <col min="788" max="1024" width="8.85546875" style="47"/>
    <col min="1025" max="1025" width="6.7109375" style="47" customWidth="1"/>
    <col min="1026" max="1026" width="5.140625" style="47" bestFit="1" customWidth="1"/>
    <col min="1027" max="1027" width="27.140625" style="47" customWidth="1"/>
    <col min="1028" max="1029" width="5.28515625" style="47" bestFit="1" customWidth="1"/>
    <col min="1030" max="1030" width="2.7109375" style="47" customWidth="1"/>
    <col min="1031" max="1031" width="43" style="47" bestFit="1" customWidth="1"/>
    <col min="1032" max="1037" width="9.85546875" style="47" bestFit="1" customWidth="1"/>
    <col min="1038" max="1038" width="9.85546875" style="47" customWidth="1"/>
    <col min="1039" max="1043" width="9.85546875" style="47" bestFit="1" customWidth="1"/>
    <col min="1044" max="1280" width="8.85546875" style="47"/>
    <col min="1281" max="1281" width="6.7109375" style="47" customWidth="1"/>
    <col min="1282" max="1282" width="5.140625" style="47" bestFit="1" customWidth="1"/>
    <col min="1283" max="1283" width="27.140625" style="47" customWidth="1"/>
    <col min="1284" max="1285" width="5.28515625" style="47" bestFit="1" customWidth="1"/>
    <col min="1286" max="1286" width="2.7109375" style="47" customWidth="1"/>
    <col min="1287" max="1287" width="43" style="47" bestFit="1" customWidth="1"/>
    <col min="1288" max="1293" width="9.85546875" style="47" bestFit="1" customWidth="1"/>
    <col min="1294" max="1294" width="9.85546875" style="47" customWidth="1"/>
    <col min="1295" max="1299" width="9.85546875" style="47" bestFit="1" customWidth="1"/>
    <col min="1300" max="1536" width="8.85546875" style="47"/>
    <col min="1537" max="1537" width="6.7109375" style="47" customWidth="1"/>
    <col min="1538" max="1538" width="5.140625" style="47" bestFit="1" customWidth="1"/>
    <col min="1539" max="1539" width="27.140625" style="47" customWidth="1"/>
    <col min="1540" max="1541" width="5.28515625" style="47" bestFit="1" customWidth="1"/>
    <col min="1542" max="1542" width="2.7109375" style="47" customWidth="1"/>
    <col min="1543" max="1543" width="43" style="47" bestFit="1" customWidth="1"/>
    <col min="1544" max="1549" width="9.85546875" style="47" bestFit="1" customWidth="1"/>
    <col min="1550" max="1550" width="9.85546875" style="47" customWidth="1"/>
    <col min="1551" max="1555" width="9.85546875" style="47" bestFit="1" customWidth="1"/>
    <col min="1556" max="1792" width="8.85546875" style="47"/>
    <col min="1793" max="1793" width="6.7109375" style="47" customWidth="1"/>
    <col min="1794" max="1794" width="5.140625" style="47" bestFit="1" customWidth="1"/>
    <col min="1795" max="1795" width="27.140625" style="47" customWidth="1"/>
    <col min="1796" max="1797" width="5.28515625" style="47" bestFit="1" customWidth="1"/>
    <col min="1798" max="1798" width="2.7109375" style="47" customWidth="1"/>
    <col min="1799" max="1799" width="43" style="47" bestFit="1" customWidth="1"/>
    <col min="1800" max="1805" width="9.85546875" style="47" bestFit="1" customWidth="1"/>
    <col min="1806" max="1806" width="9.85546875" style="47" customWidth="1"/>
    <col min="1807" max="1811" width="9.85546875" style="47" bestFit="1" customWidth="1"/>
    <col min="1812" max="2048" width="8.85546875" style="47"/>
    <col min="2049" max="2049" width="6.7109375" style="47" customWidth="1"/>
    <col min="2050" max="2050" width="5.140625" style="47" bestFit="1" customWidth="1"/>
    <col min="2051" max="2051" width="27.140625" style="47" customWidth="1"/>
    <col min="2052" max="2053" width="5.28515625" style="47" bestFit="1" customWidth="1"/>
    <col min="2054" max="2054" width="2.7109375" style="47" customWidth="1"/>
    <col min="2055" max="2055" width="43" style="47" bestFit="1" customWidth="1"/>
    <col min="2056" max="2061" width="9.85546875" style="47" bestFit="1" customWidth="1"/>
    <col min="2062" max="2062" width="9.85546875" style="47" customWidth="1"/>
    <col min="2063" max="2067" width="9.85546875" style="47" bestFit="1" customWidth="1"/>
    <col min="2068" max="2304" width="8.85546875" style="47"/>
    <col min="2305" max="2305" width="6.7109375" style="47" customWidth="1"/>
    <col min="2306" max="2306" width="5.140625" style="47" bestFit="1" customWidth="1"/>
    <col min="2307" max="2307" width="27.140625" style="47" customWidth="1"/>
    <col min="2308" max="2309" width="5.28515625" style="47" bestFit="1" customWidth="1"/>
    <col min="2310" max="2310" width="2.7109375" style="47" customWidth="1"/>
    <col min="2311" max="2311" width="43" style="47" bestFit="1" customWidth="1"/>
    <col min="2312" max="2317" width="9.85546875" style="47" bestFit="1" customWidth="1"/>
    <col min="2318" max="2318" width="9.85546875" style="47" customWidth="1"/>
    <col min="2319" max="2323" width="9.85546875" style="47" bestFit="1" customWidth="1"/>
    <col min="2324" max="2560" width="8.85546875" style="47"/>
    <col min="2561" max="2561" width="6.7109375" style="47" customWidth="1"/>
    <col min="2562" max="2562" width="5.140625" style="47" bestFit="1" customWidth="1"/>
    <col min="2563" max="2563" width="27.140625" style="47" customWidth="1"/>
    <col min="2564" max="2565" width="5.28515625" style="47" bestFit="1" customWidth="1"/>
    <col min="2566" max="2566" width="2.7109375" style="47" customWidth="1"/>
    <col min="2567" max="2567" width="43" style="47" bestFit="1" customWidth="1"/>
    <col min="2568" max="2573" width="9.85546875" style="47" bestFit="1" customWidth="1"/>
    <col min="2574" max="2574" width="9.85546875" style="47" customWidth="1"/>
    <col min="2575" max="2579" width="9.85546875" style="47" bestFit="1" customWidth="1"/>
    <col min="2580" max="2816" width="8.85546875" style="47"/>
    <col min="2817" max="2817" width="6.7109375" style="47" customWidth="1"/>
    <col min="2818" max="2818" width="5.140625" style="47" bestFit="1" customWidth="1"/>
    <col min="2819" max="2819" width="27.140625" style="47" customWidth="1"/>
    <col min="2820" max="2821" width="5.28515625" style="47" bestFit="1" customWidth="1"/>
    <col min="2822" max="2822" width="2.7109375" style="47" customWidth="1"/>
    <col min="2823" max="2823" width="43" style="47" bestFit="1" customWidth="1"/>
    <col min="2824" max="2829" width="9.85546875" style="47" bestFit="1" customWidth="1"/>
    <col min="2830" max="2830" width="9.85546875" style="47" customWidth="1"/>
    <col min="2831" max="2835" width="9.85546875" style="47" bestFit="1" customWidth="1"/>
    <col min="2836" max="3072" width="8.85546875" style="47"/>
    <col min="3073" max="3073" width="6.7109375" style="47" customWidth="1"/>
    <col min="3074" max="3074" width="5.140625" style="47" bestFit="1" customWidth="1"/>
    <col min="3075" max="3075" width="27.140625" style="47" customWidth="1"/>
    <col min="3076" max="3077" width="5.28515625" style="47" bestFit="1" customWidth="1"/>
    <col min="3078" max="3078" width="2.7109375" style="47" customWidth="1"/>
    <col min="3079" max="3079" width="43" style="47" bestFit="1" customWidth="1"/>
    <col min="3080" max="3085" width="9.85546875" style="47" bestFit="1" customWidth="1"/>
    <col min="3086" max="3086" width="9.85546875" style="47" customWidth="1"/>
    <col min="3087" max="3091" width="9.85546875" style="47" bestFit="1" customWidth="1"/>
    <col min="3092" max="3328" width="8.85546875" style="47"/>
    <col min="3329" max="3329" width="6.7109375" style="47" customWidth="1"/>
    <col min="3330" max="3330" width="5.140625" style="47" bestFit="1" customWidth="1"/>
    <col min="3331" max="3331" width="27.140625" style="47" customWidth="1"/>
    <col min="3332" max="3333" width="5.28515625" style="47" bestFit="1" customWidth="1"/>
    <col min="3334" max="3334" width="2.7109375" style="47" customWidth="1"/>
    <col min="3335" max="3335" width="43" style="47" bestFit="1" customWidth="1"/>
    <col min="3336" max="3341" width="9.85546875" style="47" bestFit="1" customWidth="1"/>
    <col min="3342" max="3342" width="9.85546875" style="47" customWidth="1"/>
    <col min="3343" max="3347" width="9.85546875" style="47" bestFit="1" customWidth="1"/>
    <col min="3348" max="3584" width="8.85546875" style="47"/>
    <col min="3585" max="3585" width="6.7109375" style="47" customWidth="1"/>
    <col min="3586" max="3586" width="5.140625" style="47" bestFit="1" customWidth="1"/>
    <col min="3587" max="3587" width="27.140625" style="47" customWidth="1"/>
    <col min="3588" max="3589" width="5.28515625" style="47" bestFit="1" customWidth="1"/>
    <col min="3590" max="3590" width="2.7109375" style="47" customWidth="1"/>
    <col min="3591" max="3591" width="43" style="47" bestFit="1" customWidth="1"/>
    <col min="3592" max="3597" width="9.85546875" style="47" bestFit="1" customWidth="1"/>
    <col min="3598" max="3598" width="9.85546875" style="47" customWidth="1"/>
    <col min="3599" max="3603" width="9.85546875" style="47" bestFit="1" customWidth="1"/>
    <col min="3604" max="3840" width="8.85546875" style="47"/>
    <col min="3841" max="3841" width="6.7109375" style="47" customWidth="1"/>
    <col min="3842" max="3842" width="5.140625" style="47" bestFit="1" customWidth="1"/>
    <col min="3843" max="3843" width="27.140625" style="47" customWidth="1"/>
    <col min="3844" max="3845" width="5.28515625" style="47" bestFit="1" customWidth="1"/>
    <col min="3846" max="3846" width="2.7109375" style="47" customWidth="1"/>
    <col min="3847" max="3847" width="43" style="47" bestFit="1" customWidth="1"/>
    <col min="3848" max="3853" width="9.85546875" style="47" bestFit="1" customWidth="1"/>
    <col min="3854" max="3854" width="9.85546875" style="47" customWidth="1"/>
    <col min="3855" max="3859" width="9.85546875" style="47" bestFit="1" customWidth="1"/>
    <col min="3860" max="4096" width="8.85546875" style="47"/>
    <col min="4097" max="4097" width="6.7109375" style="47" customWidth="1"/>
    <col min="4098" max="4098" width="5.140625" style="47" bestFit="1" customWidth="1"/>
    <col min="4099" max="4099" width="27.140625" style="47" customWidth="1"/>
    <col min="4100" max="4101" width="5.28515625" style="47" bestFit="1" customWidth="1"/>
    <col min="4102" max="4102" width="2.7109375" style="47" customWidth="1"/>
    <col min="4103" max="4103" width="43" style="47" bestFit="1" customWidth="1"/>
    <col min="4104" max="4109" width="9.85546875" style="47" bestFit="1" customWidth="1"/>
    <col min="4110" max="4110" width="9.85546875" style="47" customWidth="1"/>
    <col min="4111" max="4115" width="9.85546875" style="47" bestFit="1" customWidth="1"/>
    <col min="4116" max="4352" width="8.85546875" style="47"/>
    <col min="4353" max="4353" width="6.7109375" style="47" customWidth="1"/>
    <col min="4354" max="4354" width="5.140625" style="47" bestFit="1" customWidth="1"/>
    <col min="4355" max="4355" width="27.140625" style="47" customWidth="1"/>
    <col min="4356" max="4357" width="5.28515625" style="47" bestFit="1" customWidth="1"/>
    <col min="4358" max="4358" width="2.7109375" style="47" customWidth="1"/>
    <col min="4359" max="4359" width="43" style="47" bestFit="1" customWidth="1"/>
    <col min="4360" max="4365" width="9.85546875" style="47" bestFit="1" customWidth="1"/>
    <col min="4366" max="4366" width="9.85546875" style="47" customWidth="1"/>
    <col min="4367" max="4371" width="9.85546875" style="47" bestFit="1" customWidth="1"/>
    <col min="4372" max="4608" width="8.85546875" style="47"/>
    <col min="4609" max="4609" width="6.7109375" style="47" customWidth="1"/>
    <col min="4610" max="4610" width="5.140625" style="47" bestFit="1" customWidth="1"/>
    <col min="4611" max="4611" width="27.140625" style="47" customWidth="1"/>
    <col min="4612" max="4613" width="5.28515625" style="47" bestFit="1" customWidth="1"/>
    <col min="4614" max="4614" width="2.7109375" style="47" customWidth="1"/>
    <col min="4615" max="4615" width="43" style="47" bestFit="1" customWidth="1"/>
    <col min="4616" max="4621" width="9.85546875" style="47" bestFit="1" customWidth="1"/>
    <col min="4622" max="4622" width="9.85546875" style="47" customWidth="1"/>
    <col min="4623" max="4627" width="9.85546875" style="47" bestFit="1" customWidth="1"/>
    <col min="4628" max="4864" width="8.85546875" style="47"/>
    <col min="4865" max="4865" width="6.7109375" style="47" customWidth="1"/>
    <col min="4866" max="4866" width="5.140625" style="47" bestFit="1" customWidth="1"/>
    <col min="4867" max="4867" width="27.140625" style="47" customWidth="1"/>
    <col min="4868" max="4869" width="5.28515625" style="47" bestFit="1" customWidth="1"/>
    <col min="4870" max="4870" width="2.7109375" style="47" customWidth="1"/>
    <col min="4871" max="4871" width="43" style="47" bestFit="1" customWidth="1"/>
    <col min="4872" max="4877" width="9.85546875" style="47" bestFit="1" customWidth="1"/>
    <col min="4878" max="4878" width="9.85546875" style="47" customWidth="1"/>
    <col min="4879" max="4883" width="9.85546875" style="47" bestFit="1" customWidth="1"/>
    <col min="4884" max="5120" width="8.85546875" style="47"/>
    <col min="5121" max="5121" width="6.7109375" style="47" customWidth="1"/>
    <col min="5122" max="5122" width="5.140625" style="47" bestFit="1" customWidth="1"/>
    <col min="5123" max="5123" width="27.140625" style="47" customWidth="1"/>
    <col min="5124" max="5125" width="5.28515625" style="47" bestFit="1" customWidth="1"/>
    <col min="5126" max="5126" width="2.7109375" style="47" customWidth="1"/>
    <col min="5127" max="5127" width="43" style="47" bestFit="1" customWidth="1"/>
    <col min="5128" max="5133" width="9.85546875" style="47" bestFit="1" customWidth="1"/>
    <col min="5134" max="5134" width="9.85546875" style="47" customWidth="1"/>
    <col min="5135" max="5139" width="9.85546875" style="47" bestFit="1" customWidth="1"/>
    <col min="5140" max="5376" width="8.85546875" style="47"/>
    <col min="5377" max="5377" width="6.7109375" style="47" customWidth="1"/>
    <col min="5378" max="5378" width="5.140625" style="47" bestFit="1" customWidth="1"/>
    <col min="5379" max="5379" width="27.140625" style="47" customWidth="1"/>
    <col min="5380" max="5381" width="5.28515625" style="47" bestFit="1" customWidth="1"/>
    <col min="5382" max="5382" width="2.7109375" style="47" customWidth="1"/>
    <col min="5383" max="5383" width="43" style="47" bestFit="1" customWidth="1"/>
    <col min="5384" max="5389" width="9.85546875" style="47" bestFit="1" customWidth="1"/>
    <col min="5390" max="5390" width="9.85546875" style="47" customWidth="1"/>
    <col min="5391" max="5395" width="9.85546875" style="47" bestFit="1" customWidth="1"/>
    <col min="5396" max="5632" width="8.85546875" style="47"/>
    <col min="5633" max="5633" width="6.7109375" style="47" customWidth="1"/>
    <col min="5634" max="5634" width="5.140625" style="47" bestFit="1" customWidth="1"/>
    <col min="5635" max="5635" width="27.140625" style="47" customWidth="1"/>
    <col min="5636" max="5637" width="5.28515625" style="47" bestFit="1" customWidth="1"/>
    <col min="5638" max="5638" width="2.7109375" style="47" customWidth="1"/>
    <col min="5639" max="5639" width="43" style="47" bestFit="1" customWidth="1"/>
    <col min="5640" max="5645" width="9.85546875" style="47" bestFit="1" customWidth="1"/>
    <col min="5646" max="5646" width="9.85546875" style="47" customWidth="1"/>
    <col min="5647" max="5651" width="9.85546875" style="47" bestFit="1" customWidth="1"/>
    <col min="5652" max="5888" width="8.85546875" style="47"/>
    <col min="5889" max="5889" width="6.7109375" style="47" customWidth="1"/>
    <col min="5890" max="5890" width="5.140625" style="47" bestFit="1" customWidth="1"/>
    <col min="5891" max="5891" width="27.140625" style="47" customWidth="1"/>
    <col min="5892" max="5893" width="5.28515625" style="47" bestFit="1" customWidth="1"/>
    <col min="5894" max="5894" width="2.7109375" style="47" customWidth="1"/>
    <col min="5895" max="5895" width="43" style="47" bestFit="1" customWidth="1"/>
    <col min="5896" max="5901" width="9.85546875" style="47" bestFit="1" customWidth="1"/>
    <col min="5902" max="5902" width="9.85546875" style="47" customWidth="1"/>
    <col min="5903" max="5907" width="9.85546875" style="47" bestFit="1" customWidth="1"/>
    <col min="5908" max="6144" width="8.85546875" style="47"/>
    <col min="6145" max="6145" width="6.7109375" style="47" customWidth="1"/>
    <col min="6146" max="6146" width="5.140625" style="47" bestFit="1" customWidth="1"/>
    <col min="6147" max="6147" width="27.140625" style="47" customWidth="1"/>
    <col min="6148" max="6149" width="5.28515625" style="47" bestFit="1" customWidth="1"/>
    <col min="6150" max="6150" width="2.7109375" style="47" customWidth="1"/>
    <col min="6151" max="6151" width="43" style="47" bestFit="1" customWidth="1"/>
    <col min="6152" max="6157" width="9.85546875" style="47" bestFit="1" customWidth="1"/>
    <col min="6158" max="6158" width="9.85546875" style="47" customWidth="1"/>
    <col min="6159" max="6163" width="9.85546875" style="47" bestFit="1" customWidth="1"/>
    <col min="6164" max="6400" width="8.85546875" style="47"/>
    <col min="6401" max="6401" width="6.7109375" style="47" customWidth="1"/>
    <col min="6402" max="6402" width="5.140625" style="47" bestFit="1" customWidth="1"/>
    <col min="6403" max="6403" width="27.140625" style="47" customWidth="1"/>
    <col min="6404" max="6405" width="5.28515625" style="47" bestFit="1" customWidth="1"/>
    <col min="6406" max="6406" width="2.7109375" style="47" customWidth="1"/>
    <col min="6407" max="6407" width="43" style="47" bestFit="1" customWidth="1"/>
    <col min="6408" max="6413" width="9.85546875" style="47" bestFit="1" customWidth="1"/>
    <col min="6414" max="6414" width="9.85546875" style="47" customWidth="1"/>
    <col min="6415" max="6419" width="9.85546875" style="47" bestFit="1" customWidth="1"/>
    <col min="6420" max="6656" width="8.85546875" style="47"/>
    <col min="6657" max="6657" width="6.7109375" style="47" customWidth="1"/>
    <col min="6658" max="6658" width="5.140625" style="47" bestFit="1" customWidth="1"/>
    <col min="6659" max="6659" width="27.140625" style="47" customWidth="1"/>
    <col min="6660" max="6661" width="5.28515625" style="47" bestFit="1" customWidth="1"/>
    <col min="6662" max="6662" width="2.7109375" style="47" customWidth="1"/>
    <col min="6663" max="6663" width="43" style="47" bestFit="1" customWidth="1"/>
    <col min="6664" max="6669" width="9.85546875" style="47" bestFit="1" customWidth="1"/>
    <col min="6670" max="6670" width="9.85546875" style="47" customWidth="1"/>
    <col min="6671" max="6675" width="9.85546875" style="47" bestFit="1" customWidth="1"/>
    <col min="6676" max="6912" width="8.85546875" style="47"/>
    <col min="6913" max="6913" width="6.7109375" style="47" customWidth="1"/>
    <col min="6914" max="6914" width="5.140625" style="47" bestFit="1" customWidth="1"/>
    <col min="6915" max="6915" width="27.140625" style="47" customWidth="1"/>
    <col min="6916" max="6917" width="5.28515625" style="47" bestFit="1" customWidth="1"/>
    <col min="6918" max="6918" width="2.7109375" style="47" customWidth="1"/>
    <col min="6919" max="6919" width="43" style="47" bestFit="1" customWidth="1"/>
    <col min="6920" max="6925" width="9.85546875" style="47" bestFit="1" customWidth="1"/>
    <col min="6926" max="6926" width="9.85546875" style="47" customWidth="1"/>
    <col min="6927" max="6931" width="9.85546875" style="47" bestFit="1" customWidth="1"/>
    <col min="6932" max="7168" width="8.85546875" style="47"/>
    <col min="7169" max="7169" width="6.7109375" style="47" customWidth="1"/>
    <col min="7170" max="7170" width="5.140625" style="47" bestFit="1" customWidth="1"/>
    <col min="7171" max="7171" width="27.140625" style="47" customWidth="1"/>
    <col min="7172" max="7173" width="5.28515625" style="47" bestFit="1" customWidth="1"/>
    <col min="7174" max="7174" width="2.7109375" style="47" customWidth="1"/>
    <col min="7175" max="7175" width="43" style="47" bestFit="1" customWidth="1"/>
    <col min="7176" max="7181" width="9.85546875" style="47" bestFit="1" customWidth="1"/>
    <col min="7182" max="7182" width="9.85546875" style="47" customWidth="1"/>
    <col min="7183" max="7187" width="9.85546875" style="47" bestFit="1" customWidth="1"/>
    <col min="7188" max="7424" width="8.85546875" style="47"/>
    <col min="7425" max="7425" width="6.7109375" style="47" customWidth="1"/>
    <col min="7426" max="7426" width="5.140625" style="47" bestFit="1" customWidth="1"/>
    <col min="7427" max="7427" width="27.140625" style="47" customWidth="1"/>
    <col min="7428" max="7429" width="5.28515625" style="47" bestFit="1" customWidth="1"/>
    <col min="7430" max="7430" width="2.7109375" style="47" customWidth="1"/>
    <col min="7431" max="7431" width="43" style="47" bestFit="1" customWidth="1"/>
    <col min="7432" max="7437" width="9.85546875" style="47" bestFit="1" customWidth="1"/>
    <col min="7438" max="7438" width="9.85546875" style="47" customWidth="1"/>
    <col min="7439" max="7443" width="9.85546875" style="47" bestFit="1" customWidth="1"/>
    <col min="7444" max="7680" width="8.85546875" style="47"/>
    <col min="7681" max="7681" width="6.7109375" style="47" customWidth="1"/>
    <col min="7682" max="7682" width="5.140625" style="47" bestFit="1" customWidth="1"/>
    <col min="7683" max="7683" width="27.140625" style="47" customWidth="1"/>
    <col min="7684" max="7685" width="5.28515625" style="47" bestFit="1" customWidth="1"/>
    <col min="7686" max="7686" width="2.7109375" style="47" customWidth="1"/>
    <col min="7687" max="7687" width="43" style="47" bestFit="1" customWidth="1"/>
    <col min="7688" max="7693" width="9.85546875" style="47" bestFit="1" customWidth="1"/>
    <col min="7694" max="7694" width="9.85546875" style="47" customWidth="1"/>
    <col min="7695" max="7699" width="9.85546875" style="47" bestFit="1" customWidth="1"/>
    <col min="7700" max="7936" width="8.85546875" style="47"/>
    <col min="7937" max="7937" width="6.7109375" style="47" customWidth="1"/>
    <col min="7938" max="7938" width="5.140625" style="47" bestFit="1" customWidth="1"/>
    <col min="7939" max="7939" width="27.140625" style="47" customWidth="1"/>
    <col min="7940" max="7941" width="5.28515625" style="47" bestFit="1" customWidth="1"/>
    <col min="7942" max="7942" width="2.7109375" style="47" customWidth="1"/>
    <col min="7943" max="7943" width="43" style="47" bestFit="1" customWidth="1"/>
    <col min="7944" max="7949" width="9.85546875" style="47" bestFit="1" customWidth="1"/>
    <col min="7950" max="7950" width="9.85546875" style="47" customWidth="1"/>
    <col min="7951" max="7955" width="9.85546875" style="47" bestFit="1" customWidth="1"/>
    <col min="7956" max="8192" width="8.85546875" style="47"/>
    <col min="8193" max="8193" width="6.7109375" style="47" customWidth="1"/>
    <col min="8194" max="8194" width="5.140625" style="47" bestFit="1" customWidth="1"/>
    <col min="8195" max="8195" width="27.140625" style="47" customWidth="1"/>
    <col min="8196" max="8197" width="5.28515625" style="47" bestFit="1" customWidth="1"/>
    <col min="8198" max="8198" width="2.7109375" style="47" customWidth="1"/>
    <col min="8199" max="8199" width="43" style="47" bestFit="1" customWidth="1"/>
    <col min="8200" max="8205" width="9.85546875" style="47" bestFit="1" customWidth="1"/>
    <col min="8206" max="8206" width="9.85546875" style="47" customWidth="1"/>
    <col min="8207" max="8211" width="9.85546875" style="47" bestFit="1" customWidth="1"/>
    <col min="8212" max="8448" width="8.85546875" style="47"/>
    <col min="8449" max="8449" width="6.7109375" style="47" customWidth="1"/>
    <col min="8450" max="8450" width="5.140625" style="47" bestFit="1" customWidth="1"/>
    <col min="8451" max="8451" width="27.140625" style="47" customWidth="1"/>
    <col min="8452" max="8453" width="5.28515625" style="47" bestFit="1" customWidth="1"/>
    <col min="8454" max="8454" width="2.7109375" style="47" customWidth="1"/>
    <col min="8455" max="8455" width="43" style="47" bestFit="1" customWidth="1"/>
    <col min="8456" max="8461" width="9.85546875" style="47" bestFit="1" customWidth="1"/>
    <col min="8462" max="8462" width="9.85546875" style="47" customWidth="1"/>
    <col min="8463" max="8467" width="9.85546875" style="47" bestFit="1" customWidth="1"/>
    <col min="8468" max="8704" width="8.85546875" style="47"/>
    <col min="8705" max="8705" width="6.7109375" style="47" customWidth="1"/>
    <col min="8706" max="8706" width="5.140625" style="47" bestFit="1" customWidth="1"/>
    <col min="8707" max="8707" width="27.140625" style="47" customWidth="1"/>
    <col min="8708" max="8709" width="5.28515625" style="47" bestFit="1" customWidth="1"/>
    <col min="8710" max="8710" width="2.7109375" style="47" customWidth="1"/>
    <col min="8711" max="8711" width="43" style="47" bestFit="1" customWidth="1"/>
    <col min="8712" max="8717" width="9.85546875" style="47" bestFit="1" customWidth="1"/>
    <col min="8718" max="8718" width="9.85546875" style="47" customWidth="1"/>
    <col min="8719" max="8723" width="9.85546875" style="47" bestFit="1" customWidth="1"/>
    <col min="8724" max="8960" width="8.85546875" style="47"/>
    <col min="8961" max="8961" width="6.7109375" style="47" customWidth="1"/>
    <col min="8962" max="8962" width="5.140625" style="47" bestFit="1" customWidth="1"/>
    <col min="8963" max="8963" width="27.140625" style="47" customWidth="1"/>
    <col min="8964" max="8965" width="5.28515625" style="47" bestFit="1" customWidth="1"/>
    <col min="8966" max="8966" width="2.7109375" style="47" customWidth="1"/>
    <col min="8967" max="8967" width="43" style="47" bestFit="1" customWidth="1"/>
    <col min="8968" max="8973" width="9.85546875" style="47" bestFit="1" customWidth="1"/>
    <col min="8974" max="8974" width="9.85546875" style="47" customWidth="1"/>
    <col min="8975" max="8979" width="9.85546875" style="47" bestFit="1" customWidth="1"/>
    <col min="8980" max="9216" width="8.85546875" style="47"/>
    <col min="9217" max="9217" width="6.7109375" style="47" customWidth="1"/>
    <col min="9218" max="9218" width="5.140625" style="47" bestFit="1" customWidth="1"/>
    <col min="9219" max="9219" width="27.140625" style="47" customWidth="1"/>
    <col min="9220" max="9221" width="5.28515625" style="47" bestFit="1" customWidth="1"/>
    <col min="9222" max="9222" width="2.7109375" style="47" customWidth="1"/>
    <col min="9223" max="9223" width="43" style="47" bestFit="1" customWidth="1"/>
    <col min="9224" max="9229" width="9.85546875" style="47" bestFit="1" customWidth="1"/>
    <col min="9230" max="9230" width="9.85546875" style="47" customWidth="1"/>
    <col min="9231" max="9235" width="9.85546875" style="47" bestFit="1" customWidth="1"/>
    <col min="9236" max="9472" width="8.85546875" style="47"/>
    <col min="9473" max="9473" width="6.7109375" style="47" customWidth="1"/>
    <col min="9474" max="9474" width="5.140625" style="47" bestFit="1" customWidth="1"/>
    <col min="9475" max="9475" width="27.140625" style="47" customWidth="1"/>
    <col min="9476" max="9477" width="5.28515625" style="47" bestFit="1" customWidth="1"/>
    <col min="9478" max="9478" width="2.7109375" style="47" customWidth="1"/>
    <col min="9479" max="9479" width="43" style="47" bestFit="1" customWidth="1"/>
    <col min="9480" max="9485" width="9.85546875" style="47" bestFit="1" customWidth="1"/>
    <col min="9486" max="9486" width="9.85546875" style="47" customWidth="1"/>
    <col min="9487" max="9491" width="9.85546875" style="47" bestFit="1" customWidth="1"/>
    <col min="9492" max="9728" width="8.85546875" style="47"/>
    <col min="9729" max="9729" width="6.7109375" style="47" customWidth="1"/>
    <col min="9730" max="9730" width="5.140625" style="47" bestFit="1" customWidth="1"/>
    <col min="9731" max="9731" width="27.140625" style="47" customWidth="1"/>
    <col min="9732" max="9733" width="5.28515625" style="47" bestFit="1" customWidth="1"/>
    <col min="9734" max="9734" width="2.7109375" style="47" customWidth="1"/>
    <col min="9735" max="9735" width="43" style="47" bestFit="1" customWidth="1"/>
    <col min="9736" max="9741" width="9.85546875" style="47" bestFit="1" customWidth="1"/>
    <col min="9742" max="9742" width="9.85546875" style="47" customWidth="1"/>
    <col min="9743" max="9747" width="9.85546875" style="47" bestFit="1" customWidth="1"/>
    <col min="9748" max="9984" width="8.85546875" style="47"/>
    <col min="9985" max="9985" width="6.7109375" style="47" customWidth="1"/>
    <col min="9986" max="9986" width="5.140625" style="47" bestFit="1" customWidth="1"/>
    <col min="9987" max="9987" width="27.140625" style="47" customWidth="1"/>
    <col min="9988" max="9989" width="5.28515625" style="47" bestFit="1" customWidth="1"/>
    <col min="9990" max="9990" width="2.7109375" style="47" customWidth="1"/>
    <col min="9991" max="9991" width="43" style="47" bestFit="1" customWidth="1"/>
    <col min="9992" max="9997" width="9.85546875" style="47" bestFit="1" customWidth="1"/>
    <col min="9998" max="9998" width="9.85546875" style="47" customWidth="1"/>
    <col min="9999" max="10003" width="9.85546875" style="47" bestFit="1" customWidth="1"/>
    <col min="10004" max="10240" width="8.85546875" style="47"/>
    <col min="10241" max="10241" width="6.7109375" style="47" customWidth="1"/>
    <col min="10242" max="10242" width="5.140625" style="47" bestFit="1" customWidth="1"/>
    <col min="10243" max="10243" width="27.140625" style="47" customWidth="1"/>
    <col min="10244" max="10245" width="5.28515625" style="47" bestFit="1" customWidth="1"/>
    <col min="10246" max="10246" width="2.7109375" style="47" customWidth="1"/>
    <col min="10247" max="10247" width="43" style="47" bestFit="1" customWidth="1"/>
    <col min="10248" max="10253" width="9.85546875" style="47" bestFit="1" customWidth="1"/>
    <col min="10254" max="10254" width="9.85546875" style="47" customWidth="1"/>
    <col min="10255" max="10259" width="9.85546875" style="47" bestFit="1" customWidth="1"/>
    <col min="10260" max="10496" width="8.85546875" style="47"/>
    <col min="10497" max="10497" width="6.7109375" style="47" customWidth="1"/>
    <col min="10498" max="10498" width="5.140625" style="47" bestFit="1" customWidth="1"/>
    <col min="10499" max="10499" width="27.140625" style="47" customWidth="1"/>
    <col min="10500" max="10501" width="5.28515625" style="47" bestFit="1" customWidth="1"/>
    <col min="10502" max="10502" width="2.7109375" style="47" customWidth="1"/>
    <col min="10503" max="10503" width="43" style="47" bestFit="1" customWidth="1"/>
    <col min="10504" max="10509" width="9.85546875" style="47" bestFit="1" customWidth="1"/>
    <col min="10510" max="10510" width="9.85546875" style="47" customWidth="1"/>
    <col min="10511" max="10515" width="9.85546875" style="47" bestFit="1" customWidth="1"/>
    <col min="10516" max="10752" width="8.85546875" style="47"/>
    <col min="10753" max="10753" width="6.7109375" style="47" customWidth="1"/>
    <col min="10754" max="10754" width="5.140625" style="47" bestFit="1" customWidth="1"/>
    <col min="10755" max="10755" width="27.140625" style="47" customWidth="1"/>
    <col min="10756" max="10757" width="5.28515625" style="47" bestFit="1" customWidth="1"/>
    <col min="10758" max="10758" width="2.7109375" style="47" customWidth="1"/>
    <col min="10759" max="10759" width="43" style="47" bestFit="1" customWidth="1"/>
    <col min="10760" max="10765" width="9.85546875" style="47" bestFit="1" customWidth="1"/>
    <col min="10766" max="10766" width="9.85546875" style="47" customWidth="1"/>
    <col min="10767" max="10771" width="9.85546875" style="47" bestFit="1" customWidth="1"/>
    <col min="10772" max="11008" width="8.85546875" style="47"/>
    <col min="11009" max="11009" width="6.7109375" style="47" customWidth="1"/>
    <col min="11010" max="11010" width="5.140625" style="47" bestFit="1" customWidth="1"/>
    <col min="11011" max="11011" width="27.140625" style="47" customWidth="1"/>
    <col min="11012" max="11013" width="5.28515625" style="47" bestFit="1" customWidth="1"/>
    <col min="11014" max="11014" width="2.7109375" style="47" customWidth="1"/>
    <col min="11015" max="11015" width="43" style="47" bestFit="1" customWidth="1"/>
    <col min="11016" max="11021" width="9.85546875" style="47" bestFit="1" customWidth="1"/>
    <col min="11022" max="11022" width="9.85546875" style="47" customWidth="1"/>
    <col min="11023" max="11027" width="9.85546875" style="47" bestFit="1" customWidth="1"/>
    <col min="11028" max="11264" width="8.85546875" style="47"/>
    <col min="11265" max="11265" width="6.7109375" style="47" customWidth="1"/>
    <col min="11266" max="11266" width="5.140625" style="47" bestFit="1" customWidth="1"/>
    <col min="11267" max="11267" width="27.140625" style="47" customWidth="1"/>
    <col min="11268" max="11269" width="5.28515625" style="47" bestFit="1" customWidth="1"/>
    <col min="11270" max="11270" width="2.7109375" style="47" customWidth="1"/>
    <col min="11271" max="11271" width="43" style="47" bestFit="1" customWidth="1"/>
    <col min="11272" max="11277" width="9.85546875" style="47" bestFit="1" customWidth="1"/>
    <col min="11278" max="11278" width="9.85546875" style="47" customWidth="1"/>
    <col min="11279" max="11283" width="9.85546875" style="47" bestFit="1" customWidth="1"/>
    <col min="11284" max="11520" width="8.85546875" style="47"/>
    <col min="11521" max="11521" width="6.7109375" style="47" customWidth="1"/>
    <col min="11522" max="11522" width="5.140625" style="47" bestFit="1" customWidth="1"/>
    <col min="11523" max="11523" width="27.140625" style="47" customWidth="1"/>
    <col min="11524" max="11525" width="5.28515625" style="47" bestFit="1" customWidth="1"/>
    <col min="11526" max="11526" width="2.7109375" style="47" customWidth="1"/>
    <col min="11527" max="11527" width="43" style="47" bestFit="1" customWidth="1"/>
    <col min="11528" max="11533" width="9.85546875" style="47" bestFit="1" customWidth="1"/>
    <col min="11534" max="11534" width="9.85546875" style="47" customWidth="1"/>
    <col min="11535" max="11539" width="9.85546875" style="47" bestFit="1" customWidth="1"/>
    <col min="11540" max="11776" width="8.85546875" style="47"/>
    <col min="11777" max="11777" width="6.7109375" style="47" customWidth="1"/>
    <col min="11778" max="11778" width="5.140625" style="47" bestFit="1" customWidth="1"/>
    <col min="11779" max="11779" width="27.140625" style="47" customWidth="1"/>
    <col min="11780" max="11781" width="5.28515625" style="47" bestFit="1" customWidth="1"/>
    <col min="11782" max="11782" width="2.7109375" style="47" customWidth="1"/>
    <col min="11783" max="11783" width="43" style="47" bestFit="1" customWidth="1"/>
    <col min="11784" max="11789" width="9.85546875" style="47" bestFit="1" customWidth="1"/>
    <col min="11790" max="11790" width="9.85546875" style="47" customWidth="1"/>
    <col min="11791" max="11795" width="9.85546875" style="47" bestFit="1" customWidth="1"/>
    <col min="11796" max="12032" width="8.85546875" style="47"/>
    <col min="12033" max="12033" width="6.7109375" style="47" customWidth="1"/>
    <col min="12034" max="12034" width="5.140625" style="47" bestFit="1" customWidth="1"/>
    <col min="12035" max="12035" width="27.140625" style="47" customWidth="1"/>
    <col min="12036" max="12037" width="5.28515625" style="47" bestFit="1" customWidth="1"/>
    <col min="12038" max="12038" width="2.7109375" style="47" customWidth="1"/>
    <col min="12039" max="12039" width="43" style="47" bestFit="1" customWidth="1"/>
    <col min="12040" max="12045" width="9.85546875" style="47" bestFit="1" customWidth="1"/>
    <col min="12046" max="12046" width="9.85546875" style="47" customWidth="1"/>
    <col min="12047" max="12051" width="9.85546875" style="47" bestFit="1" customWidth="1"/>
    <col min="12052" max="12288" width="8.85546875" style="47"/>
    <col min="12289" max="12289" width="6.7109375" style="47" customWidth="1"/>
    <col min="12290" max="12290" width="5.140625" style="47" bestFit="1" customWidth="1"/>
    <col min="12291" max="12291" width="27.140625" style="47" customWidth="1"/>
    <col min="12292" max="12293" width="5.28515625" style="47" bestFit="1" customWidth="1"/>
    <col min="12294" max="12294" width="2.7109375" style="47" customWidth="1"/>
    <col min="12295" max="12295" width="43" style="47" bestFit="1" customWidth="1"/>
    <col min="12296" max="12301" width="9.85546875" style="47" bestFit="1" customWidth="1"/>
    <col min="12302" max="12302" width="9.85546875" style="47" customWidth="1"/>
    <col min="12303" max="12307" width="9.85546875" style="47" bestFit="1" customWidth="1"/>
    <col min="12308" max="12544" width="8.85546875" style="47"/>
    <col min="12545" max="12545" width="6.7109375" style="47" customWidth="1"/>
    <col min="12546" max="12546" width="5.140625" style="47" bestFit="1" customWidth="1"/>
    <col min="12547" max="12547" width="27.140625" style="47" customWidth="1"/>
    <col min="12548" max="12549" width="5.28515625" style="47" bestFit="1" customWidth="1"/>
    <col min="12550" max="12550" width="2.7109375" style="47" customWidth="1"/>
    <col min="12551" max="12551" width="43" style="47" bestFit="1" customWidth="1"/>
    <col min="12552" max="12557" width="9.85546875" style="47" bestFit="1" customWidth="1"/>
    <col min="12558" max="12558" width="9.85546875" style="47" customWidth="1"/>
    <col min="12559" max="12563" width="9.85546875" style="47" bestFit="1" customWidth="1"/>
    <col min="12564" max="12800" width="8.85546875" style="47"/>
    <col min="12801" max="12801" width="6.7109375" style="47" customWidth="1"/>
    <col min="12802" max="12802" width="5.140625" style="47" bestFit="1" customWidth="1"/>
    <col min="12803" max="12803" width="27.140625" style="47" customWidth="1"/>
    <col min="12804" max="12805" width="5.28515625" style="47" bestFit="1" customWidth="1"/>
    <col min="12806" max="12806" width="2.7109375" style="47" customWidth="1"/>
    <col min="12807" max="12807" width="43" style="47" bestFit="1" customWidth="1"/>
    <col min="12808" max="12813" width="9.85546875" style="47" bestFit="1" customWidth="1"/>
    <col min="12814" max="12814" width="9.85546875" style="47" customWidth="1"/>
    <col min="12815" max="12819" width="9.85546875" style="47" bestFit="1" customWidth="1"/>
    <col min="12820" max="13056" width="8.85546875" style="47"/>
    <col min="13057" max="13057" width="6.7109375" style="47" customWidth="1"/>
    <col min="13058" max="13058" width="5.140625" style="47" bestFit="1" customWidth="1"/>
    <col min="13059" max="13059" width="27.140625" style="47" customWidth="1"/>
    <col min="13060" max="13061" width="5.28515625" style="47" bestFit="1" customWidth="1"/>
    <col min="13062" max="13062" width="2.7109375" style="47" customWidth="1"/>
    <col min="13063" max="13063" width="43" style="47" bestFit="1" customWidth="1"/>
    <col min="13064" max="13069" width="9.85546875" style="47" bestFit="1" customWidth="1"/>
    <col min="13070" max="13070" width="9.85546875" style="47" customWidth="1"/>
    <col min="13071" max="13075" width="9.85546875" style="47" bestFit="1" customWidth="1"/>
    <col min="13076" max="13312" width="8.85546875" style="47"/>
    <col min="13313" max="13313" width="6.7109375" style="47" customWidth="1"/>
    <col min="13314" max="13314" width="5.140625" style="47" bestFit="1" customWidth="1"/>
    <col min="13315" max="13315" width="27.140625" style="47" customWidth="1"/>
    <col min="13316" max="13317" width="5.28515625" style="47" bestFit="1" customWidth="1"/>
    <col min="13318" max="13318" width="2.7109375" style="47" customWidth="1"/>
    <col min="13319" max="13319" width="43" style="47" bestFit="1" customWidth="1"/>
    <col min="13320" max="13325" width="9.85546875" style="47" bestFit="1" customWidth="1"/>
    <col min="13326" max="13326" width="9.85546875" style="47" customWidth="1"/>
    <col min="13327" max="13331" width="9.85546875" style="47" bestFit="1" customWidth="1"/>
    <col min="13332" max="13568" width="8.85546875" style="47"/>
    <col min="13569" max="13569" width="6.7109375" style="47" customWidth="1"/>
    <col min="13570" max="13570" width="5.140625" style="47" bestFit="1" customWidth="1"/>
    <col min="13571" max="13571" width="27.140625" style="47" customWidth="1"/>
    <col min="13572" max="13573" width="5.28515625" style="47" bestFit="1" customWidth="1"/>
    <col min="13574" max="13574" width="2.7109375" style="47" customWidth="1"/>
    <col min="13575" max="13575" width="43" style="47" bestFit="1" customWidth="1"/>
    <col min="13576" max="13581" width="9.85546875" style="47" bestFit="1" customWidth="1"/>
    <col min="13582" max="13582" width="9.85546875" style="47" customWidth="1"/>
    <col min="13583" max="13587" width="9.85546875" style="47" bestFit="1" customWidth="1"/>
    <col min="13588" max="13824" width="8.85546875" style="47"/>
    <col min="13825" max="13825" width="6.7109375" style="47" customWidth="1"/>
    <col min="13826" max="13826" width="5.140625" style="47" bestFit="1" customWidth="1"/>
    <col min="13827" max="13827" width="27.140625" style="47" customWidth="1"/>
    <col min="13828" max="13829" width="5.28515625" style="47" bestFit="1" customWidth="1"/>
    <col min="13830" max="13830" width="2.7109375" style="47" customWidth="1"/>
    <col min="13831" max="13831" width="43" style="47" bestFit="1" customWidth="1"/>
    <col min="13832" max="13837" width="9.85546875" style="47" bestFit="1" customWidth="1"/>
    <col min="13838" max="13838" width="9.85546875" style="47" customWidth="1"/>
    <col min="13839" max="13843" width="9.85546875" style="47" bestFit="1" customWidth="1"/>
    <col min="13844" max="14080" width="8.85546875" style="47"/>
    <col min="14081" max="14081" width="6.7109375" style="47" customWidth="1"/>
    <col min="14082" max="14082" width="5.140625" style="47" bestFit="1" customWidth="1"/>
    <col min="14083" max="14083" width="27.140625" style="47" customWidth="1"/>
    <col min="14084" max="14085" width="5.28515625" style="47" bestFit="1" customWidth="1"/>
    <col min="14086" max="14086" width="2.7109375" style="47" customWidth="1"/>
    <col min="14087" max="14087" width="43" style="47" bestFit="1" customWidth="1"/>
    <col min="14088" max="14093" width="9.85546875" style="47" bestFit="1" customWidth="1"/>
    <col min="14094" max="14094" width="9.85546875" style="47" customWidth="1"/>
    <col min="14095" max="14099" width="9.85546875" style="47" bestFit="1" customWidth="1"/>
    <col min="14100" max="14336" width="8.85546875" style="47"/>
    <col min="14337" max="14337" width="6.7109375" style="47" customWidth="1"/>
    <col min="14338" max="14338" width="5.140625" style="47" bestFit="1" customWidth="1"/>
    <col min="14339" max="14339" width="27.140625" style="47" customWidth="1"/>
    <col min="14340" max="14341" width="5.28515625" style="47" bestFit="1" customWidth="1"/>
    <col min="14342" max="14342" width="2.7109375" style="47" customWidth="1"/>
    <col min="14343" max="14343" width="43" style="47" bestFit="1" customWidth="1"/>
    <col min="14344" max="14349" width="9.85546875" style="47" bestFit="1" customWidth="1"/>
    <col min="14350" max="14350" width="9.85546875" style="47" customWidth="1"/>
    <col min="14351" max="14355" width="9.85546875" style="47" bestFit="1" customWidth="1"/>
    <col min="14356" max="14592" width="8.85546875" style="47"/>
    <col min="14593" max="14593" width="6.7109375" style="47" customWidth="1"/>
    <col min="14594" max="14594" width="5.140625" style="47" bestFit="1" customWidth="1"/>
    <col min="14595" max="14595" width="27.140625" style="47" customWidth="1"/>
    <col min="14596" max="14597" width="5.28515625" style="47" bestFit="1" customWidth="1"/>
    <col min="14598" max="14598" width="2.7109375" style="47" customWidth="1"/>
    <col min="14599" max="14599" width="43" style="47" bestFit="1" customWidth="1"/>
    <col min="14600" max="14605" width="9.85546875" style="47" bestFit="1" customWidth="1"/>
    <col min="14606" max="14606" width="9.85546875" style="47" customWidth="1"/>
    <col min="14607" max="14611" width="9.85546875" style="47" bestFit="1" customWidth="1"/>
    <col min="14612" max="14848" width="8.85546875" style="47"/>
    <col min="14849" max="14849" width="6.7109375" style="47" customWidth="1"/>
    <col min="14850" max="14850" width="5.140625" style="47" bestFit="1" customWidth="1"/>
    <col min="14851" max="14851" width="27.140625" style="47" customWidth="1"/>
    <col min="14852" max="14853" width="5.28515625" style="47" bestFit="1" customWidth="1"/>
    <col min="14854" max="14854" width="2.7109375" style="47" customWidth="1"/>
    <col min="14855" max="14855" width="43" style="47" bestFit="1" customWidth="1"/>
    <col min="14856" max="14861" width="9.85546875" style="47" bestFit="1" customWidth="1"/>
    <col min="14862" max="14862" width="9.85546875" style="47" customWidth="1"/>
    <col min="14863" max="14867" width="9.85546875" style="47" bestFit="1" customWidth="1"/>
    <col min="14868" max="15104" width="8.85546875" style="47"/>
    <col min="15105" max="15105" width="6.7109375" style="47" customWidth="1"/>
    <col min="15106" max="15106" width="5.140625" style="47" bestFit="1" customWidth="1"/>
    <col min="15107" max="15107" width="27.140625" style="47" customWidth="1"/>
    <col min="15108" max="15109" width="5.28515625" style="47" bestFit="1" customWidth="1"/>
    <col min="15110" max="15110" width="2.7109375" style="47" customWidth="1"/>
    <col min="15111" max="15111" width="43" style="47" bestFit="1" customWidth="1"/>
    <col min="15112" max="15117" width="9.85546875" style="47" bestFit="1" customWidth="1"/>
    <col min="15118" max="15118" width="9.85546875" style="47" customWidth="1"/>
    <col min="15119" max="15123" width="9.85546875" style="47" bestFit="1" customWidth="1"/>
    <col min="15124" max="15360" width="8.85546875" style="47"/>
    <col min="15361" max="15361" width="6.7109375" style="47" customWidth="1"/>
    <col min="15362" max="15362" width="5.140625" style="47" bestFit="1" customWidth="1"/>
    <col min="15363" max="15363" width="27.140625" style="47" customWidth="1"/>
    <col min="15364" max="15365" width="5.28515625" style="47" bestFit="1" customWidth="1"/>
    <col min="15366" max="15366" width="2.7109375" style="47" customWidth="1"/>
    <col min="15367" max="15367" width="43" style="47" bestFit="1" customWidth="1"/>
    <col min="15368" max="15373" width="9.85546875" style="47" bestFit="1" customWidth="1"/>
    <col min="15374" max="15374" width="9.85546875" style="47" customWidth="1"/>
    <col min="15375" max="15379" width="9.85546875" style="47" bestFit="1" customWidth="1"/>
    <col min="15380" max="15616" width="8.85546875" style="47"/>
    <col min="15617" max="15617" width="6.7109375" style="47" customWidth="1"/>
    <col min="15618" max="15618" width="5.140625" style="47" bestFit="1" customWidth="1"/>
    <col min="15619" max="15619" width="27.140625" style="47" customWidth="1"/>
    <col min="15620" max="15621" width="5.28515625" style="47" bestFit="1" customWidth="1"/>
    <col min="15622" max="15622" width="2.7109375" style="47" customWidth="1"/>
    <col min="15623" max="15623" width="43" style="47" bestFit="1" customWidth="1"/>
    <col min="15624" max="15629" width="9.85546875" style="47" bestFit="1" customWidth="1"/>
    <col min="15630" max="15630" width="9.85546875" style="47" customWidth="1"/>
    <col min="15631" max="15635" width="9.85546875" style="47" bestFit="1" customWidth="1"/>
    <col min="15636" max="15872" width="8.85546875" style="47"/>
    <col min="15873" max="15873" width="6.7109375" style="47" customWidth="1"/>
    <col min="15874" max="15874" width="5.140625" style="47" bestFit="1" customWidth="1"/>
    <col min="15875" max="15875" width="27.140625" style="47" customWidth="1"/>
    <col min="15876" max="15877" width="5.28515625" style="47" bestFit="1" customWidth="1"/>
    <col min="15878" max="15878" width="2.7109375" style="47" customWidth="1"/>
    <col min="15879" max="15879" width="43" style="47" bestFit="1" customWidth="1"/>
    <col min="15880" max="15885" width="9.85546875" style="47" bestFit="1" customWidth="1"/>
    <col min="15886" max="15886" width="9.85546875" style="47" customWidth="1"/>
    <col min="15887" max="15891" width="9.85546875" style="47" bestFit="1" customWidth="1"/>
    <col min="15892" max="16128" width="8.85546875" style="47"/>
    <col min="16129" max="16129" width="6.7109375" style="47" customWidth="1"/>
    <col min="16130" max="16130" width="5.140625" style="47" bestFit="1" customWidth="1"/>
    <col min="16131" max="16131" width="27.140625" style="47" customWidth="1"/>
    <col min="16132" max="16133" width="5.28515625" style="47" bestFit="1" customWidth="1"/>
    <col min="16134" max="16134" width="2.7109375" style="47" customWidth="1"/>
    <col min="16135" max="16135" width="43" style="47" bestFit="1" customWidth="1"/>
    <col min="16136" max="16141" width="9.85546875" style="47" bestFit="1" customWidth="1"/>
    <col min="16142" max="16142" width="9.85546875" style="47" customWidth="1"/>
    <col min="16143" max="16147" width="9.85546875" style="47" bestFit="1" customWidth="1"/>
    <col min="16148" max="16384" width="8.85546875" style="47"/>
  </cols>
  <sheetData>
    <row r="1" spans="1:19" x14ac:dyDescent="0.2">
      <c r="A1" s="1"/>
      <c r="B1" s="2"/>
      <c r="C1" s="3"/>
      <c r="D1" s="3"/>
      <c r="E1" s="1"/>
      <c r="F1" s="1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</row>
    <row r="2" spans="1:19" x14ac:dyDescent="0.2">
      <c r="A2" s="3" t="s">
        <v>0</v>
      </c>
      <c r="B2" s="5" t="s">
        <v>1</v>
      </c>
      <c r="C2" s="3" t="s">
        <v>2</v>
      </c>
      <c r="D2" s="3"/>
      <c r="E2" s="1" t="s">
        <v>3</v>
      </c>
      <c r="F2" s="1"/>
      <c r="G2" s="185" t="s">
        <v>581</v>
      </c>
      <c r="H2" s="50"/>
      <c r="I2" s="51"/>
      <c r="J2" s="51"/>
      <c r="K2" s="50"/>
      <c r="L2" s="52"/>
      <c r="M2" s="71" t="s">
        <v>366</v>
      </c>
      <c r="N2" s="122" t="s">
        <v>582</v>
      </c>
      <c r="O2" s="72"/>
      <c r="P2" s="72"/>
      <c r="Q2" s="72"/>
      <c r="R2" s="73"/>
      <c r="S2" s="48"/>
    </row>
    <row r="3" spans="1:19" x14ac:dyDescent="0.2">
      <c r="A3" s="1"/>
      <c r="B3" s="6"/>
      <c r="C3" s="3"/>
      <c r="D3" s="3"/>
      <c r="E3" s="1"/>
      <c r="F3" s="1"/>
      <c r="G3" s="53" t="s">
        <v>4</v>
      </c>
      <c r="H3" s="186">
        <v>40908</v>
      </c>
      <c r="I3" s="186">
        <v>41274</v>
      </c>
      <c r="J3" s="186">
        <v>41639</v>
      </c>
      <c r="K3" s="186">
        <v>42004</v>
      </c>
      <c r="L3" s="54">
        <v>42369</v>
      </c>
      <c r="M3" s="54">
        <v>42735</v>
      </c>
      <c r="N3" s="54">
        <v>43100</v>
      </c>
      <c r="O3" s="54">
        <v>43465</v>
      </c>
      <c r="P3" s="54">
        <v>43830</v>
      </c>
      <c r="Q3" s="54">
        <v>44196</v>
      </c>
      <c r="R3" s="54">
        <v>44561</v>
      </c>
      <c r="S3" s="74">
        <v>44926</v>
      </c>
    </row>
    <row r="4" spans="1:19" x14ac:dyDescent="0.2">
      <c r="A4" s="7"/>
      <c r="B4" s="2" t="s">
        <v>5</v>
      </c>
      <c r="C4" s="3">
        <v>1</v>
      </c>
      <c r="D4" s="3"/>
      <c r="E4" s="5"/>
      <c r="F4" s="7"/>
      <c r="G4" s="55" t="s">
        <v>6</v>
      </c>
      <c r="H4" s="56">
        <f t="shared" ref="H4:S4" si="0">H5+H10</f>
        <v>276.66699999999997</v>
      </c>
      <c r="I4" s="56">
        <f t="shared" si="0"/>
        <v>308.55</v>
      </c>
      <c r="J4" s="56">
        <f t="shared" si="0"/>
        <v>332.52</v>
      </c>
      <c r="K4" s="56">
        <f t="shared" si="0"/>
        <v>522.80999999999995</v>
      </c>
      <c r="L4" s="56">
        <f t="shared" si="0"/>
        <v>717.98800000000006</v>
      </c>
      <c r="M4" s="56">
        <f t="shared" si="0"/>
        <v>802.875</v>
      </c>
      <c r="N4" s="56">
        <f>N5+N10</f>
        <v>960</v>
      </c>
      <c r="O4" s="56">
        <f t="shared" si="0"/>
        <v>907</v>
      </c>
      <c r="P4" s="56">
        <f t="shared" si="0"/>
        <v>843</v>
      </c>
      <c r="Q4" s="56">
        <f t="shared" si="0"/>
        <v>870</v>
      </c>
      <c r="R4" s="56">
        <f t="shared" si="0"/>
        <v>875</v>
      </c>
      <c r="S4" s="56">
        <f t="shared" si="0"/>
        <v>916</v>
      </c>
    </row>
    <row r="5" spans="1:19" x14ac:dyDescent="0.2">
      <c r="A5" s="8"/>
      <c r="B5" s="2" t="s">
        <v>7</v>
      </c>
      <c r="C5" s="3">
        <v>10</v>
      </c>
      <c r="D5" s="3"/>
      <c r="E5" s="9"/>
      <c r="G5" s="57" t="s">
        <v>8</v>
      </c>
      <c r="H5" s="56">
        <f t="shared" ref="H5:R5" si="1">SUM(H6:H9)</f>
        <v>27.358000000000001</v>
      </c>
      <c r="I5" s="56">
        <f t="shared" si="1"/>
        <v>11.290000000000001</v>
      </c>
      <c r="J5" s="56">
        <f t="shared" si="1"/>
        <v>54.89</v>
      </c>
      <c r="K5" s="56">
        <f t="shared" si="1"/>
        <v>261.89499999999998</v>
      </c>
      <c r="L5" s="56">
        <f t="shared" si="1"/>
        <v>409.803</v>
      </c>
      <c r="M5" s="56">
        <f t="shared" si="1"/>
        <v>503.101</v>
      </c>
      <c r="N5" s="56">
        <f>SUM(N6:N9)</f>
        <v>622</v>
      </c>
      <c r="O5" s="56">
        <f t="shared" si="1"/>
        <v>531</v>
      </c>
      <c r="P5" s="56">
        <f t="shared" si="1"/>
        <v>436</v>
      </c>
      <c r="Q5" s="56">
        <f t="shared" si="1"/>
        <v>440</v>
      </c>
      <c r="R5" s="56">
        <f t="shared" si="1"/>
        <v>422</v>
      </c>
      <c r="S5" s="56">
        <f>SUM(S6:S9)</f>
        <v>440</v>
      </c>
    </row>
    <row r="6" spans="1:19" x14ac:dyDescent="0.2">
      <c r="A6" s="8"/>
      <c r="B6" s="2" t="s">
        <v>9</v>
      </c>
      <c r="C6" s="10" t="s">
        <v>10</v>
      </c>
      <c r="D6" s="10"/>
      <c r="E6" s="627" t="s">
        <v>11</v>
      </c>
      <c r="G6" s="57" t="s">
        <v>12</v>
      </c>
      <c r="H6" s="58">
        <v>0</v>
      </c>
      <c r="I6" s="58">
        <v>4.3999999999999997E-2</v>
      </c>
      <c r="J6" s="58">
        <v>1.94</v>
      </c>
      <c r="K6" s="58">
        <v>239.845</v>
      </c>
      <c r="L6" s="58">
        <v>346.72699999999998</v>
      </c>
      <c r="M6" s="58">
        <v>433.24900000000002</v>
      </c>
      <c r="N6" s="76">
        <v>552</v>
      </c>
      <c r="O6" s="76">
        <v>461</v>
      </c>
      <c r="P6" s="76">
        <v>366</v>
      </c>
      <c r="Q6" s="76">
        <v>370</v>
      </c>
      <c r="R6" s="76">
        <v>350</v>
      </c>
      <c r="S6" s="58">
        <v>380</v>
      </c>
    </row>
    <row r="7" spans="1:19" x14ac:dyDescent="0.2">
      <c r="A7" s="8"/>
      <c r="B7" s="2" t="s">
        <v>13</v>
      </c>
      <c r="C7" s="10" t="s">
        <v>14</v>
      </c>
      <c r="D7" s="10"/>
      <c r="E7" s="627" t="s">
        <v>11</v>
      </c>
      <c r="G7" s="57" t="s">
        <v>15</v>
      </c>
      <c r="H7" s="58">
        <v>27.358000000000001</v>
      </c>
      <c r="I7" s="58">
        <v>10.625</v>
      </c>
      <c r="J7" s="58">
        <v>52.95</v>
      </c>
      <c r="K7" s="58">
        <v>22.05</v>
      </c>
      <c r="L7" s="58">
        <v>63.076000000000001</v>
      </c>
      <c r="M7" s="58">
        <v>69.852000000000004</v>
      </c>
      <c r="N7" s="76">
        <v>70</v>
      </c>
      <c r="O7" s="76">
        <v>70</v>
      </c>
      <c r="P7" s="76">
        <v>70</v>
      </c>
      <c r="Q7" s="76">
        <v>70</v>
      </c>
      <c r="R7" s="76">
        <v>72</v>
      </c>
      <c r="S7" s="58">
        <v>60</v>
      </c>
    </row>
    <row r="8" spans="1:19" x14ac:dyDescent="0.2">
      <c r="A8" s="8"/>
      <c r="B8" s="2" t="s">
        <v>16</v>
      </c>
      <c r="C8" s="10" t="s">
        <v>17</v>
      </c>
      <c r="D8" s="10"/>
      <c r="E8" s="627" t="s">
        <v>11</v>
      </c>
      <c r="G8" s="57" t="s">
        <v>18</v>
      </c>
      <c r="H8" s="58">
        <v>0</v>
      </c>
      <c r="I8" s="58">
        <v>0</v>
      </c>
      <c r="J8" s="58">
        <v>0</v>
      </c>
      <c r="K8" s="58">
        <v>0</v>
      </c>
      <c r="L8" s="58">
        <v>0</v>
      </c>
      <c r="M8" s="58">
        <v>0</v>
      </c>
      <c r="N8" s="76">
        <v>0</v>
      </c>
      <c r="O8" s="76">
        <v>0</v>
      </c>
      <c r="P8" s="76">
        <v>0</v>
      </c>
      <c r="Q8" s="76">
        <v>0</v>
      </c>
      <c r="R8" s="76">
        <v>0</v>
      </c>
      <c r="S8" s="58">
        <v>0</v>
      </c>
    </row>
    <row r="9" spans="1:19" x14ac:dyDescent="0.2">
      <c r="A9" s="8"/>
      <c r="B9" s="2" t="s">
        <v>19</v>
      </c>
      <c r="C9" s="10">
        <v>108</v>
      </c>
      <c r="D9" s="10"/>
      <c r="E9" s="12"/>
      <c r="G9" s="57" t="s">
        <v>20</v>
      </c>
      <c r="H9" s="58">
        <v>0</v>
      </c>
      <c r="I9" s="58">
        <v>0.621</v>
      </c>
      <c r="J9" s="58">
        <v>0</v>
      </c>
      <c r="K9" s="58">
        <v>0</v>
      </c>
      <c r="L9" s="58">
        <v>0</v>
      </c>
      <c r="M9" s="58">
        <v>0</v>
      </c>
      <c r="N9" s="76">
        <v>0</v>
      </c>
      <c r="O9" s="76">
        <v>0</v>
      </c>
      <c r="P9" s="76">
        <v>0</v>
      </c>
      <c r="Q9" s="76">
        <v>0</v>
      </c>
      <c r="R9" s="76">
        <v>0</v>
      </c>
      <c r="S9" s="58">
        <v>0</v>
      </c>
    </row>
    <row r="10" spans="1:19" x14ac:dyDescent="0.2">
      <c r="A10" s="13"/>
      <c r="B10" s="2" t="s">
        <v>21</v>
      </c>
      <c r="C10" s="14">
        <v>15</v>
      </c>
      <c r="D10" s="14"/>
      <c r="E10" s="12"/>
      <c r="F10" s="13"/>
      <c r="G10" s="57" t="s">
        <v>22</v>
      </c>
      <c r="H10" s="56">
        <f t="shared" ref="H10:S10" si="2">SUM(H11:H16)</f>
        <v>249.309</v>
      </c>
      <c r="I10" s="56">
        <f t="shared" si="2"/>
        <v>297.26</v>
      </c>
      <c r="J10" s="56">
        <f t="shared" si="2"/>
        <v>277.63</v>
      </c>
      <c r="K10" s="56">
        <f t="shared" si="2"/>
        <v>260.91500000000002</v>
      </c>
      <c r="L10" s="56">
        <f t="shared" si="2"/>
        <v>308.185</v>
      </c>
      <c r="M10" s="56">
        <f t="shared" si="2"/>
        <v>299.774</v>
      </c>
      <c r="N10" s="77">
        <f t="shared" si="2"/>
        <v>338</v>
      </c>
      <c r="O10" s="77">
        <f t="shared" si="2"/>
        <v>376</v>
      </c>
      <c r="P10" s="77">
        <f t="shared" si="2"/>
        <v>407</v>
      </c>
      <c r="Q10" s="77">
        <f t="shared" si="2"/>
        <v>430</v>
      </c>
      <c r="R10" s="77">
        <f t="shared" si="2"/>
        <v>453</v>
      </c>
      <c r="S10" s="56">
        <f t="shared" si="2"/>
        <v>476</v>
      </c>
    </row>
    <row r="11" spans="1:19" x14ac:dyDescent="0.2">
      <c r="A11" s="13"/>
      <c r="B11" s="2" t="s">
        <v>23</v>
      </c>
      <c r="C11" s="14">
        <v>150</v>
      </c>
      <c r="D11" s="14"/>
      <c r="E11" s="627" t="s">
        <v>11</v>
      </c>
      <c r="F11" s="13"/>
      <c r="G11" s="57" t="s">
        <v>24</v>
      </c>
      <c r="H11" s="58">
        <v>0</v>
      </c>
      <c r="I11" s="58">
        <v>0</v>
      </c>
      <c r="J11" s="58">
        <v>0</v>
      </c>
      <c r="K11" s="58">
        <v>0</v>
      </c>
      <c r="L11" s="58">
        <v>0</v>
      </c>
      <c r="M11" s="58">
        <v>0</v>
      </c>
      <c r="N11" s="76">
        <v>0</v>
      </c>
      <c r="O11" s="76">
        <v>0</v>
      </c>
      <c r="P11" s="76">
        <v>0</v>
      </c>
      <c r="Q11" s="76">
        <v>0</v>
      </c>
      <c r="R11" s="76">
        <v>0</v>
      </c>
      <c r="S11" s="58">
        <v>0</v>
      </c>
    </row>
    <row r="12" spans="1:19" x14ac:dyDescent="0.2">
      <c r="A12" s="13"/>
      <c r="B12" s="2" t="s">
        <v>25</v>
      </c>
      <c r="C12" s="14">
        <v>151</v>
      </c>
      <c r="D12" s="14"/>
      <c r="E12" s="627" t="s">
        <v>11</v>
      </c>
      <c r="F12" s="13"/>
      <c r="G12" s="57" t="s">
        <v>26</v>
      </c>
      <c r="H12" s="58">
        <v>0</v>
      </c>
      <c r="I12" s="58">
        <v>0</v>
      </c>
      <c r="J12" s="58">
        <v>0</v>
      </c>
      <c r="K12" s="58">
        <v>0</v>
      </c>
      <c r="L12" s="58">
        <v>0</v>
      </c>
      <c r="M12" s="58">
        <v>0</v>
      </c>
      <c r="N12" s="76">
        <v>0</v>
      </c>
      <c r="O12" s="76">
        <v>0</v>
      </c>
      <c r="P12" s="76">
        <v>0</v>
      </c>
      <c r="Q12" s="76">
        <v>0</v>
      </c>
      <c r="R12" s="76">
        <v>0</v>
      </c>
      <c r="S12" s="58">
        <v>0</v>
      </c>
    </row>
    <row r="13" spans="1:19" x14ac:dyDescent="0.2">
      <c r="A13" s="8"/>
      <c r="B13" s="2" t="s">
        <v>27</v>
      </c>
      <c r="C13" s="10" t="s">
        <v>28</v>
      </c>
      <c r="D13" s="10"/>
      <c r="E13" s="627" t="s">
        <v>11</v>
      </c>
      <c r="G13" s="57" t="s">
        <v>29</v>
      </c>
      <c r="H13" s="58">
        <v>0</v>
      </c>
      <c r="I13" s="58">
        <v>0</v>
      </c>
      <c r="J13" s="58">
        <v>0</v>
      </c>
      <c r="K13" s="58">
        <v>0</v>
      </c>
      <c r="L13" s="58">
        <v>0</v>
      </c>
      <c r="M13" s="58">
        <v>0</v>
      </c>
      <c r="N13" s="76">
        <v>0</v>
      </c>
      <c r="O13" s="76">
        <v>0</v>
      </c>
      <c r="P13" s="76">
        <v>0</v>
      </c>
      <c r="Q13" s="76">
        <v>0</v>
      </c>
      <c r="R13" s="76">
        <v>0</v>
      </c>
      <c r="S13" s="58">
        <v>0</v>
      </c>
    </row>
    <row r="14" spans="1:19" x14ac:dyDescent="0.2">
      <c r="A14" s="8"/>
      <c r="B14" s="2" t="s">
        <v>30</v>
      </c>
      <c r="C14" s="10">
        <v>154</v>
      </c>
      <c r="D14" s="10"/>
      <c r="E14" s="627" t="s">
        <v>11</v>
      </c>
      <c r="G14" s="57" t="s">
        <v>31</v>
      </c>
      <c r="H14" s="58">
        <v>0</v>
      </c>
      <c r="I14" s="58">
        <v>0</v>
      </c>
      <c r="J14" s="58">
        <v>0</v>
      </c>
      <c r="K14" s="58">
        <v>0</v>
      </c>
      <c r="L14" s="58">
        <v>0</v>
      </c>
      <c r="M14" s="58">
        <v>0</v>
      </c>
      <c r="N14" s="76">
        <v>0</v>
      </c>
      <c r="O14" s="76">
        <v>0</v>
      </c>
      <c r="P14" s="76">
        <v>0</v>
      </c>
      <c r="Q14" s="76">
        <v>0</v>
      </c>
      <c r="R14" s="76">
        <v>0</v>
      </c>
      <c r="S14" s="58">
        <v>0</v>
      </c>
    </row>
    <row r="15" spans="1:19" x14ac:dyDescent="0.2">
      <c r="A15" s="8"/>
      <c r="B15" s="2" t="s">
        <v>32</v>
      </c>
      <c r="C15" s="10" t="s">
        <v>33</v>
      </c>
      <c r="D15" s="10"/>
      <c r="E15" s="627" t="s">
        <v>11</v>
      </c>
      <c r="G15" s="57" t="s">
        <v>34</v>
      </c>
      <c r="H15" s="58">
        <v>249.309</v>
      </c>
      <c r="I15" s="58">
        <v>297.26</v>
      </c>
      <c r="J15" s="58">
        <v>277.63</v>
      </c>
      <c r="K15" s="58">
        <v>260.91500000000002</v>
      </c>
      <c r="L15" s="58">
        <v>308.185</v>
      </c>
      <c r="M15" s="58">
        <v>299.774</v>
      </c>
      <c r="N15" s="76">
        <v>338</v>
      </c>
      <c r="O15" s="76">
        <v>376</v>
      </c>
      <c r="P15" s="76">
        <v>407</v>
      </c>
      <c r="Q15" s="76">
        <v>430</v>
      </c>
      <c r="R15" s="76">
        <v>453</v>
      </c>
      <c r="S15" s="58">
        <v>476</v>
      </c>
    </row>
    <row r="16" spans="1:19" x14ac:dyDescent="0.2">
      <c r="A16" s="8"/>
      <c r="B16" s="2" t="s">
        <v>35</v>
      </c>
      <c r="C16" s="10">
        <v>157</v>
      </c>
      <c r="D16" s="10"/>
      <c r="E16" s="627" t="s">
        <v>11</v>
      </c>
      <c r="G16" s="57" t="s">
        <v>36</v>
      </c>
      <c r="H16" s="58">
        <v>0</v>
      </c>
      <c r="I16" s="58">
        <v>0</v>
      </c>
      <c r="J16" s="58">
        <v>0</v>
      </c>
      <c r="K16" s="58">
        <v>0</v>
      </c>
      <c r="L16" s="58">
        <v>0</v>
      </c>
      <c r="M16" s="58">
        <v>0</v>
      </c>
      <c r="N16" s="76">
        <v>0</v>
      </c>
      <c r="O16" s="76">
        <v>0</v>
      </c>
      <c r="P16" s="76">
        <v>0</v>
      </c>
      <c r="Q16" s="76">
        <v>0</v>
      </c>
      <c r="R16" s="76">
        <v>0</v>
      </c>
      <c r="S16" s="58">
        <v>0</v>
      </c>
    </row>
    <row r="17" spans="1:19" x14ac:dyDescent="0.2">
      <c r="A17" s="15"/>
      <c r="B17" s="2" t="s">
        <v>37</v>
      </c>
      <c r="C17" s="78" t="s">
        <v>38</v>
      </c>
      <c r="D17" s="15"/>
      <c r="E17" s="627" t="s">
        <v>11</v>
      </c>
      <c r="F17" s="16"/>
      <c r="G17" s="59" t="s">
        <v>39</v>
      </c>
      <c r="H17" s="60">
        <v>0</v>
      </c>
      <c r="I17" s="60">
        <v>0</v>
      </c>
      <c r="J17" s="60">
        <v>0</v>
      </c>
      <c r="K17" s="60">
        <v>0</v>
      </c>
      <c r="L17" s="60">
        <v>0</v>
      </c>
      <c r="M17" s="60">
        <v>0</v>
      </c>
      <c r="N17" s="80">
        <v>0</v>
      </c>
      <c r="O17" s="80">
        <v>0</v>
      </c>
      <c r="P17" s="80">
        <v>0</v>
      </c>
      <c r="Q17" s="80">
        <v>0</v>
      </c>
      <c r="R17" s="80">
        <v>0</v>
      </c>
      <c r="S17" s="60">
        <v>0</v>
      </c>
    </row>
    <row r="18" spans="1:19" x14ac:dyDescent="0.2">
      <c r="A18" s="8"/>
      <c r="B18" s="2" t="s">
        <v>40</v>
      </c>
      <c r="C18" s="10">
        <v>2</v>
      </c>
      <c r="D18" s="10"/>
      <c r="E18" s="12"/>
      <c r="G18" s="57" t="s">
        <v>41</v>
      </c>
      <c r="H18" s="56">
        <f t="shared" ref="H18:S18" si="3">H19+H27</f>
        <v>276.66699999999992</v>
      </c>
      <c r="I18" s="56">
        <f t="shared" si="3"/>
        <v>308.54999999999984</v>
      </c>
      <c r="J18" s="56">
        <f t="shared" si="3"/>
        <v>332.51900000000001</v>
      </c>
      <c r="K18" s="56">
        <f t="shared" si="3"/>
        <v>522.80899999999997</v>
      </c>
      <c r="L18" s="56">
        <f t="shared" si="3"/>
        <v>717.98700000000008</v>
      </c>
      <c r="M18" s="56">
        <f t="shared" si="3"/>
        <v>802.87599999999998</v>
      </c>
      <c r="N18" s="77">
        <f t="shared" si="3"/>
        <v>960</v>
      </c>
      <c r="O18" s="77">
        <f t="shared" si="3"/>
        <v>907</v>
      </c>
      <c r="P18" s="77">
        <f t="shared" si="3"/>
        <v>843</v>
      </c>
      <c r="Q18" s="77">
        <f t="shared" si="3"/>
        <v>870</v>
      </c>
      <c r="R18" s="77">
        <f t="shared" si="3"/>
        <v>875</v>
      </c>
      <c r="S18" s="56">
        <f t="shared" si="3"/>
        <v>916</v>
      </c>
    </row>
    <row r="19" spans="1:19" x14ac:dyDescent="0.2">
      <c r="A19" s="8"/>
      <c r="B19" s="2" t="s">
        <v>42</v>
      </c>
      <c r="C19" s="10" t="s">
        <v>43</v>
      </c>
      <c r="D19" s="10"/>
      <c r="E19" s="12"/>
      <c r="G19" s="57" t="s">
        <v>44</v>
      </c>
      <c r="H19" s="56">
        <f t="shared" ref="H19:S19" si="4">SUM(H21:H26)</f>
        <v>238.65299999999999</v>
      </c>
      <c r="I19" s="56">
        <f t="shared" si="4"/>
        <v>230.101</v>
      </c>
      <c r="J19" s="56">
        <f t="shared" si="4"/>
        <v>186.077</v>
      </c>
      <c r="K19" s="56">
        <f t="shared" si="4"/>
        <v>241.405</v>
      </c>
      <c r="L19" s="56">
        <f t="shared" si="4"/>
        <v>267.96899999999999</v>
      </c>
      <c r="M19" s="56">
        <f t="shared" si="4"/>
        <v>289.23700000000002</v>
      </c>
      <c r="N19" s="77">
        <f t="shared" si="4"/>
        <v>376</v>
      </c>
      <c r="O19" s="77">
        <f t="shared" si="4"/>
        <v>320</v>
      </c>
      <c r="P19" s="77">
        <f t="shared" si="4"/>
        <v>242</v>
      </c>
      <c r="Q19" s="77">
        <f t="shared" si="4"/>
        <v>263</v>
      </c>
      <c r="R19" s="77">
        <f t="shared" si="4"/>
        <v>257</v>
      </c>
      <c r="S19" s="56">
        <f t="shared" si="4"/>
        <v>288</v>
      </c>
    </row>
    <row r="20" spans="1:19" x14ac:dyDescent="0.2">
      <c r="A20" s="17"/>
      <c r="B20" s="2" t="s">
        <v>45</v>
      </c>
      <c r="C20" s="78" t="s">
        <v>46</v>
      </c>
      <c r="D20" s="15"/>
      <c r="E20" s="627" t="s">
        <v>11</v>
      </c>
      <c r="F20" s="17"/>
      <c r="G20" s="59" t="s">
        <v>47</v>
      </c>
      <c r="H20" s="61">
        <v>238.65299999999999</v>
      </c>
      <c r="I20" s="61">
        <v>230.101</v>
      </c>
      <c r="J20" s="61">
        <v>186.077</v>
      </c>
      <c r="K20" s="61">
        <v>241.405</v>
      </c>
      <c r="L20" s="61">
        <v>267.96899999999999</v>
      </c>
      <c r="M20" s="61">
        <v>289.23700000000002</v>
      </c>
      <c r="N20" s="82">
        <f t="shared" ref="N20:S20" si="5">+N21</f>
        <v>376</v>
      </c>
      <c r="O20" s="82">
        <f t="shared" si="5"/>
        <v>320</v>
      </c>
      <c r="P20" s="82">
        <f t="shared" si="5"/>
        <v>242</v>
      </c>
      <c r="Q20" s="82">
        <f t="shared" si="5"/>
        <v>263</v>
      </c>
      <c r="R20" s="82">
        <f t="shared" si="5"/>
        <v>257</v>
      </c>
      <c r="S20" s="82">
        <f t="shared" si="5"/>
        <v>288</v>
      </c>
    </row>
    <row r="21" spans="1:19" x14ac:dyDescent="0.2">
      <c r="A21" s="8"/>
      <c r="B21" s="2" t="s">
        <v>48</v>
      </c>
      <c r="C21" s="18" t="s">
        <v>49</v>
      </c>
      <c r="D21" s="18"/>
      <c r="E21" s="627" t="s">
        <v>11</v>
      </c>
      <c r="G21" s="57" t="s">
        <v>50</v>
      </c>
      <c r="H21" s="58">
        <v>238.65299999999999</v>
      </c>
      <c r="I21" s="58">
        <v>230.101</v>
      </c>
      <c r="J21" s="58">
        <v>186.077</v>
      </c>
      <c r="K21" s="58">
        <v>241.405</v>
      </c>
      <c r="L21" s="58">
        <v>267.96899999999999</v>
      </c>
      <c r="M21" s="58">
        <v>289.23700000000002</v>
      </c>
      <c r="N21" s="76">
        <v>376</v>
      </c>
      <c r="O21" s="76">
        <v>320</v>
      </c>
      <c r="P21" s="76">
        <v>242</v>
      </c>
      <c r="Q21" s="76">
        <v>263</v>
      </c>
      <c r="R21" s="76">
        <v>257</v>
      </c>
      <c r="S21" s="58">
        <v>288</v>
      </c>
    </row>
    <row r="22" spans="1:19" x14ac:dyDescent="0.2">
      <c r="A22" s="8"/>
      <c r="B22" s="2" t="s">
        <v>51</v>
      </c>
      <c r="C22" s="10" t="s">
        <v>52</v>
      </c>
      <c r="D22" s="10"/>
      <c r="E22" s="627" t="s">
        <v>11</v>
      </c>
      <c r="G22" s="57" t="s">
        <v>53</v>
      </c>
      <c r="H22" s="58">
        <v>0</v>
      </c>
      <c r="I22" s="58">
        <v>0</v>
      </c>
      <c r="J22" s="58">
        <v>0</v>
      </c>
      <c r="K22" s="58">
        <v>0</v>
      </c>
      <c r="L22" s="58">
        <v>0</v>
      </c>
      <c r="M22" s="58">
        <v>0</v>
      </c>
      <c r="N22" s="76">
        <v>0</v>
      </c>
      <c r="O22" s="76">
        <v>0</v>
      </c>
      <c r="P22" s="76">
        <v>0</v>
      </c>
      <c r="Q22" s="76">
        <v>0</v>
      </c>
      <c r="R22" s="76">
        <v>0</v>
      </c>
      <c r="S22" s="58">
        <v>0</v>
      </c>
    </row>
    <row r="23" spans="1:19" x14ac:dyDescent="0.2">
      <c r="A23" s="8"/>
      <c r="B23" s="2" t="s">
        <v>54</v>
      </c>
      <c r="C23" s="10">
        <v>257</v>
      </c>
      <c r="D23" s="10"/>
      <c r="E23" s="627" t="s">
        <v>11</v>
      </c>
      <c r="G23" s="57" t="s">
        <v>55</v>
      </c>
      <c r="H23" s="58">
        <v>0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76">
        <v>0</v>
      </c>
      <c r="O23" s="76">
        <v>0</v>
      </c>
      <c r="P23" s="76">
        <v>0</v>
      </c>
      <c r="Q23" s="76">
        <v>0</v>
      </c>
      <c r="R23" s="76">
        <v>0</v>
      </c>
      <c r="S23" s="58">
        <v>0</v>
      </c>
    </row>
    <row r="24" spans="1:19" x14ac:dyDescent="0.2">
      <c r="A24" s="19"/>
      <c r="B24" s="2" t="s">
        <v>56</v>
      </c>
      <c r="C24" s="10" t="s">
        <v>57</v>
      </c>
      <c r="D24" s="10"/>
      <c r="E24" s="627" t="s">
        <v>11</v>
      </c>
      <c r="F24" s="19"/>
      <c r="G24" s="57" t="s">
        <v>58</v>
      </c>
      <c r="H24" s="58">
        <v>0</v>
      </c>
      <c r="I24" s="58">
        <v>0</v>
      </c>
      <c r="J24" s="58">
        <v>0</v>
      </c>
      <c r="K24" s="58">
        <v>0</v>
      </c>
      <c r="L24" s="58">
        <v>0</v>
      </c>
      <c r="M24" s="58">
        <v>0</v>
      </c>
      <c r="N24" s="76">
        <v>0</v>
      </c>
      <c r="O24" s="76">
        <v>0</v>
      </c>
      <c r="P24" s="76">
        <v>0</v>
      </c>
      <c r="Q24" s="76">
        <v>0</v>
      </c>
      <c r="R24" s="76">
        <v>0</v>
      </c>
      <c r="S24" s="58">
        <v>0</v>
      </c>
    </row>
    <row r="25" spans="1:19" x14ac:dyDescent="0.2">
      <c r="A25" s="19"/>
      <c r="B25" s="2" t="s">
        <v>59</v>
      </c>
      <c r="C25" s="10" t="s">
        <v>60</v>
      </c>
      <c r="D25" s="10"/>
      <c r="E25" s="627" t="s">
        <v>11</v>
      </c>
      <c r="F25" s="19"/>
      <c r="G25" s="57" t="s">
        <v>61</v>
      </c>
      <c r="H25" s="58">
        <v>0</v>
      </c>
      <c r="I25" s="58">
        <v>0</v>
      </c>
      <c r="J25" s="58">
        <v>0</v>
      </c>
      <c r="K25" s="58">
        <v>0</v>
      </c>
      <c r="L25" s="58">
        <v>0</v>
      </c>
      <c r="M25" s="58">
        <v>0</v>
      </c>
      <c r="N25" s="76">
        <v>0</v>
      </c>
      <c r="O25" s="76">
        <v>0</v>
      </c>
      <c r="P25" s="76">
        <v>0</v>
      </c>
      <c r="Q25" s="76">
        <v>0</v>
      </c>
      <c r="R25" s="76">
        <v>0</v>
      </c>
      <c r="S25" s="58">
        <v>0</v>
      </c>
    </row>
    <row r="26" spans="1:19" x14ac:dyDescent="0.2">
      <c r="A26" s="8"/>
      <c r="B26" s="2" t="s">
        <v>62</v>
      </c>
      <c r="C26" s="10">
        <v>28</v>
      </c>
      <c r="D26" s="10"/>
      <c r="E26" s="627" t="s">
        <v>11</v>
      </c>
      <c r="G26" s="57" t="s">
        <v>63</v>
      </c>
      <c r="H26" s="58">
        <v>0</v>
      </c>
      <c r="I26" s="58">
        <v>0</v>
      </c>
      <c r="J26" s="58">
        <v>0</v>
      </c>
      <c r="K26" s="58">
        <v>0</v>
      </c>
      <c r="L26" s="58">
        <v>0</v>
      </c>
      <c r="M26" s="58">
        <v>0</v>
      </c>
      <c r="N26" s="76">
        <v>0</v>
      </c>
      <c r="O26" s="76">
        <v>0</v>
      </c>
      <c r="P26" s="76">
        <v>0</v>
      </c>
      <c r="Q26" s="76">
        <v>0</v>
      </c>
      <c r="R26" s="76">
        <v>0</v>
      </c>
      <c r="S26" s="58">
        <v>0</v>
      </c>
    </row>
    <row r="27" spans="1:19" x14ac:dyDescent="0.2">
      <c r="A27" s="8"/>
      <c r="B27" s="2" t="s">
        <v>64</v>
      </c>
      <c r="C27" s="10">
        <v>29</v>
      </c>
      <c r="D27" s="10"/>
      <c r="E27" s="12"/>
      <c r="G27" s="57" t="s">
        <v>65</v>
      </c>
      <c r="H27" s="56">
        <f t="shared" ref="H27:S27" si="6">SUM(H28:H30)</f>
        <v>38.013999999999896</v>
      </c>
      <c r="I27" s="56">
        <f t="shared" si="6"/>
        <v>78.448999999999842</v>
      </c>
      <c r="J27" s="56">
        <f t="shared" si="6"/>
        <v>146.44200000000001</v>
      </c>
      <c r="K27" s="56">
        <f t="shared" si="6"/>
        <v>281.404</v>
      </c>
      <c r="L27" s="56">
        <f t="shared" si="6"/>
        <v>450.01800000000003</v>
      </c>
      <c r="M27" s="56">
        <f t="shared" si="6"/>
        <v>513.63900000000001</v>
      </c>
      <c r="N27" s="77">
        <f t="shared" si="6"/>
        <v>584</v>
      </c>
      <c r="O27" s="77">
        <f t="shared" si="6"/>
        <v>587</v>
      </c>
      <c r="P27" s="77">
        <f t="shared" si="6"/>
        <v>601</v>
      </c>
      <c r="Q27" s="77">
        <f t="shared" si="6"/>
        <v>607</v>
      </c>
      <c r="R27" s="77">
        <f t="shared" si="6"/>
        <v>618</v>
      </c>
      <c r="S27" s="56">
        <f t="shared" si="6"/>
        <v>628</v>
      </c>
    </row>
    <row r="28" spans="1:19" x14ac:dyDescent="0.2">
      <c r="A28" s="8"/>
      <c r="B28" s="2" t="s">
        <v>66</v>
      </c>
      <c r="C28" s="8" t="s">
        <v>67</v>
      </c>
      <c r="D28" s="8"/>
      <c r="E28" s="627" t="s">
        <v>11</v>
      </c>
      <c r="G28" s="57" t="s">
        <v>68</v>
      </c>
      <c r="H28" s="58">
        <v>38.014000000000003</v>
      </c>
      <c r="I28" s="58">
        <v>78.448999999999998</v>
      </c>
      <c r="J28" s="58">
        <v>146.44200000000001</v>
      </c>
      <c r="K28" s="58">
        <v>285.86099999999999</v>
      </c>
      <c r="L28" s="58">
        <v>285.86099999999999</v>
      </c>
      <c r="M28" s="58">
        <v>285.86099999999999</v>
      </c>
      <c r="N28" s="76">
        <v>286</v>
      </c>
      <c r="O28" s="76">
        <v>286</v>
      </c>
      <c r="P28" s="76">
        <v>286</v>
      </c>
      <c r="Q28" s="76">
        <v>286</v>
      </c>
      <c r="R28" s="76">
        <v>286</v>
      </c>
      <c r="S28" s="76">
        <v>286</v>
      </c>
    </row>
    <row r="29" spans="1:19" x14ac:dyDescent="0.2">
      <c r="A29" s="8"/>
      <c r="B29" s="2" t="s">
        <v>69</v>
      </c>
      <c r="C29" s="10">
        <v>298</v>
      </c>
      <c r="D29" s="10"/>
      <c r="E29" s="627" t="s">
        <v>11</v>
      </c>
      <c r="G29" s="57" t="s">
        <v>70</v>
      </c>
      <c r="H29" s="58">
        <v>2001.0050000000001</v>
      </c>
      <c r="I29" s="58">
        <v>2022.162</v>
      </c>
      <c r="J29" s="58">
        <v>2178.558</v>
      </c>
      <c r="K29" s="58">
        <v>-53.106000000000002</v>
      </c>
      <c r="L29" s="58">
        <v>-4.4569999999999999</v>
      </c>
      <c r="M29" s="58">
        <v>164.15799999999999</v>
      </c>
      <c r="N29" s="76">
        <v>228</v>
      </c>
      <c r="O29" s="76">
        <f>+N29+N30</f>
        <v>298</v>
      </c>
      <c r="P29" s="76">
        <f>+O29+O30</f>
        <v>301</v>
      </c>
      <c r="Q29" s="76">
        <f>+P29+P30</f>
        <v>315</v>
      </c>
      <c r="R29" s="76">
        <f>+Q29+Q30</f>
        <v>321</v>
      </c>
      <c r="S29" s="58">
        <f>+R29+R30</f>
        <v>332</v>
      </c>
    </row>
    <row r="30" spans="1:19" x14ac:dyDescent="0.2">
      <c r="A30" s="8"/>
      <c r="B30" s="2" t="s">
        <v>71</v>
      </c>
      <c r="C30" s="10">
        <v>299</v>
      </c>
      <c r="D30" s="10"/>
      <c r="E30" s="627" t="s">
        <v>583</v>
      </c>
      <c r="G30" s="57" t="s">
        <v>73</v>
      </c>
      <c r="H30" s="58">
        <v>-2001.0050000000001</v>
      </c>
      <c r="I30" s="58">
        <v>-2022.162</v>
      </c>
      <c r="J30" s="58">
        <v>-2178.558</v>
      </c>
      <c r="K30" s="58">
        <v>48.649000000000001</v>
      </c>
      <c r="L30" s="58">
        <v>168.614</v>
      </c>
      <c r="M30" s="58">
        <v>63.62</v>
      </c>
      <c r="N30" s="76">
        <v>70</v>
      </c>
      <c r="O30" s="76">
        <f>+O51</f>
        <v>3</v>
      </c>
      <c r="P30" s="76">
        <f>+P46</f>
        <v>14</v>
      </c>
      <c r="Q30" s="76">
        <f>+Q51</f>
        <v>6</v>
      </c>
      <c r="R30" s="76">
        <f>+R51</f>
        <v>11</v>
      </c>
      <c r="S30" s="76">
        <f>+S51</f>
        <v>10</v>
      </c>
    </row>
    <row r="31" spans="1:19" x14ac:dyDescent="0.2">
      <c r="A31" s="20"/>
      <c r="B31" s="2" t="s">
        <v>368</v>
      </c>
      <c r="C31" s="83" t="s">
        <v>369</v>
      </c>
      <c r="D31" s="21"/>
      <c r="E31" s="22"/>
      <c r="F31" s="20"/>
      <c r="G31" s="62" t="s">
        <v>74</v>
      </c>
      <c r="H31" s="63">
        <f t="shared" ref="H31:S31" si="7">H4-H18</f>
        <v>0</v>
      </c>
      <c r="I31" s="63">
        <f t="shared" si="7"/>
        <v>0</v>
      </c>
      <c r="J31" s="63">
        <f t="shared" si="7"/>
        <v>9.9999999997635314E-4</v>
      </c>
      <c r="K31" s="63">
        <f t="shared" si="7"/>
        <v>9.9999999997635314E-4</v>
      </c>
      <c r="L31" s="63">
        <f t="shared" si="7"/>
        <v>9.9999999997635314E-4</v>
      </c>
      <c r="M31" s="63">
        <f t="shared" si="7"/>
        <v>-9.9999999997635314E-4</v>
      </c>
      <c r="N31" s="85">
        <f t="shared" si="7"/>
        <v>0</v>
      </c>
      <c r="O31" s="85">
        <f t="shared" si="7"/>
        <v>0</v>
      </c>
      <c r="P31" s="85">
        <f t="shared" si="7"/>
        <v>0</v>
      </c>
      <c r="Q31" s="85">
        <f t="shared" si="7"/>
        <v>0</v>
      </c>
      <c r="R31" s="85">
        <f t="shared" si="7"/>
        <v>0</v>
      </c>
      <c r="S31" s="63">
        <f t="shared" si="7"/>
        <v>0</v>
      </c>
    </row>
    <row r="32" spans="1:19" x14ac:dyDescent="0.2">
      <c r="A32" s="8"/>
      <c r="B32" s="2"/>
      <c r="C32" s="10"/>
      <c r="D32" s="10"/>
      <c r="E32" s="9"/>
      <c r="G32" s="53" t="s">
        <v>75</v>
      </c>
      <c r="H32" s="64">
        <v>2011</v>
      </c>
      <c r="I32" s="64">
        <f t="shared" ref="I32:S32" si="8">H32+1</f>
        <v>2012</v>
      </c>
      <c r="J32" s="64">
        <f t="shared" si="8"/>
        <v>2013</v>
      </c>
      <c r="K32" s="64">
        <f t="shared" si="8"/>
        <v>2014</v>
      </c>
      <c r="L32" s="64">
        <f t="shared" si="8"/>
        <v>2015</v>
      </c>
      <c r="M32" s="64">
        <f t="shared" si="8"/>
        <v>2016</v>
      </c>
      <c r="N32" s="87">
        <f t="shared" si="8"/>
        <v>2017</v>
      </c>
      <c r="O32" s="87">
        <f t="shared" si="8"/>
        <v>2018</v>
      </c>
      <c r="P32" s="87">
        <f t="shared" si="8"/>
        <v>2019</v>
      </c>
      <c r="Q32" s="87">
        <f t="shared" si="8"/>
        <v>2020</v>
      </c>
      <c r="R32" s="87">
        <f t="shared" si="8"/>
        <v>2021</v>
      </c>
      <c r="S32" s="64">
        <f t="shared" si="8"/>
        <v>2022</v>
      </c>
    </row>
    <row r="33" spans="1:19" x14ac:dyDescent="0.2">
      <c r="A33" s="8"/>
      <c r="B33" s="2" t="s">
        <v>76</v>
      </c>
      <c r="C33" s="10">
        <v>3</v>
      </c>
      <c r="D33" s="10"/>
      <c r="E33" s="9"/>
      <c r="G33" s="55" t="s">
        <v>77</v>
      </c>
      <c r="H33" s="56">
        <f t="shared" ref="H33:S33" si="9">SUM(H34:H37)</f>
        <v>152.90799999999999</v>
      </c>
      <c r="I33" s="56">
        <f t="shared" si="9"/>
        <v>275.79899999999998</v>
      </c>
      <c r="J33" s="56">
        <f t="shared" si="9"/>
        <v>411.90999999999997</v>
      </c>
      <c r="K33" s="56">
        <f t="shared" si="9"/>
        <v>2403.567</v>
      </c>
      <c r="L33" s="56">
        <f t="shared" si="9"/>
        <v>2997.1560000000004</v>
      </c>
      <c r="M33" s="56">
        <f t="shared" si="9"/>
        <v>3091.9859999999999</v>
      </c>
      <c r="N33" s="77">
        <f t="shared" si="9"/>
        <v>3063</v>
      </c>
      <c r="O33" s="77">
        <f t="shared" si="9"/>
        <v>3266</v>
      </c>
      <c r="P33" s="77">
        <f t="shared" si="9"/>
        <v>3170</v>
      </c>
      <c r="Q33" s="77">
        <f t="shared" si="9"/>
        <v>3185</v>
      </c>
      <c r="R33" s="77">
        <f t="shared" si="9"/>
        <v>3170</v>
      </c>
      <c r="S33" s="56">
        <f t="shared" si="9"/>
        <v>3360</v>
      </c>
    </row>
    <row r="34" spans="1:19" x14ac:dyDescent="0.2">
      <c r="A34" s="8"/>
      <c r="B34" s="2" t="s">
        <v>78</v>
      </c>
      <c r="C34" s="10">
        <v>30</v>
      </c>
      <c r="D34" s="10"/>
      <c r="E34" s="627" t="s">
        <v>11</v>
      </c>
      <c r="G34" s="57" t="s">
        <v>79</v>
      </c>
      <c r="H34" s="58">
        <v>0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76">
        <v>0</v>
      </c>
      <c r="O34" s="76">
        <v>0</v>
      </c>
      <c r="P34" s="76">
        <v>0</v>
      </c>
      <c r="Q34" s="76">
        <v>0</v>
      </c>
      <c r="R34" s="76">
        <v>0</v>
      </c>
      <c r="S34" s="58">
        <v>0</v>
      </c>
    </row>
    <row r="35" spans="1:19" x14ac:dyDescent="0.2">
      <c r="A35" s="8"/>
      <c r="B35" s="2" t="s">
        <v>80</v>
      </c>
      <c r="C35" s="10">
        <v>32</v>
      </c>
      <c r="D35" s="10"/>
      <c r="E35" s="627" t="s">
        <v>11</v>
      </c>
      <c r="G35" s="57" t="s">
        <v>81</v>
      </c>
      <c r="H35" s="58">
        <v>142.61199999999999</v>
      </c>
      <c r="I35" s="58">
        <v>257.29899999999998</v>
      </c>
      <c r="J35" s="58">
        <v>388.51</v>
      </c>
      <c r="K35" s="58">
        <v>266.80599999999998</v>
      </c>
      <c r="L35" s="58">
        <v>347.01799999999997</v>
      </c>
      <c r="M35" s="58">
        <v>442.983</v>
      </c>
      <c r="N35" s="76">
        <v>355</v>
      </c>
      <c r="O35" s="76">
        <v>330</v>
      </c>
      <c r="P35" s="76">
        <v>330</v>
      </c>
      <c r="Q35" s="76">
        <v>345</v>
      </c>
      <c r="R35" s="76">
        <v>330</v>
      </c>
      <c r="S35" s="58">
        <v>360</v>
      </c>
    </row>
    <row r="36" spans="1:19" x14ac:dyDescent="0.2">
      <c r="A36" s="13"/>
      <c r="B36" s="2" t="s">
        <v>82</v>
      </c>
      <c r="C36" s="10">
        <v>35</v>
      </c>
      <c r="D36" s="10"/>
      <c r="E36" s="627" t="s">
        <v>11</v>
      </c>
      <c r="F36" s="13"/>
      <c r="G36" s="57" t="s">
        <v>83</v>
      </c>
      <c r="H36" s="58">
        <v>10.295999999999999</v>
      </c>
      <c r="I36" s="58">
        <v>18.5</v>
      </c>
      <c r="J36" s="58">
        <v>23.4</v>
      </c>
      <c r="K36" s="58">
        <v>2136.761</v>
      </c>
      <c r="L36" s="58">
        <v>2640.3470000000002</v>
      </c>
      <c r="M36" s="58">
        <v>2648.8429999999998</v>
      </c>
      <c r="N36" s="76">
        <v>2708</v>
      </c>
      <c r="O36" s="76">
        <v>2936</v>
      </c>
      <c r="P36" s="76">
        <v>2840</v>
      </c>
      <c r="Q36" s="76">
        <v>2840</v>
      </c>
      <c r="R36" s="76">
        <v>2840</v>
      </c>
      <c r="S36" s="76">
        <v>3000</v>
      </c>
    </row>
    <row r="37" spans="1:19" x14ac:dyDescent="0.2">
      <c r="A37" s="8"/>
      <c r="B37" s="2" t="s">
        <v>84</v>
      </c>
      <c r="C37" s="10">
        <v>38</v>
      </c>
      <c r="D37" s="10"/>
      <c r="E37" s="627" t="s">
        <v>583</v>
      </c>
      <c r="G37" s="57" t="s">
        <v>85</v>
      </c>
      <c r="H37" s="58">
        <v>0</v>
      </c>
      <c r="I37" s="58">
        <v>0</v>
      </c>
      <c r="J37" s="58">
        <v>0</v>
      </c>
      <c r="K37" s="58">
        <v>0</v>
      </c>
      <c r="L37" s="58">
        <v>9.7910000000000004</v>
      </c>
      <c r="M37" s="58">
        <v>0.16</v>
      </c>
      <c r="N37" s="76">
        <v>0</v>
      </c>
      <c r="O37" s="76">
        <v>0</v>
      </c>
      <c r="P37" s="76">
        <v>0</v>
      </c>
      <c r="Q37" s="76">
        <v>0</v>
      </c>
      <c r="R37" s="76">
        <v>0</v>
      </c>
      <c r="S37" s="58">
        <v>0</v>
      </c>
    </row>
    <row r="38" spans="1:19" x14ac:dyDescent="0.2">
      <c r="A38" s="8"/>
      <c r="B38" s="2" t="s">
        <v>86</v>
      </c>
      <c r="C38" s="10">
        <v>4</v>
      </c>
      <c r="D38" s="10"/>
      <c r="E38" s="23"/>
      <c r="G38" s="57" t="s">
        <v>87</v>
      </c>
      <c r="H38" s="56">
        <f t="shared" ref="H38:S38" si="10">H39+H40</f>
        <v>-0.128</v>
      </c>
      <c r="I38" s="56">
        <f t="shared" si="10"/>
        <v>-0.128</v>
      </c>
      <c r="J38" s="56">
        <f t="shared" si="10"/>
        <v>-0.128</v>
      </c>
      <c r="K38" s="56">
        <f t="shared" si="10"/>
        <v>0</v>
      </c>
      <c r="L38" s="56">
        <f t="shared" si="10"/>
        <v>0</v>
      </c>
      <c r="M38" s="56">
        <f t="shared" si="10"/>
        <v>0</v>
      </c>
      <c r="N38" s="77">
        <f t="shared" si="10"/>
        <v>0</v>
      </c>
      <c r="O38" s="77">
        <f t="shared" si="10"/>
        <v>0</v>
      </c>
      <c r="P38" s="77">
        <f t="shared" si="10"/>
        <v>0</v>
      </c>
      <c r="Q38" s="77">
        <f t="shared" si="10"/>
        <v>0</v>
      </c>
      <c r="R38" s="77">
        <f t="shared" si="10"/>
        <v>0</v>
      </c>
      <c r="S38" s="56">
        <f t="shared" si="10"/>
        <v>0</v>
      </c>
    </row>
    <row r="39" spans="1:19" x14ac:dyDescent="0.2">
      <c r="A39" s="8"/>
      <c r="B39" s="2" t="s">
        <v>88</v>
      </c>
      <c r="C39" s="10">
        <v>41</v>
      </c>
      <c r="D39" s="10"/>
      <c r="E39" s="627" t="s">
        <v>584</v>
      </c>
      <c r="G39" s="57" t="s">
        <v>90</v>
      </c>
      <c r="H39" s="58">
        <v>0</v>
      </c>
      <c r="I39" s="58">
        <v>0</v>
      </c>
      <c r="J39" s="58">
        <v>0</v>
      </c>
      <c r="K39" s="58">
        <v>0</v>
      </c>
      <c r="L39" s="58">
        <v>0</v>
      </c>
      <c r="M39" s="58">
        <v>0</v>
      </c>
      <c r="N39" s="76">
        <v>0</v>
      </c>
      <c r="O39" s="76">
        <v>0</v>
      </c>
      <c r="P39" s="76">
        <v>0</v>
      </c>
      <c r="Q39" s="76">
        <v>0</v>
      </c>
      <c r="R39" s="76">
        <v>0</v>
      </c>
      <c r="S39" s="58">
        <v>0</v>
      </c>
    </row>
    <row r="40" spans="1:19" x14ac:dyDescent="0.2">
      <c r="A40" s="8"/>
      <c r="B40" s="2" t="s">
        <v>91</v>
      </c>
      <c r="C40" s="10">
        <v>45</v>
      </c>
      <c r="D40" s="10"/>
      <c r="E40" s="627" t="s">
        <v>584</v>
      </c>
      <c r="G40" s="57" t="s">
        <v>92</v>
      </c>
      <c r="H40" s="58">
        <v>-0.128</v>
      </c>
      <c r="I40" s="58">
        <v>-0.128</v>
      </c>
      <c r="J40" s="58">
        <v>-0.128</v>
      </c>
      <c r="K40" s="58">
        <v>0</v>
      </c>
      <c r="L40" s="58">
        <v>0</v>
      </c>
      <c r="M40" s="58">
        <v>0</v>
      </c>
      <c r="N40" s="76">
        <v>0</v>
      </c>
      <c r="O40" s="76">
        <v>0</v>
      </c>
      <c r="P40" s="76">
        <v>0</v>
      </c>
      <c r="Q40" s="76">
        <v>0</v>
      </c>
      <c r="R40" s="76">
        <v>0</v>
      </c>
      <c r="S40" s="58">
        <v>0</v>
      </c>
    </row>
    <row r="41" spans="1:19" x14ac:dyDescent="0.2">
      <c r="A41" s="13"/>
      <c r="B41" s="2" t="s">
        <v>93</v>
      </c>
      <c r="C41" s="10" t="s">
        <v>94</v>
      </c>
      <c r="D41" s="10"/>
      <c r="E41" s="23"/>
      <c r="F41" s="13"/>
      <c r="G41" s="57" t="s">
        <v>95</v>
      </c>
      <c r="H41" s="56">
        <f t="shared" ref="H41:S41" si="11">SUM(H42:H45)</f>
        <v>-2153.7840000000006</v>
      </c>
      <c r="I41" s="56">
        <f t="shared" si="11"/>
        <v>-2297.8340000000003</v>
      </c>
      <c r="J41" s="56">
        <f t="shared" si="11"/>
        <v>-2590.3389999999999</v>
      </c>
      <c r="K41" s="56">
        <f t="shared" si="11"/>
        <v>-2354.9180000000001</v>
      </c>
      <c r="L41" s="56">
        <f t="shared" si="11"/>
        <v>-2830.55</v>
      </c>
      <c r="M41" s="56">
        <f t="shared" si="11"/>
        <v>-3030.0320000000002</v>
      </c>
      <c r="N41" s="77">
        <f t="shared" si="11"/>
        <v>-2993</v>
      </c>
      <c r="O41" s="77">
        <f t="shared" si="11"/>
        <v>-3263</v>
      </c>
      <c r="P41" s="77">
        <f t="shared" si="11"/>
        <v>-3156</v>
      </c>
      <c r="Q41" s="77">
        <f t="shared" si="11"/>
        <v>-3179</v>
      </c>
      <c r="R41" s="77">
        <f t="shared" si="11"/>
        <v>-3159</v>
      </c>
      <c r="S41" s="56">
        <f t="shared" si="11"/>
        <v>-3350</v>
      </c>
    </row>
    <row r="42" spans="1:19" x14ac:dyDescent="0.2">
      <c r="A42" s="8"/>
      <c r="B42" s="2" t="s">
        <v>96</v>
      </c>
      <c r="C42" s="10">
        <v>50</v>
      </c>
      <c r="D42" s="10"/>
      <c r="E42" s="627" t="s">
        <v>584</v>
      </c>
      <c r="G42" s="57" t="s">
        <v>97</v>
      </c>
      <c r="H42" s="58">
        <v>-1834.4590000000001</v>
      </c>
      <c r="I42" s="58">
        <v>-1842.1130000000001</v>
      </c>
      <c r="J42" s="58">
        <v>-1913.0740000000001</v>
      </c>
      <c r="K42" s="58">
        <v>-1849.4079999999999</v>
      </c>
      <c r="L42" s="58">
        <v>-2118.8009999999999</v>
      </c>
      <c r="M42" s="58">
        <v>-2161.67</v>
      </c>
      <c r="N42" s="76">
        <v>-2227</v>
      </c>
      <c r="O42" s="76">
        <v>-2334</v>
      </c>
      <c r="P42" s="76">
        <v>-2334</v>
      </c>
      <c r="Q42" s="76">
        <v>-2334</v>
      </c>
      <c r="R42" s="76">
        <v>-2334</v>
      </c>
      <c r="S42" s="76">
        <v>-2500</v>
      </c>
    </row>
    <row r="43" spans="1:19" x14ac:dyDescent="0.2">
      <c r="A43" s="8"/>
      <c r="B43" s="2" t="s">
        <v>98</v>
      </c>
      <c r="C43" s="10">
        <v>55</v>
      </c>
      <c r="D43" s="10"/>
      <c r="E43" s="627" t="s">
        <v>584</v>
      </c>
      <c r="G43" s="57" t="s">
        <v>99</v>
      </c>
      <c r="H43" s="58">
        <v>-286.03800000000001</v>
      </c>
      <c r="I43" s="58">
        <v>-422.65600000000001</v>
      </c>
      <c r="J43" s="58">
        <v>-645.58100000000002</v>
      </c>
      <c r="K43" s="58">
        <v>-481.45299999999997</v>
      </c>
      <c r="L43" s="58">
        <f>-682.874-11.748</f>
        <v>-694.62200000000007</v>
      </c>
      <c r="M43" s="58">
        <v>-825.93100000000004</v>
      </c>
      <c r="N43" s="76">
        <f>-753-1</f>
        <v>-754</v>
      </c>
      <c r="O43" s="76">
        <f>-4-903</f>
        <v>-907</v>
      </c>
      <c r="P43" s="76">
        <v>-800</v>
      </c>
      <c r="Q43" s="76">
        <v>-815</v>
      </c>
      <c r="R43" s="76">
        <v>-795</v>
      </c>
      <c r="S43" s="58">
        <v>-820</v>
      </c>
    </row>
    <row r="44" spans="1:19" x14ac:dyDescent="0.2">
      <c r="A44" s="13"/>
      <c r="B44" s="2" t="s">
        <v>100</v>
      </c>
      <c r="C44" s="10">
        <v>60</v>
      </c>
      <c r="D44" s="10"/>
      <c r="E44" s="627" t="s">
        <v>584</v>
      </c>
      <c r="F44" s="13"/>
      <c r="G44" s="57" t="s">
        <v>101</v>
      </c>
      <c r="H44" s="58">
        <v>-15.46</v>
      </c>
      <c r="I44" s="58">
        <v>-13.929</v>
      </c>
      <c r="J44" s="58">
        <v>-12.053000000000001</v>
      </c>
      <c r="K44" s="58">
        <v>-8.9139999999999997</v>
      </c>
      <c r="L44" s="58">
        <v>-0.80900000000000005</v>
      </c>
      <c r="M44" s="58">
        <v>-0.09</v>
      </c>
      <c r="N44" s="76">
        <v>0</v>
      </c>
      <c r="O44" s="76">
        <v>0</v>
      </c>
      <c r="P44" s="76">
        <v>0</v>
      </c>
      <c r="Q44" s="76">
        <v>0</v>
      </c>
      <c r="R44" s="76">
        <v>0</v>
      </c>
      <c r="S44" s="58">
        <v>0</v>
      </c>
    </row>
    <row r="45" spans="1:19" x14ac:dyDescent="0.2">
      <c r="A45" s="8"/>
      <c r="B45" s="2" t="s">
        <v>102</v>
      </c>
      <c r="C45" s="10">
        <v>61</v>
      </c>
      <c r="D45" s="10"/>
      <c r="E45" s="627" t="s">
        <v>584</v>
      </c>
      <c r="G45" s="57" t="s">
        <v>103</v>
      </c>
      <c r="H45" s="58">
        <v>-17.827000000000002</v>
      </c>
      <c r="I45" s="58">
        <v>-19.135999999999999</v>
      </c>
      <c r="J45" s="58">
        <v>-19.631</v>
      </c>
      <c r="K45" s="58">
        <v>-15.143000000000001</v>
      </c>
      <c r="L45" s="58">
        <v>-16.318000000000001</v>
      </c>
      <c r="M45" s="58">
        <v>-42.341000000000001</v>
      </c>
      <c r="N45" s="76">
        <v>-12</v>
      </c>
      <c r="O45" s="76">
        <v>-22</v>
      </c>
      <c r="P45" s="76">
        <v>-22</v>
      </c>
      <c r="Q45" s="76">
        <v>-30</v>
      </c>
      <c r="R45" s="76">
        <v>-30</v>
      </c>
      <c r="S45" s="58">
        <v>-30</v>
      </c>
    </row>
    <row r="46" spans="1:19" x14ac:dyDescent="0.2">
      <c r="A46" s="8"/>
      <c r="B46" s="2" t="s">
        <v>104</v>
      </c>
      <c r="C46" s="10"/>
      <c r="D46" s="10"/>
      <c r="E46" s="9"/>
      <c r="G46" s="57" t="s">
        <v>105</v>
      </c>
      <c r="H46" s="56">
        <f t="shared" ref="H46:S46" si="12">H33+H38+H41</f>
        <v>-2001.0040000000006</v>
      </c>
      <c r="I46" s="56">
        <f t="shared" si="12"/>
        <v>-2022.1630000000002</v>
      </c>
      <c r="J46" s="56">
        <f t="shared" si="12"/>
        <v>-2178.5569999999998</v>
      </c>
      <c r="K46" s="56">
        <f t="shared" si="12"/>
        <v>48.648999999999887</v>
      </c>
      <c r="L46" s="56">
        <f t="shared" si="12"/>
        <v>166.60600000000022</v>
      </c>
      <c r="M46" s="56">
        <f t="shared" si="12"/>
        <v>61.953999999999724</v>
      </c>
      <c r="N46" s="77">
        <f t="shared" si="12"/>
        <v>70</v>
      </c>
      <c r="O46" s="77">
        <f t="shared" si="12"/>
        <v>3</v>
      </c>
      <c r="P46" s="77">
        <f t="shared" si="12"/>
        <v>14</v>
      </c>
      <c r="Q46" s="77">
        <f t="shared" si="12"/>
        <v>6</v>
      </c>
      <c r="R46" s="77">
        <f t="shared" si="12"/>
        <v>11</v>
      </c>
      <c r="S46" s="56">
        <f t="shared" si="12"/>
        <v>10</v>
      </c>
    </row>
    <row r="47" spans="1:19" x14ac:dyDescent="0.2">
      <c r="A47" s="8"/>
      <c r="B47" s="2" t="s">
        <v>106</v>
      </c>
      <c r="C47" s="10">
        <v>65</v>
      </c>
      <c r="D47" s="10"/>
      <c r="E47" s="627" t="s">
        <v>583</v>
      </c>
      <c r="G47" s="57" t="s">
        <v>107</v>
      </c>
      <c r="H47" s="58">
        <v>0</v>
      </c>
      <c r="I47" s="58">
        <v>0</v>
      </c>
      <c r="J47" s="58">
        <v>-1E-3</v>
      </c>
      <c r="K47" s="58">
        <v>0</v>
      </c>
      <c r="L47" s="58">
        <v>2.0089999999999999</v>
      </c>
      <c r="M47" s="58">
        <v>1.665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</row>
    <row r="48" spans="1:19" x14ac:dyDescent="0.2">
      <c r="A48" s="8"/>
      <c r="B48" s="2" t="s">
        <v>108</v>
      </c>
      <c r="C48" s="10"/>
      <c r="D48" s="10"/>
      <c r="E48" s="9"/>
      <c r="G48" s="57" t="s">
        <v>109</v>
      </c>
      <c r="H48" s="56">
        <f t="shared" ref="H48:S48" si="13">H46+H47</f>
        <v>-2001.0040000000006</v>
      </c>
      <c r="I48" s="56">
        <f t="shared" si="13"/>
        <v>-2022.1630000000002</v>
      </c>
      <c r="J48" s="56">
        <f t="shared" si="13"/>
        <v>-2178.558</v>
      </c>
      <c r="K48" s="56">
        <f t="shared" si="13"/>
        <v>48.648999999999887</v>
      </c>
      <c r="L48" s="56">
        <f t="shared" si="13"/>
        <v>168.61500000000021</v>
      </c>
      <c r="M48" s="56">
        <f t="shared" si="13"/>
        <v>63.618999999999723</v>
      </c>
      <c r="N48" s="77">
        <f t="shared" si="13"/>
        <v>70</v>
      </c>
      <c r="O48" s="77">
        <f t="shared" si="13"/>
        <v>3</v>
      </c>
      <c r="P48" s="77">
        <f t="shared" si="13"/>
        <v>14</v>
      </c>
      <c r="Q48" s="77">
        <f t="shared" si="13"/>
        <v>6</v>
      </c>
      <c r="R48" s="77">
        <f t="shared" si="13"/>
        <v>11</v>
      </c>
      <c r="S48" s="56">
        <f t="shared" si="13"/>
        <v>10</v>
      </c>
    </row>
    <row r="49" spans="1:19" x14ac:dyDescent="0.2">
      <c r="A49" s="8"/>
      <c r="B49" s="2" t="s">
        <v>110</v>
      </c>
      <c r="C49" s="10">
        <v>68</v>
      </c>
      <c r="D49" s="10"/>
      <c r="E49" s="627" t="s">
        <v>584</v>
      </c>
      <c r="G49" s="57" t="s">
        <v>111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76">
        <v>0</v>
      </c>
      <c r="O49" s="76">
        <v>0</v>
      </c>
      <c r="P49" s="76">
        <v>0</v>
      </c>
      <c r="Q49" s="76">
        <v>0</v>
      </c>
      <c r="R49" s="76">
        <v>0</v>
      </c>
      <c r="S49" s="58">
        <v>0</v>
      </c>
    </row>
    <row r="50" spans="1:19" x14ac:dyDescent="0.2">
      <c r="A50" s="8"/>
      <c r="B50" s="2" t="s">
        <v>112</v>
      </c>
      <c r="C50" s="10">
        <v>69</v>
      </c>
      <c r="D50" s="10"/>
      <c r="E50" s="627" t="s">
        <v>11</v>
      </c>
      <c r="G50" s="57" t="s">
        <v>113</v>
      </c>
      <c r="H50" s="58">
        <v>0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76">
        <v>0</v>
      </c>
      <c r="O50" s="76">
        <v>0</v>
      </c>
      <c r="P50" s="76">
        <v>0</v>
      </c>
      <c r="Q50" s="76">
        <v>0</v>
      </c>
      <c r="R50" s="76">
        <v>0</v>
      </c>
      <c r="S50" s="58">
        <v>0</v>
      </c>
    </row>
    <row r="51" spans="1:19" x14ac:dyDescent="0.2">
      <c r="A51" s="8"/>
      <c r="B51" s="2" t="s">
        <v>114</v>
      </c>
      <c r="C51" s="10"/>
      <c r="D51" s="10"/>
      <c r="E51" s="9"/>
      <c r="G51" s="57" t="s">
        <v>115</v>
      </c>
      <c r="H51" s="56">
        <f t="shared" ref="H51:S51" si="14">H48+H49+H50</f>
        <v>-2001.0040000000006</v>
      </c>
      <c r="I51" s="56">
        <f t="shared" si="14"/>
        <v>-2022.1630000000002</v>
      </c>
      <c r="J51" s="56">
        <f t="shared" si="14"/>
        <v>-2178.558</v>
      </c>
      <c r="K51" s="56">
        <f t="shared" si="14"/>
        <v>48.648999999999887</v>
      </c>
      <c r="L51" s="56">
        <f t="shared" si="14"/>
        <v>168.61500000000021</v>
      </c>
      <c r="M51" s="56">
        <f t="shared" si="14"/>
        <v>63.618999999999723</v>
      </c>
      <c r="N51" s="77">
        <f t="shared" si="14"/>
        <v>70</v>
      </c>
      <c r="O51" s="77">
        <f t="shared" si="14"/>
        <v>3</v>
      </c>
      <c r="P51" s="77">
        <f t="shared" si="14"/>
        <v>14</v>
      </c>
      <c r="Q51" s="77">
        <f t="shared" si="14"/>
        <v>6</v>
      </c>
      <c r="R51" s="77">
        <f t="shared" si="14"/>
        <v>11</v>
      </c>
      <c r="S51" s="56">
        <f t="shared" si="14"/>
        <v>10</v>
      </c>
    </row>
    <row r="52" spans="1:19" x14ac:dyDescent="0.2">
      <c r="A52" s="24"/>
      <c r="B52" s="2" t="s">
        <v>370</v>
      </c>
      <c r="C52" s="83" t="s">
        <v>371</v>
      </c>
      <c r="D52" s="25"/>
      <c r="E52" s="26"/>
      <c r="F52" s="24"/>
      <c r="G52" s="62" t="s">
        <v>116</v>
      </c>
      <c r="H52" s="63">
        <f t="shared" ref="H52:S52" si="15">H30-H51</f>
        <v>-9.9999999952160579E-4</v>
      </c>
      <c r="I52" s="63">
        <f t="shared" si="15"/>
        <v>1.0000000002037268E-3</v>
      </c>
      <c r="J52" s="63">
        <f t="shared" si="15"/>
        <v>0</v>
      </c>
      <c r="K52" s="63">
        <f t="shared" si="15"/>
        <v>1.1368683772161603E-13</v>
      </c>
      <c r="L52" s="63">
        <f t="shared" si="15"/>
        <v>-1.0000000002037268E-3</v>
      </c>
      <c r="M52" s="63">
        <f t="shared" si="15"/>
        <v>1.0000000002747811E-3</v>
      </c>
      <c r="N52" s="85">
        <f t="shared" si="15"/>
        <v>0</v>
      </c>
      <c r="O52" s="85">
        <f t="shared" si="15"/>
        <v>0</v>
      </c>
      <c r="P52" s="85">
        <f t="shared" si="15"/>
        <v>0</v>
      </c>
      <c r="Q52" s="85">
        <f t="shared" si="15"/>
        <v>0</v>
      </c>
      <c r="R52" s="85">
        <f t="shared" si="15"/>
        <v>0</v>
      </c>
      <c r="S52" s="63">
        <f t="shared" si="15"/>
        <v>0</v>
      </c>
    </row>
    <row r="53" spans="1:19" x14ac:dyDescent="0.2">
      <c r="A53" s="8"/>
      <c r="B53" s="2"/>
      <c r="C53" s="10"/>
      <c r="D53" s="10"/>
      <c r="E53" s="9"/>
      <c r="G53" s="65" t="s">
        <v>117</v>
      </c>
      <c r="H53" s="48"/>
      <c r="I53" s="48"/>
      <c r="J53" s="48"/>
      <c r="K53" s="48"/>
      <c r="L53" s="48"/>
      <c r="M53" s="48"/>
      <c r="N53" s="4"/>
      <c r="O53" s="4"/>
      <c r="P53" s="4"/>
      <c r="Q53" s="4"/>
      <c r="R53" s="4"/>
      <c r="S53" s="48"/>
    </row>
    <row r="54" spans="1:19" x14ac:dyDescent="0.2">
      <c r="A54" s="8"/>
      <c r="B54" s="2"/>
      <c r="C54" s="10">
        <v>90</v>
      </c>
      <c r="D54" s="10"/>
      <c r="E54" s="627" t="s">
        <v>11</v>
      </c>
      <c r="G54" s="65" t="s">
        <v>118</v>
      </c>
      <c r="H54" s="58">
        <v>111</v>
      </c>
      <c r="I54" s="58">
        <v>108</v>
      </c>
      <c r="J54" s="58">
        <v>110</v>
      </c>
      <c r="K54" s="58">
        <v>104</v>
      </c>
      <c r="L54" s="58">
        <v>107</v>
      </c>
      <c r="M54" s="58">
        <v>108</v>
      </c>
      <c r="N54" s="76">
        <v>108</v>
      </c>
      <c r="O54" s="76">
        <v>110</v>
      </c>
      <c r="P54" s="76">
        <v>110</v>
      </c>
      <c r="Q54" s="76">
        <v>110</v>
      </c>
      <c r="R54" s="76">
        <v>110</v>
      </c>
      <c r="S54" s="76">
        <v>110</v>
      </c>
    </row>
    <row r="55" spans="1:19" x14ac:dyDescent="0.2">
      <c r="A55" s="8"/>
      <c r="B55" s="2"/>
      <c r="C55" s="10"/>
      <c r="D55" s="10"/>
      <c r="E55" s="627" t="s">
        <v>11</v>
      </c>
      <c r="G55" s="65" t="s">
        <v>119</v>
      </c>
      <c r="H55" s="58"/>
      <c r="I55" s="58"/>
      <c r="J55" s="58"/>
      <c r="K55" s="58"/>
      <c r="L55" s="66"/>
      <c r="M55" s="66"/>
      <c r="N55" s="88"/>
      <c r="O55" s="88"/>
      <c r="P55" s="88"/>
      <c r="Q55" s="88"/>
      <c r="R55" s="88"/>
      <c r="S55" s="66"/>
    </row>
    <row r="56" spans="1:19" x14ac:dyDescent="0.2">
      <c r="A56" s="8"/>
      <c r="B56" s="2"/>
      <c r="C56" s="10"/>
      <c r="D56" s="10"/>
      <c r="E56" s="9"/>
      <c r="G56" s="67"/>
      <c r="H56" s="48"/>
      <c r="I56" s="48"/>
      <c r="J56" s="48"/>
      <c r="K56" s="48"/>
      <c r="L56" s="48"/>
      <c r="M56" s="48"/>
      <c r="N56" s="4"/>
      <c r="O56" s="4"/>
      <c r="P56" s="4"/>
      <c r="Q56" s="4"/>
      <c r="R56" s="4"/>
      <c r="S56" s="48"/>
    </row>
    <row r="57" spans="1:19" x14ac:dyDescent="0.2">
      <c r="A57" s="8"/>
      <c r="B57" s="2"/>
      <c r="C57" s="10"/>
      <c r="D57" s="29" t="s">
        <v>120</v>
      </c>
      <c r="E57" s="30" t="s">
        <v>3</v>
      </c>
      <c r="F57" s="9"/>
      <c r="G57" s="53" t="s">
        <v>121</v>
      </c>
      <c r="H57" s="64">
        <f t="shared" ref="H57:S57" si="16">H32</f>
        <v>2011</v>
      </c>
      <c r="I57" s="64">
        <f t="shared" si="16"/>
        <v>2012</v>
      </c>
      <c r="J57" s="64">
        <f t="shared" si="16"/>
        <v>2013</v>
      </c>
      <c r="K57" s="64">
        <f t="shared" si="16"/>
        <v>2014</v>
      </c>
      <c r="L57" s="64">
        <f t="shared" si="16"/>
        <v>2015</v>
      </c>
      <c r="M57" s="64">
        <f t="shared" si="16"/>
        <v>2016</v>
      </c>
      <c r="N57" s="87">
        <f t="shared" si="16"/>
        <v>2017</v>
      </c>
      <c r="O57" s="87">
        <f t="shared" si="16"/>
        <v>2018</v>
      </c>
      <c r="P57" s="87">
        <f t="shared" si="16"/>
        <v>2019</v>
      </c>
      <c r="Q57" s="87">
        <f t="shared" si="16"/>
        <v>2020</v>
      </c>
      <c r="R57" s="87">
        <f t="shared" si="16"/>
        <v>2021</v>
      </c>
      <c r="S57" s="64">
        <f t="shared" si="16"/>
        <v>2022</v>
      </c>
    </row>
    <row r="58" spans="1:19" x14ac:dyDescent="0.2">
      <c r="A58" s="8"/>
      <c r="B58" s="31" t="s">
        <v>122</v>
      </c>
      <c r="C58" s="8" t="s">
        <v>123</v>
      </c>
      <c r="D58" s="32" t="s">
        <v>124</v>
      </c>
      <c r="E58" s="627" t="s">
        <v>584</v>
      </c>
      <c r="F58" s="12"/>
      <c r="G58" s="55" t="s">
        <v>125</v>
      </c>
      <c r="H58" s="58">
        <v>-4.5469999999999997</v>
      </c>
      <c r="I58" s="58">
        <v>-66.533000000000001</v>
      </c>
      <c r="J58" s="58">
        <v>0</v>
      </c>
      <c r="K58" s="58">
        <v>0</v>
      </c>
      <c r="L58" s="58">
        <v>-64.853999999999999</v>
      </c>
      <c r="M58" s="58">
        <v>-35.847000000000001</v>
      </c>
      <c r="N58" s="76">
        <v>-50</v>
      </c>
      <c r="O58" s="76">
        <v>-60</v>
      </c>
      <c r="P58" s="76">
        <v>-55</v>
      </c>
      <c r="Q58" s="76">
        <v>-55</v>
      </c>
      <c r="R58" s="76">
        <v>-55</v>
      </c>
      <c r="S58" s="76">
        <v>-55</v>
      </c>
    </row>
    <row r="59" spans="1:19" x14ac:dyDescent="0.2">
      <c r="A59" s="8"/>
      <c r="B59" s="31" t="s">
        <v>126</v>
      </c>
      <c r="C59" s="33" t="s">
        <v>127</v>
      </c>
      <c r="D59" s="32" t="s">
        <v>128</v>
      </c>
      <c r="E59" s="627" t="s">
        <v>11</v>
      </c>
      <c r="F59" s="12"/>
      <c r="G59" s="68" t="s">
        <v>129</v>
      </c>
      <c r="H59" s="58">
        <v>0</v>
      </c>
      <c r="I59" s="58">
        <v>0</v>
      </c>
      <c r="J59" s="58">
        <v>0.377</v>
      </c>
      <c r="K59" s="58">
        <v>0</v>
      </c>
      <c r="L59" s="58">
        <v>3.6669999999999998</v>
      </c>
      <c r="M59" s="58">
        <v>1.617</v>
      </c>
      <c r="N59" s="76">
        <v>0</v>
      </c>
      <c r="O59" s="76">
        <v>0</v>
      </c>
      <c r="P59" s="76">
        <v>2</v>
      </c>
      <c r="Q59" s="76">
        <v>2</v>
      </c>
      <c r="R59" s="76">
        <v>2</v>
      </c>
      <c r="S59" s="76">
        <v>2</v>
      </c>
    </row>
    <row r="60" spans="1:19" x14ac:dyDescent="0.2">
      <c r="A60" s="8"/>
      <c r="B60" s="31" t="s">
        <v>130</v>
      </c>
      <c r="C60" s="34" t="s">
        <v>372</v>
      </c>
      <c r="D60" s="32" t="s">
        <v>131</v>
      </c>
      <c r="E60" s="627" t="s">
        <v>11</v>
      </c>
      <c r="F60" s="12"/>
      <c r="G60" s="57" t="s">
        <v>132</v>
      </c>
      <c r="H60" s="58">
        <v>0</v>
      </c>
      <c r="I60" s="58">
        <v>0</v>
      </c>
      <c r="J60" s="58">
        <v>0</v>
      </c>
      <c r="K60" s="58">
        <v>55</v>
      </c>
      <c r="L60" s="58">
        <v>55</v>
      </c>
      <c r="M60" s="58">
        <v>55</v>
      </c>
      <c r="N60" s="76">
        <v>55</v>
      </c>
      <c r="O60" s="76">
        <v>55</v>
      </c>
      <c r="P60" s="76">
        <v>55</v>
      </c>
      <c r="Q60" s="76">
        <v>55</v>
      </c>
      <c r="R60" s="76">
        <v>55</v>
      </c>
      <c r="S60" s="76">
        <v>55</v>
      </c>
    </row>
    <row r="61" spans="1:19" x14ac:dyDescent="0.2">
      <c r="A61" s="8"/>
      <c r="B61" s="31" t="s">
        <v>133</v>
      </c>
      <c r="C61" s="34" t="s">
        <v>134</v>
      </c>
      <c r="D61" s="34" t="s">
        <v>135</v>
      </c>
      <c r="E61" s="627" t="s">
        <v>584</v>
      </c>
      <c r="F61" s="12"/>
      <c r="G61" s="57" t="s">
        <v>136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76">
        <v>0</v>
      </c>
      <c r="O61" s="76">
        <v>0</v>
      </c>
      <c r="P61" s="76">
        <v>0</v>
      </c>
      <c r="Q61" s="76">
        <v>0</v>
      </c>
      <c r="R61" s="76">
        <v>0</v>
      </c>
      <c r="S61" s="58">
        <v>0</v>
      </c>
    </row>
    <row r="62" spans="1:19" x14ac:dyDescent="0.2">
      <c r="A62" s="8"/>
      <c r="B62" s="31" t="s">
        <v>137</v>
      </c>
      <c r="C62" s="10">
        <v>253800</v>
      </c>
      <c r="D62" s="34" t="s">
        <v>131</v>
      </c>
      <c r="E62" s="627" t="s">
        <v>11</v>
      </c>
      <c r="F62" s="12"/>
      <c r="G62" s="57" t="s">
        <v>138</v>
      </c>
      <c r="H62" s="58">
        <v>0</v>
      </c>
      <c r="I62" s="58">
        <v>0</v>
      </c>
      <c r="J62" s="58">
        <v>0</v>
      </c>
      <c r="K62" s="58">
        <v>0</v>
      </c>
      <c r="L62" s="58">
        <v>0</v>
      </c>
      <c r="M62" s="58">
        <v>0</v>
      </c>
      <c r="N62" s="76">
        <v>0</v>
      </c>
      <c r="O62" s="76">
        <v>0</v>
      </c>
      <c r="P62" s="76">
        <v>0</v>
      </c>
      <c r="Q62" s="76">
        <v>0</v>
      </c>
      <c r="R62" s="76">
        <v>0</v>
      </c>
      <c r="S62" s="58">
        <v>0</v>
      </c>
    </row>
    <row r="63" spans="1:19" x14ac:dyDescent="0.2">
      <c r="A63" s="8"/>
      <c r="B63" s="31" t="s">
        <v>139</v>
      </c>
      <c r="C63" s="10">
        <v>150</v>
      </c>
      <c r="D63" s="34" t="s">
        <v>135</v>
      </c>
      <c r="E63" s="627" t="s">
        <v>584</v>
      </c>
      <c r="F63" s="12"/>
      <c r="G63" s="57" t="s">
        <v>140</v>
      </c>
      <c r="H63" s="58">
        <v>0</v>
      </c>
      <c r="I63" s="58">
        <v>0</v>
      </c>
      <c r="J63" s="58">
        <v>0</v>
      </c>
      <c r="K63" s="58">
        <v>0</v>
      </c>
      <c r="L63" s="58">
        <v>0</v>
      </c>
      <c r="M63" s="58">
        <v>0</v>
      </c>
      <c r="N63" s="76">
        <v>0</v>
      </c>
      <c r="O63" s="76">
        <v>0</v>
      </c>
      <c r="P63" s="76">
        <v>0</v>
      </c>
      <c r="Q63" s="76">
        <v>0</v>
      </c>
      <c r="R63" s="76">
        <v>0</v>
      </c>
      <c r="S63" s="58">
        <v>0</v>
      </c>
    </row>
    <row r="64" spans="1:19" x14ac:dyDescent="0.2">
      <c r="A64" s="8"/>
      <c r="B64" s="31" t="s">
        <v>141</v>
      </c>
      <c r="C64" s="34" t="s">
        <v>142</v>
      </c>
      <c r="D64" s="34" t="s">
        <v>131</v>
      </c>
      <c r="E64" s="627" t="s">
        <v>11</v>
      </c>
      <c r="F64" s="12"/>
      <c r="G64" s="57" t="s">
        <v>143</v>
      </c>
      <c r="H64" s="58">
        <v>0</v>
      </c>
      <c r="I64" s="58">
        <v>0</v>
      </c>
      <c r="J64" s="58">
        <v>0</v>
      </c>
      <c r="K64" s="58">
        <v>0</v>
      </c>
      <c r="L64" s="58">
        <v>0</v>
      </c>
      <c r="M64" s="58">
        <v>0</v>
      </c>
      <c r="N64" s="76">
        <v>0</v>
      </c>
      <c r="O64" s="76">
        <v>0</v>
      </c>
      <c r="P64" s="76">
        <v>0</v>
      </c>
      <c r="Q64" s="76">
        <v>0</v>
      </c>
      <c r="R64" s="76">
        <v>0</v>
      </c>
      <c r="S64" s="58">
        <v>0</v>
      </c>
    </row>
    <row r="65" spans="1:19" x14ac:dyDescent="0.2">
      <c r="A65" s="8"/>
      <c r="B65" s="31" t="s">
        <v>144</v>
      </c>
      <c r="C65" s="8" t="s">
        <v>373</v>
      </c>
      <c r="D65" s="34" t="s">
        <v>135</v>
      </c>
      <c r="E65" s="627" t="s">
        <v>584</v>
      </c>
      <c r="F65" s="12"/>
      <c r="G65" s="57" t="s">
        <v>145</v>
      </c>
      <c r="H65" s="58">
        <v>0</v>
      </c>
      <c r="I65" s="58">
        <v>0</v>
      </c>
      <c r="J65" s="58">
        <v>0</v>
      </c>
      <c r="K65" s="58">
        <v>0</v>
      </c>
      <c r="L65" s="58">
        <v>0</v>
      </c>
      <c r="M65" s="58">
        <v>0</v>
      </c>
      <c r="N65" s="76">
        <v>0</v>
      </c>
      <c r="O65" s="76">
        <v>0</v>
      </c>
      <c r="P65" s="76">
        <v>0</v>
      </c>
      <c r="Q65" s="76">
        <v>0</v>
      </c>
      <c r="R65" s="76">
        <v>0</v>
      </c>
      <c r="S65" s="58">
        <v>0</v>
      </c>
    </row>
    <row r="66" spans="1:19" x14ac:dyDescent="0.2">
      <c r="A66" s="8"/>
      <c r="B66" s="31" t="s">
        <v>146</v>
      </c>
      <c r="C66" s="8" t="s">
        <v>373</v>
      </c>
      <c r="D66" s="34" t="s">
        <v>131</v>
      </c>
      <c r="E66" s="627" t="s">
        <v>11</v>
      </c>
      <c r="F66" s="12"/>
      <c r="G66" s="57" t="s">
        <v>147</v>
      </c>
      <c r="H66" s="58">
        <v>0</v>
      </c>
      <c r="I66" s="58">
        <v>0</v>
      </c>
      <c r="J66" s="58">
        <v>0</v>
      </c>
      <c r="K66" s="58">
        <v>0</v>
      </c>
      <c r="L66" s="58">
        <v>0</v>
      </c>
      <c r="M66" s="58">
        <v>0</v>
      </c>
      <c r="N66" s="76">
        <v>0</v>
      </c>
      <c r="O66" s="76">
        <v>0</v>
      </c>
      <c r="P66" s="76">
        <v>0</v>
      </c>
      <c r="Q66" s="76">
        <v>0</v>
      </c>
      <c r="R66" s="76">
        <v>0</v>
      </c>
      <c r="S66" s="58">
        <v>0</v>
      </c>
    </row>
    <row r="67" spans="1:19" x14ac:dyDescent="0.2">
      <c r="A67" s="8"/>
      <c r="B67" s="31" t="s">
        <v>148</v>
      </c>
      <c r="C67" s="8" t="s">
        <v>149</v>
      </c>
      <c r="D67" s="34" t="s">
        <v>135</v>
      </c>
      <c r="E67" s="627" t="s">
        <v>584</v>
      </c>
      <c r="F67" s="12"/>
      <c r="G67" s="57" t="s">
        <v>150</v>
      </c>
      <c r="H67" s="58">
        <v>0</v>
      </c>
      <c r="I67" s="58">
        <v>0</v>
      </c>
      <c r="J67" s="58">
        <v>0</v>
      </c>
      <c r="K67" s="58">
        <v>0</v>
      </c>
      <c r="L67" s="58">
        <v>0</v>
      </c>
      <c r="M67" s="58">
        <v>0</v>
      </c>
      <c r="N67" s="76">
        <v>0</v>
      </c>
      <c r="O67" s="76">
        <v>0</v>
      </c>
      <c r="P67" s="76">
        <v>0</v>
      </c>
      <c r="Q67" s="76">
        <v>0</v>
      </c>
      <c r="R67" s="76">
        <v>0</v>
      </c>
      <c r="S67" s="58">
        <v>0</v>
      </c>
    </row>
    <row r="68" spans="1:19" x14ac:dyDescent="0.2">
      <c r="A68" s="8"/>
      <c r="B68" s="31" t="s">
        <v>151</v>
      </c>
      <c r="C68" s="8" t="s">
        <v>149</v>
      </c>
      <c r="D68" s="34" t="s">
        <v>131</v>
      </c>
      <c r="E68" s="627" t="s">
        <v>11</v>
      </c>
      <c r="F68" s="12"/>
      <c r="G68" s="57" t="s">
        <v>152</v>
      </c>
      <c r="H68" s="58">
        <v>0</v>
      </c>
      <c r="I68" s="58">
        <v>0</v>
      </c>
      <c r="J68" s="58">
        <v>0</v>
      </c>
      <c r="K68" s="58">
        <v>0</v>
      </c>
      <c r="L68" s="58">
        <v>0</v>
      </c>
      <c r="M68" s="58">
        <v>0</v>
      </c>
      <c r="N68" s="76">
        <v>0</v>
      </c>
      <c r="O68" s="76">
        <v>0</v>
      </c>
      <c r="P68" s="76">
        <v>0</v>
      </c>
      <c r="Q68" s="76">
        <v>0</v>
      </c>
      <c r="R68" s="76">
        <v>0</v>
      </c>
      <c r="S68" s="58">
        <v>0</v>
      </c>
    </row>
    <row r="69" spans="1:19" x14ac:dyDescent="0.2">
      <c r="A69" s="8"/>
      <c r="B69" s="31" t="s">
        <v>153</v>
      </c>
      <c r="C69" s="34" t="s">
        <v>142</v>
      </c>
      <c r="D69" s="34" t="s">
        <v>131</v>
      </c>
      <c r="E69" s="627" t="s">
        <v>11</v>
      </c>
      <c r="F69" s="12"/>
      <c r="G69" s="57" t="s">
        <v>154</v>
      </c>
      <c r="H69" s="58">
        <v>0</v>
      </c>
      <c r="I69" s="58">
        <v>0</v>
      </c>
      <c r="J69" s="58">
        <v>0</v>
      </c>
      <c r="K69" s="58">
        <v>0</v>
      </c>
      <c r="L69" s="58">
        <v>0</v>
      </c>
      <c r="M69" s="58">
        <v>0</v>
      </c>
      <c r="N69" s="76">
        <v>0</v>
      </c>
      <c r="O69" s="76">
        <v>0</v>
      </c>
      <c r="P69" s="76">
        <v>0</v>
      </c>
      <c r="Q69" s="76">
        <v>0</v>
      </c>
      <c r="R69" s="76">
        <v>0</v>
      </c>
      <c r="S69" s="58">
        <v>0</v>
      </c>
    </row>
    <row r="70" spans="1:19" x14ac:dyDescent="0.2">
      <c r="A70" s="8"/>
      <c r="B70" s="31" t="s">
        <v>155</v>
      </c>
      <c r="C70" s="35" t="s">
        <v>156</v>
      </c>
      <c r="D70" s="8"/>
      <c r="E70" s="627" t="s">
        <v>583</v>
      </c>
      <c r="F70" s="12"/>
      <c r="G70" s="57" t="s">
        <v>107</v>
      </c>
      <c r="H70" s="58">
        <v>0</v>
      </c>
      <c r="I70" s="58">
        <v>0</v>
      </c>
      <c r="J70" s="58">
        <v>-1E-3</v>
      </c>
      <c r="K70" s="58">
        <v>0</v>
      </c>
      <c r="L70" s="58">
        <v>1.1080000000000001</v>
      </c>
      <c r="M70" s="58">
        <v>0</v>
      </c>
      <c r="N70" s="76">
        <v>0</v>
      </c>
      <c r="O70" s="76">
        <v>0</v>
      </c>
      <c r="P70" s="76">
        <v>0</v>
      </c>
      <c r="Q70" s="76">
        <v>0</v>
      </c>
      <c r="R70" s="76">
        <v>0</v>
      </c>
      <c r="S70" s="58">
        <v>0</v>
      </c>
    </row>
    <row r="71" spans="1:19" x14ac:dyDescent="0.2">
      <c r="A71" s="8"/>
      <c r="B71" s="31" t="s">
        <v>157</v>
      </c>
      <c r="C71" s="10"/>
      <c r="D71" s="8"/>
      <c r="E71" s="12"/>
      <c r="F71" s="12"/>
      <c r="G71" s="69" t="s">
        <v>158</v>
      </c>
      <c r="H71" s="56">
        <f t="shared" ref="H71:S71" si="17">SUM(H58:H70)</f>
        <v>-4.5469999999999997</v>
      </c>
      <c r="I71" s="56">
        <f t="shared" si="17"/>
        <v>-66.533000000000001</v>
      </c>
      <c r="J71" s="56">
        <f t="shared" si="17"/>
        <v>0.376</v>
      </c>
      <c r="K71" s="56">
        <f t="shared" si="17"/>
        <v>55</v>
      </c>
      <c r="L71" s="56">
        <f t="shared" si="17"/>
        <v>-5.0789999999999971</v>
      </c>
      <c r="M71" s="56">
        <f t="shared" si="17"/>
        <v>20.769999999999996</v>
      </c>
      <c r="N71" s="77">
        <f t="shared" si="17"/>
        <v>5</v>
      </c>
      <c r="O71" s="77">
        <f t="shared" si="17"/>
        <v>-5</v>
      </c>
      <c r="P71" s="77">
        <f t="shared" si="17"/>
        <v>2</v>
      </c>
      <c r="Q71" s="77">
        <f t="shared" si="17"/>
        <v>2</v>
      </c>
      <c r="R71" s="77">
        <f t="shared" si="17"/>
        <v>2</v>
      </c>
      <c r="S71" s="56">
        <f t="shared" si="17"/>
        <v>2</v>
      </c>
    </row>
    <row r="72" spans="1:19" x14ac:dyDescent="0.2">
      <c r="A72" s="8"/>
      <c r="B72" s="2"/>
      <c r="C72" s="10"/>
      <c r="D72" s="8"/>
      <c r="E72" s="9"/>
      <c r="G72" s="67"/>
      <c r="H72" s="48"/>
      <c r="I72" s="48"/>
      <c r="J72" s="48"/>
      <c r="K72" s="48"/>
      <c r="L72" s="48"/>
      <c r="M72" s="48"/>
      <c r="N72" s="4"/>
      <c r="O72" s="4"/>
      <c r="P72" s="4"/>
      <c r="Q72" s="4"/>
      <c r="R72" s="4"/>
      <c r="S72" s="48"/>
    </row>
    <row r="73" spans="1:19" x14ac:dyDescent="0.2">
      <c r="A73" s="8"/>
      <c r="B73" s="2"/>
      <c r="C73" s="10"/>
      <c r="D73" s="29" t="s">
        <v>120</v>
      </c>
      <c r="E73" s="30" t="s">
        <v>3</v>
      </c>
      <c r="F73" s="9"/>
      <c r="G73" s="53" t="s">
        <v>159</v>
      </c>
      <c r="H73" s="64">
        <f t="shared" ref="H73:S73" si="18">H57</f>
        <v>2011</v>
      </c>
      <c r="I73" s="64">
        <f t="shared" si="18"/>
        <v>2012</v>
      </c>
      <c r="J73" s="64">
        <f t="shared" si="18"/>
        <v>2013</v>
      </c>
      <c r="K73" s="64">
        <f t="shared" si="18"/>
        <v>2014</v>
      </c>
      <c r="L73" s="64">
        <f t="shared" si="18"/>
        <v>2015</v>
      </c>
      <c r="M73" s="64">
        <f t="shared" si="18"/>
        <v>2016</v>
      </c>
      <c r="N73" s="87">
        <f t="shared" si="18"/>
        <v>2017</v>
      </c>
      <c r="O73" s="87">
        <f t="shared" si="18"/>
        <v>2018</v>
      </c>
      <c r="P73" s="87">
        <f t="shared" si="18"/>
        <v>2019</v>
      </c>
      <c r="Q73" s="87">
        <f t="shared" si="18"/>
        <v>2020</v>
      </c>
      <c r="R73" s="87">
        <f t="shared" si="18"/>
        <v>2021</v>
      </c>
      <c r="S73" s="64">
        <f t="shared" si="18"/>
        <v>2022</v>
      </c>
    </row>
    <row r="74" spans="1:19" x14ac:dyDescent="0.2">
      <c r="A74" s="8"/>
      <c r="B74" s="2" t="s">
        <v>160</v>
      </c>
      <c r="C74" s="34" t="s">
        <v>161</v>
      </c>
      <c r="D74" s="34" t="s">
        <v>128</v>
      </c>
      <c r="E74" s="627" t="s">
        <v>11</v>
      </c>
      <c r="G74" s="55" t="s">
        <v>162</v>
      </c>
      <c r="H74" s="58">
        <v>0</v>
      </c>
      <c r="I74" s="58">
        <v>0</v>
      </c>
      <c r="J74" s="58">
        <v>0</v>
      </c>
      <c r="K74" s="58">
        <v>0</v>
      </c>
      <c r="L74" s="58">
        <v>0</v>
      </c>
      <c r="M74" s="58">
        <v>0</v>
      </c>
      <c r="N74" s="76">
        <v>0</v>
      </c>
      <c r="O74" s="76">
        <v>0</v>
      </c>
      <c r="P74" s="76">
        <v>0</v>
      </c>
      <c r="Q74" s="76">
        <v>0</v>
      </c>
      <c r="R74" s="76">
        <v>0</v>
      </c>
      <c r="S74" s="58">
        <v>0</v>
      </c>
    </row>
    <row r="75" spans="1:19" x14ac:dyDescent="0.2">
      <c r="A75" s="8"/>
      <c r="B75" s="2" t="s">
        <v>163</v>
      </c>
      <c r="C75" s="34" t="s">
        <v>161</v>
      </c>
      <c r="D75" s="34" t="s">
        <v>124</v>
      </c>
      <c r="E75" s="627" t="s">
        <v>584</v>
      </c>
      <c r="F75" s="12"/>
      <c r="G75" s="57" t="s">
        <v>164</v>
      </c>
      <c r="H75" s="58">
        <v>0</v>
      </c>
      <c r="I75" s="58">
        <v>0</v>
      </c>
      <c r="J75" s="58">
        <v>0</v>
      </c>
      <c r="K75" s="58">
        <v>0</v>
      </c>
      <c r="L75" s="58">
        <v>0</v>
      </c>
      <c r="M75" s="58">
        <v>0</v>
      </c>
      <c r="N75" s="76">
        <v>0</v>
      </c>
      <c r="O75" s="76">
        <v>0</v>
      </c>
      <c r="P75" s="76">
        <v>0</v>
      </c>
      <c r="Q75" s="76">
        <v>0</v>
      </c>
      <c r="R75" s="76">
        <v>0</v>
      </c>
      <c r="S75" s="58">
        <v>0</v>
      </c>
    </row>
    <row r="76" spans="1:19" x14ac:dyDescent="0.2">
      <c r="A76" s="8"/>
      <c r="B76" s="2" t="s">
        <v>165</v>
      </c>
      <c r="C76" s="34" t="s">
        <v>166</v>
      </c>
      <c r="D76" s="34" t="s">
        <v>131</v>
      </c>
      <c r="E76" s="627" t="s">
        <v>11</v>
      </c>
      <c r="G76" s="57" t="s">
        <v>167</v>
      </c>
      <c r="H76" s="58">
        <v>0</v>
      </c>
      <c r="I76" s="58">
        <v>0</v>
      </c>
      <c r="J76" s="58">
        <v>0</v>
      </c>
      <c r="K76" s="58">
        <v>0</v>
      </c>
      <c r="L76" s="58">
        <v>0</v>
      </c>
      <c r="M76" s="58">
        <v>0</v>
      </c>
      <c r="N76" s="76">
        <v>0</v>
      </c>
      <c r="O76" s="76">
        <v>0</v>
      </c>
      <c r="P76" s="76">
        <v>0</v>
      </c>
      <c r="Q76" s="76">
        <v>0</v>
      </c>
      <c r="R76" s="76">
        <v>0</v>
      </c>
      <c r="S76" s="58">
        <v>0</v>
      </c>
    </row>
    <row r="77" spans="1:19" x14ac:dyDescent="0.2">
      <c r="A77" s="8"/>
      <c r="B77" s="2" t="s">
        <v>168</v>
      </c>
      <c r="C77" s="34" t="s">
        <v>166</v>
      </c>
      <c r="D77" s="34" t="s">
        <v>135</v>
      </c>
      <c r="E77" s="627" t="s">
        <v>584</v>
      </c>
      <c r="F77" s="12"/>
      <c r="G77" s="57" t="s">
        <v>169</v>
      </c>
      <c r="H77" s="58">
        <v>0</v>
      </c>
      <c r="I77" s="58">
        <v>0</v>
      </c>
      <c r="J77" s="58">
        <v>0</v>
      </c>
      <c r="K77" s="58">
        <v>0</v>
      </c>
      <c r="L77" s="58">
        <v>0</v>
      </c>
      <c r="M77" s="58">
        <v>0</v>
      </c>
      <c r="N77" s="76">
        <v>0</v>
      </c>
      <c r="O77" s="76">
        <v>0</v>
      </c>
      <c r="P77" s="76">
        <v>0</v>
      </c>
      <c r="Q77" s="76">
        <v>0</v>
      </c>
      <c r="R77" s="76">
        <v>0</v>
      </c>
      <c r="S77" s="58">
        <v>0</v>
      </c>
    </row>
    <row r="78" spans="1:19" x14ac:dyDescent="0.2">
      <c r="A78" s="8"/>
      <c r="B78" s="2" t="s">
        <v>170</v>
      </c>
      <c r="C78" s="34" t="s">
        <v>171</v>
      </c>
      <c r="D78" s="34" t="s">
        <v>135</v>
      </c>
      <c r="E78" s="627" t="s">
        <v>584</v>
      </c>
      <c r="F78" s="12"/>
      <c r="G78" s="57" t="s">
        <v>172</v>
      </c>
      <c r="H78" s="58">
        <v>0</v>
      </c>
      <c r="I78" s="58">
        <v>0</v>
      </c>
      <c r="J78" s="58">
        <v>0</v>
      </c>
      <c r="K78" s="58">
        <v>-5.4539999999999997</v>
      </c>
      <c r="L78" s="58">
        <v>0</v>
      </c>
      <c r="M78" s="58">
        <v>0</v>
      </c>
      <c r="N78" s="76">
        <v>0</v>
      </c>
      <c r="O78" s="76">
        <v>0</v>
      </c>
      <c r="P78" s="76">
        <v>0</v>
      </c>
      <c r="Q78" s="76">
        <v>0</v>
      </c>
      <c r="R78" s="76">
        <v>0</v>
      </c>
      <c r="S78" s="58">
        <v>0</v>
      </c>
    </row>
    <row r="79" spans="1:19" x14ac:dyDescent="0.2">
      <c r="A79" s="8"/>
      <c r="B79" s="2" t="s">
        <v>173</v>
      </c>
      <c r="C79" s="34" t="s">
        <v>174</v>
      </c>
      <c r="D79" s="34" t="s">
        <v>135</v>
      </c>
      <c r="E79" s="627" t="s">
        <v>584</v>
      </c>
      <c r="F79" s="12"/>
      <c r="G79" s="57" t="s">
        <v>175</v>
      </c>
      <c r="H79" s="58">
        <v>0</v>
      </c>
      <c r="I79" s="58">
        <v>0</v>
      </c>
      <c r="J79" s="58">
        <v>0</v>
      </c>
      <c r="K79" s="58">
        <v>-0.90100000000000002</v>
      </c>
      <c r="L79" s="58">
        <v>0</v>
      </c>
      <c r="M79" s="58">
        <v>0</v>
      </c>
      <c r="N79" s="76">
        <v>0</v>
      </c>
      <c r="O79" s="76">
        <v>0</v>
      </c>
      <c r="P79" s="76">
        <v>0</v>
      </c>
      <c r="Q79" s="76">
        <v>0</v>
      </c>
      <c r="R79" s="76">
        <v>0</v>
      </c>
      <c r="S79" s="58">
        <v>0</v>
      </c>
    </row>
    <row r="80" spans="1:19" x14ac:dyDescent="0.2">
      <c r="A80" s="8"/>
      <c r="B80" s="2" t="s">
        <v>176</v>
      </c>
      <c r="C80" s="34" t="s">
        <v>177</v>
      </c>
      <c r="D80" s="34" t="s">
        <v>135</v>
      </c>
      <c r="E80" s="627" t="s">
        <v>584</v>
      </c>
      <c r="F80" s="12"/>
      <c r="G80" s="57" t="s">
        <v>178</v>
      </c>
      <c r="H80" s="58">
        <v>0</v>
      </c>
      <c r="I80" s="58">
        <v>0</v>
      </c>
      <c r="J80" s="58">
        <v>0</v>
      </c>
      <c r="K80" s="58">
        <v>0</v>
      </c>
      <c r="L80" s="58">
        <v>0</v>
      </c>
      <c r="M80" s="58">
        <v>0</v>
      </c>
      <c r="N80" s="76">
        <v>0</v>
      </c>
      <c r="O80" s="76">
        <v>0</v>
      </c>
      <c r="P80" s="76">
        <v>0</v>
      </c>
      <c r="Q80" s="76">
        <v>0</v>
      </c>
      <c r="R80" s="76">
        <v>0</v>
      </c>
      <c r="S80" s="58">
        <v>0</v>
      </c>
    </row>
    <row r="81" spans="1:19" x14ac:dyDescent="0.2">
      <c r="A81" s="8"/>
      <c r="B81" s="2" t="s">
        <v>179</v>
      </c>
      <c r="C81" s="34" t="s">
        <v>52</v>
      </c>
      <c r="D81" s="34" t="s">
        <v>135</v>
      </c>
      <c r="E81" s="627" t="s">
        <v>584</v>
      </c>
      <c r="F81" s="12"/>
      <c r="G81" s="57" t="s">
        <v>180</v>
      </c>
      <c r="H81" s="58">
        <v>0</v>
      </c>
      <c r="I81" s="58">
        <v>0</v>
      </c>
      <c r="J81" s="58">
        <v>0</v>
      </c>
      <c r="K81" s="58">
        <v>0</v>
      </c>
      <c r="L81" s="58">
        <v>0</v>
      </c>
      <c r="M81" s="58">
        <v>0</v>
      </c>
      <c r="N81" s="76">
        <v>0</v>
      </c>
      <c r="O81" s="76">
        <v>0</v>
      </c>
      <c r="P81" s="76">
        <v>0</v>
      </c>
      <c r="Q81" s="76">
        <v>0</v>
      </c>
      <c r="R81" s="76">
        <v>0</v>
      </c>
      <c r="S81" s="58">
        <v>0</v>
      </c>
    </row>
    <row r="82" spans="1:19" x14ac:dyDescent="0.2">
      <c r="A82" s="8"/>
      <c r="B82" s="2" t="s">
        <v>181</v>
      </c>
      <c r="C82" s="34" t="s">
        <v>182</v>
      </c>
      <c r="D82" s="34" t="s">
        <v>131</v>
      </c>
      <c r="E82" s="627" t="s">
        <v>11</v>
      </c>
      <c r="G82" s="57" t="s">
        <v>183</v>
      </c>
      <c r="H82" s="58">
        <v>2002.9960000000001</v>
      </c>
      <c r="I82" s="58">
        <v>2061.0419999999999</v>
      </c>
      <c r="J82" s="58">
        <v>2246.5509999999999</v>
      </c>
      <c r="K82" s="58">
        <v>0</v>
      </c>
      <c r="L82" s="58">
        <v>0</v>
      </c>
      <c r="M82" s="58">
        <v>0</v>
      </c>
      <c r="N82" s="76">
        <v>0</v>
      </c>
      <c r="O82" s="76">
        <v>0</v>
      </c>
      <c r="P82" s="76">
        <v>0</v>
      </c>
      <c r="Q82" s="76">
        <v>0</v>
      </c>
      <c r="R82" s="76">
        <v>0</v>
      </c>
      <c r="S82" s="58">
        <v>0</v>
      </c>
    </row>
    <row r="83" spans="1:19" x14ac:dyDescent="0.2">
      <c r="A83" s="8"/>
      <c r="B83" s="2" t="s">
        <v>184</v>
      </c>
      <c r="C83" s="34" t="s">
        <v>182</v>
      </c>
      <c r="D83" s="34" t="s">
        <v>135</v>
      </c>
      <c r="E83" s="627" t="s">
        <v>584</v>
      </c>
      <c r="F83" s="12"/>
      <c r="G83" s="57" t="s">
        <v>374</v>
      </c>
      <c r="H83" s="58">
        <v>0</v>
      </c>
      <c r="I83" s="58">
        <v>0</v>
      </c>
      <c r="J83" s="58">
        <v>0</v>
      </c>
      <c r="K83" s="58">
        <v>0</v>
      </c>
      <c r="L83" s="58">
        <v>0</v>
      </c>
      <c r="M83" s="58">
        <v>0</v>
      </c>
      <c r="N83" s="76">
        <v>0</v>
      </c>
      <c r="O83" s="76">
        <v>0</v>
      </c>
      <c r="P83" s="76">
        <v>0</v>
      </c>
      <c r="Q83" s="76">
        <v>0</v>
      </c>
      <c r="R83" s="76">
        <v>0</v>
      </c>
      <c r="S83" s="58">
        <v>0</v>
      </c>
    </row>
    <row r="84" spans="1:19" x14ac:dyDescent="0.2">
      <c r="A84" s="8"/>
      <c r="B84" s="2" t="s">
        <v>185</v>
      </c>
      <c r="C84" s="34" t="s">
        <v>375</v>
      </c>
      <c r="D84" s="34" t="s">
        <v>135</v>
      </c>
      <c r="E84" s="627" t="s">
        <v>584</v>
      </c>
      <c r="F84" s="12"/>
      <c r="G84" s="57" t="s">
        <v>376</v>
      </c>
      <c r="H84" s="58">
        <v>0</v>
      </c>
      <c r="I84" s="58">
        <v>0</v>
      </c>
      <c r="J84" s="58">
        <v>0</v>
      </c>
      <c r="K84" s="58">
        <v>0</v>
      </c>
      <c r="L84" s="58">
        <v>0</v>
      </c>
      <c r="M84" s="58">
        <v>0</v>
      </c>
      <c r="N84" s="76">
        <v>0</v>
      </c>
      <c r="O84" s="76">
        <v>0</v>
      </c>
      <c r="P84" s="76">
        <v>0</v>
      </c>
      <c r="Q84" s="76">
        <v>0</v>
      </c>
      <c r="R84" s="76">
        <v>0</v>
      </c>
      <c r="S84" s="58">
        <v>0</v>
      </c>
    </row>
    <row r="85" spans="1:19" x14ac:dyDescent="0.2">
      <c r="A85" s="8"/>
      <c r="B85" s="2" t="s">
        <v>186</v>
      </c>
      <c r="C85" s="36">
        <v>68</v>
      </c>
      <c r="D85" s="34" t="s">
        <v>135</v>
      </c>
      <c r="E85" s="627" t="s">
        <v>584</v>
      </c>
      <c r="F85" s="12"/>
      <c r="G85" s="70" t="s">
        <v>111</v>
      </c>
      <c r="H85" s="58">
        <v>0</v>
      </c>
      <c r="I85" s="58">
        <v>0</v>
      </c>
      <c r="J85" s="58">
        <v>0</v>
      </c>
      <c r="K85" s="58">
        <v>0</v>
      </c>
      <c r="L85" s="58">
        <v>0</v>
      </c>
      <c r="M85" s="58">
        <v>0</v>
      </c>
      <c r="N85" s="76">
        <v>0</v>
      </c>
      <c r="O85" s="76">
        <v>0</v>
      </c>
      <c r="P85" s="76">
        <v>0</v>
      </c>
      <c r="Q85" s="76">
        <v>0</v>
      </c>
      <c r="R85" s="76">
        <v>0</v>
      </c>
      <c r="S85" s="58">
        <v>0</v>
      </c>
    </row>
    <row r="86" spans="1:19" x14ac:dyDescent="0.2">
      <c r="A86" s="8"/>
      <c r="B86" s="2" t="s">
        <v>377</v>
      </c>
      <c r="C86" s="10"/>
      <c r="D86" s="10"/>
      <c r="E86" s="9"/>
      <c r="G86" s="70" t="s">
        <v>158</v>
      </c>
      <c r="H86" s="56">
        <f t="shared" ref="H86:S86" si="19">SUM(H74:H85)</f>
        <v>2002.9960000000001</v>
      </c>
      <c r="I86" s="56">
        <f t="shared" si="19"/>
        <v>2061.0419999999999</v>
      </c>
      <c r="J86" s="56">
        <f t="shared" si="19"/>
        <v>2246.5509999999999</v>
      </c>
      <c r="K86" s="56">
        <f t="shared" si="19"/>
        <v>-6.3549999999999995</v>
      </c>
      <c r="L86" s="56">
        <f t="shared" si="19"/>
        <v>0</v>
      </c>
      <c r="M86" s="56">
        <f t="shared" si="19"/>
        <v>0</v>
      </c>
      <c r="N86" s="56">
        <f t="shared" si="19"/>
        <v>0</v>
      </c>
      <c r="O86" s="56">
        <f t="shared" si="19"/>
        <v>0</v>
      </c>
      <c r="P86" s="56">
        <f t="shared" si="19"/>
        <v>0</v>
      </c>
      <c r="Q86" s="56">
        <f t="shared" si="19"/>
        <v>0</v>
      </c>
      <c r="R86" s="56">
        <f t="shared" si="19"/>
        <v>0</v>
      </c>
      <c r="S86" s="56">
        <f t="shared" si="19"/>
        <v>0</v>
      </c>
    </row>
    <row r="87" spans="1:19" s="4" customFormat="1" x14ac:dyDescent="0.2">
      <c r="A87" s="8"/>
      <c r="B87" s="2" t="s">
        <v>378</v>
      </c>
      <c r="C87" s="10"/>
      <c r="D87" s="10"/>
      <c r="E87" s="9"/>
      <c r="F87" s="8"/>
      <c r="G87" s="89" t="s">
        <v>379</v>
      </c>
      <c r="H87" s="98"/>
      <c r="I87" s="85">
        <f t="shared" ref="I87:S87" si="20">(I14+I15)-(H14+H15-I58-I59+I45)</f>
        <v>0.55400000000003047</v>
      </c>
      <c r="J87" s="85">
        <f t="shared" si="20"/>
        <v>0.37800000000004275</v>
      </c>
      <c r="K87" s="85">
        <f t="shared" si="20"/>
        <v>-1.5719999999999459</v>
      </c>
      <c r="L87" s="85">
        <f t="shared" si="20"/>
        <v>2.4009999999999536</v>
      </c>
      <c r="M87" s="85">
        <f t="shared" si="20"/>
        <v>-0.29999999999995453</v>
      </c>
      <c r="N87" s="85">
        <f t="shared" si="20"/>
        <v>0.22599999999999909</v>
      </c>
      <c r="O87" s="85">
        <f t="shared" si="20"/>
        <v>0</v>
      </c>
      <c r="P87" s="85">
        <f t="shared" si="20"/>
        <v>0</v>
      </c>
      <c r="Q87" s="85">
        <f t="shared" si="20"/>
        <v>0</v>
      </c>
      <c r="R87" s="85">
        <f t="shared" si="20"/>
        <v>0</v>
      </c>
      <c r="S87" s="85">
        <f t="shared" si="20"/>
        <v>0</v>
      </c>
    </row>
    <row r="88" spans="1:19" s="4" customFormat="1" x14ac:dyDescent="0.2">
      <c r="A88" s="8"/>
      <c r="B88" s="2" t="s">
        <v>380</v>
      </c>
      <c r="C88" s="10"/>
      <c r="D88" s="10"/>
      <c r="E88" s="9"/>
      <c r="F88" s="8"/>
      <c r="G88" s="89" t="s">
        <v>381</v>
      </c>
      <c r="H88" s="98"/>
      <c r="I88" s="85">
        <f>I24-(H24+(I74+I76)+(I75+I77)+(I78))</f>
        <v>0</v>
      </c>
      <c r="J88" s="85">
        <f>J24-(I24+(J74+J76)+(J75+J77)+(J78))</f>
        <v>0</v>
      </c>
      <c r="K88" s="85">
        <f>K24-(J24+(K74+K76)+(K75+K77)+(K78))</f>
        <v>5.4539999999999997</v>
      </c>
      <c r="L88" s="85">
        <f>L24-(K24+(L74+L76)+(L75+L77)+(L78))</f>
        <v>0</v>
      </c>
      <c r="M88" s="85">
        <f>M24-(L24+(M74+M76)+(M75+M77)+(M78))</f>
        <v>0</v>
      </c>
      <c r="N88" s="85">
        <f t="shared" ref="N88:S88" si="21">N24-(M24+(N74+N76)+(N75+N77)+(N78))</f>
        <v>0</v>
      </c>
      <c r="O88" s="85">
        <f t="shared" si="21"/>
        <v>0</v>
      </c>
      <c r="P88" s="85">
        <f t="shared" si="21"/>
        <v>0</v>
      </c>
      <c r="Q88" s="85">
        <f t="shared" si="21"/>
        <v>0</v>
      </c>
      <c r="R88" s="85">
        <f t="shared" si="21"/>
        <v>0</v>
      </c>
      <c r="S88" s="85">
        <f t="shared" si="21"/>
        <v>0</v>
      </c>
    </row>
    <row r="89" spans="1:19" s="4" customFormat="1" x14ac:dyDescent="0.2">
      <c r="A89" s="8"/>
      <c r="B89" s="2" t="s">
        <v>382</v>
      </c>
      <c r="C89" s="10"/>
      <c r="D89" s="10"/>
      <c r="E89" s="9"/>
      <c r="F89" s="8"/>
      <c r="G89" s="89" t="s">
        <v>383</v>
      </c>
      <c r="H89" s="98"/>
      <c r="I89" s="85">
        <f t="shared" ref="I89:S89" si="22">I28-(H28+(I82+I83))</f>
        <v>-2020.607</v>
      </c>
      <c r="J89" s="85">
        <f t="shared" si="22"/>
        <v>-2178.558</v>
      </c>
      <c r="K89" s="85">
        <f t="shared" si="22"/>
        <v>139.41899999999998</v>
      </c>
      <c r="L89" s="85">
        <f t="shared" si="22"/>
        <v>0</v>
      </c>
      <c r="M89" s="85">
        <f t="shared" si="22"/>
        <v>0</v>
      </c>
      <c r="N89" s="85">
        <f t="shared" si="22"/>
        <v>0.13900000000001</v>
      </c>
      <c r="O89" s="85">
        <f t="shared" si="22"/>
        <v>0</v>
      </c>
      <c r="P89" s="85">
        <f t="shared" si="22"/>
        <v>0</v>
      </c>
      <c r="Q89" s="85">
        <f t="shared" si="22"/>
        <v>0</v>
      </c>
      <c r="R89" s="85">
        <f t="shared" si="22"/>
        <v>0</v>
      </c>
      <c r="S89" s="85">
        <f t="shared" si="22"/>
        <v>0</v>
      </c>
    </row>
    <row r="90" spans="1:19" s="4" customFormat="1" x14ac:dyDescent="0.2">
      <c r="A90" s="8"/>
      <c r="B90" s="2" t="s">
        <v>384</v>
      </c>
      <c r="C90" s="10"/>
      <c r="D90" s="10"/>
      <c r="E90" s="9"/>
      <c r="F90" s="8"/>
      <c r="G90" s="89" t="s">
        <v>385</v>
      </c>
      <c r="H90" s="98"/>
      <c r="I90" s="85">
        <f t="shared" ref="I90:S90" si="23">I29-(H29+H30)-I84</f>
        <v>2022.162</v>
      </c>
      <c r="J90" s="85">
        <f t="shared" si="23"/>
        <v>2178.558</v>
      </c>
      <c r="K90" s="85">
        <f t="shared" si="23"/>
        <v>-53.106000000000002</v>
      </c>
      <c r="L90" s="85">
        <f t="shared" si="23"/>
        <v>8.8817841970012523E-16</v>
      </c>
      <c r="M90" s="85">
        <f t="shared" si="23"/>
        <v>9.9999999997635314E-4</v>
      </c>
      <c r="N90" s="85">
        <f t="shared" si="23"/>
        <v>0.22200000000000841</v>
      </c>
      <c r="O90" s="85">
        <f t="shared" si="23"/>
        <v>0</v>
      </c>
      <c r="P90" s="85">
        <f t="shared" si="23"/>
        <v>0</v>
      </c>
      <c r="Q90" s="85">
        <f t="shared" si="23"/>
        <v>0</v>
      </c>
      <c r="R90" s="85">
        <f t="shared" si="23"/>
        <v>0</v>
      </c>
      <c r="S90" s="85">
        <f t="shared" si="23"/>
        <v>0</v>
      </c>
    </row>
    <row r="91" spans="1:19" s="4" customFormat="1" x14ac:dyDescent="0.2">
      <c r="A91" s="8"/>
      <c r="B91" s="2"/>
      <c r="C91" s="10"/>
      <c r="D91" s="10"/>
      <c r="E91" s="9"/>
      <c r="F91" s="8"/>
      <c r="G91" s="28"/>
      <c r="L91" s="93">
        <f>L90-L87</f>
        <v>-2.4009999999999527</v>
      </c>
    </row>
    <row r="92" spans="1:19" s="4" customFormat="1" x14ac:dyDescent="0.2">
      <c r="A92" s="13" t="s">
        <v>0</v>
      </c>
      <c r="B92" s="2"/>
      <c r="C92" s="10"/>
      <c r="D92" s="753" t="s">
        <v>187</v>
      </c>
      <c r="E92" s="754"/>
      <c r="F92" s="8"/>
      <c r="G92" s="94" t="s">
        <v>386</v>
      </c>
      <c r="H92" s="87">
        <f>H73</f>
        <v>2011</v>
      </c>
      <c r="I92" s="87">
        <f t="shared" ref="I92:S92" si="24">I73</f>
        <v>2012</v>
      </c>
      <c r="J92" s="87">
        <f t="shared" si="24"/>
        <v>2013</v>
      </c>
      <c r="K92" s="87">
        <f t="shared" si="24"/>
        <v>2014</v>
      </c>
      <c r="L92" s="87">
        <f t="shared" si="24"/>
        <v>2015</v>
      </c>
      <c r="M92" s="87">
        <f t="shared" si="24"/>
        <v>2016</v>
      </c>
      <c r="N92" s="87">
        <f t="shared" si="24"/>
        <v>2017</v>
      </c>
      <c r="O92" s="87">
        <f t="shared" si="24"/>
        <v>2018</v>
      </c>
      <c r="P92" s="87">
        <f t="shared" si="24"/>
        <v>2019</v>
      </c>
      <c r="Q92" s="87">
        <f t="shared" si="24"/>
        <v>2020</v>
      </c>
      <c r="R92" s="87">
        <f t="shared" si="24"/>
        <v>2021</v>
      </c>
      <c r="S92" s="87">
        <f t="shared" si="24"/>
        <v>2022</v>
      </c>
    </row>
    <row r="93" spans="1:19" s="4" customFormat="1" x14ac:dyDescent="0.2">
      <c r="A93" s="8"/>
      <c r="B93" s="2" t="s">
        <v>387</v>
      </c>
      <c r="C93" s="10" t="s">
        <v>388</v>
      </c>
      <c r="D93" s="10"/>
      <c r="E93" s="9"/>
      <c r="F93" s="8"/>
      <c r="G93" s="95" t="s">
        <v>389</v>
      </c>
      <c r="H93" s="96">
        <f>H5+H11+H12+H13</f>
        <v>27.358000000000001</v>
      </c>
      <c r="I93" s="96">
        <f>I5+I11+I12+I13</f>
        <v>11.290000000000001</v>
      </c>
      <c r="J93" s="96">
        <f t="shared" ref="J93:S93" si="25">J5+J11+J12+J13</f>
        <v>54.89</v>
      </c>
      <c r="K93" s="96">
        <f t="shared" si="25"/>
        <v>261.89499999999998</v>
      </c>
      <c r="L93" s="96">
        <f t="shared" si="25"/>
        <v>409.803</v>
      </c>
      <c r="M93" s="96">
        <f t="shared" si="25"/>
        <v>503.101</v>
      </c>
      <c r="N93" s="96">
        <f t="shared" si="25"/>
        <v>622</v>
      </c>
      <c r="O93" s="96">
        <f t="shared" si="25"/>
        <v>531</v>
      </c>
      <c r="P93" s="96">
        <f t="shared" si="25"/>
        <v>436</v>
      </c>
      <c r="Q93" s="96">
        <f t="shared" si="25"/>
        <v>440</v>
      </c>
      <c r="R93" s="96">
        <f t="shared" si="25"/>
        <v>422</v>
      </c>
      <c r="S93" s="96">
        <f t="shared" si="25"/>
        <v>440</v>
      </c>
    </row>
    <row r="94" spans="1:19" s="4" customFormat="1" x14ac:dyDescent="0.2">
      <c r="A94" s="8"/>
      <c r="B94" s="2" t="s">
        <v>390</v>
      </c>
      <c r="C94" s="10"/>
      <c r="D94" s="10"/>
      <c r="E94" s="9"/>
      <c r="F94" s="8"/>
      <c r="G94" s="97" t="s">
        <v>391</v>
      </c>
      <c r="H94" s="98"/>
      <c r="I94" s="96">
        <f>I93-H93</f>
        <v>-16.067999999999998</v>
      </c>
      <c r="J94" s="96">
        <f t="shared" ref="J94:S94" si="26">J93-I93</f>
        <v>43.6</v>
      </c>
      <c r="K94" s="96">
        <f t="shared" si="26"/>
        <v>207.005</v>
      </c>
      <c r="L94" s="96">
        <f t="shared" si="26"/>
        <v>147.90800000000002</v>
      </c>
      <c r="M94" s="96">
        <f t="shared" si="26"/>
        <v>93.298000000000002</v>
      </c>
      <c r="N94" s="96">
        <f t="shared" si="26"/>
        <v>118.899</v>
      </c>
      <c r="O94" s="96">
        <f t="shared" si="26"/>
        <v>-91</v>
      </c>
      <c r="P94" s="96">
        <f t="shared" si="26"/>
        <v>-95</v>
      </c>
      <c r="Q94" s="96">
        <f t="shared" si="26"/>
        <v>4</v>
      </c>
      <c r="R94" s="96">
        <f t="shared" si="26"/>
        <v>-18</v>
      </c>
      <c r="S94" s="96">
        <f t="shared" si="26"/>
        <v>18</v>
      </c>
    </row>
    <row r="95" spans="1:19" s="4" customFormat="1" x14ac:dyDescent="0.2">
      <c r="A95" s="8"/>
      <c r="B95" s="2" t="s">
        <v>392</v>
      </c>
      <c r="C95" s="10" t="s">
        <v>42</v>
      </c>
      <c r="D95" s="10"/>
      <c r="E95" s="9"/>
      <c r="F95" s="8"/>
      <c r="G95" s="95" t="s">
        <v>393</v>
      </c>
      <c r="H95" s="96">
        <f>H19</f>
        <v>238.65299999999999</v>
      </c>
      <c r="I95" s="96">
        <f t="shared" ref="I95:S95" si="27">I19</f>
        <v>230.101</v>
      </c>
      <c r="J95" s="96">
        <f t="shared" si="27"/>
        <v>186.077</v>
      </c>
      <c r="K95" s="96">
        <f t="shared" si="27"/>
        <v>241.405</v>
      </c>
      <c r="L95" s="96">
        <f t="shared" si="27"/>
        <v>267.96899999999999</v>
      </c>
      <c r="M95" s="96">
        <f t="shared" si="27"/>
        <v>289.23700000000002</v>
      </c>
      <c r="N95" s="96">
        <f>N19</f>
        <v>376</v>
      </c>
      <c r="O95" s="96">
        <f t="shared" si="27"/>
        <v>320</v>
      </c>
      <c r="P95" s="96">
        <f t="shared" si="27"/>
        <v>242</v>
      </c>
      <c r="Q95" s="96">
        <f t="shared" si="27"/>
        <v>263</v>
      </c>
      <c r="R95" s="96">
        <f t="shared" si="27"/>
        <v>257</v>
      </c>
      <c r="S95" s="96">
        <f t="shared" si="27"/>
        <v>288</v>
      </c>
    </row>
    <row r="96" spans="1:19" s="4" customFormat="1" x14ac:dyDescent="0.2">
      <c r="A96" s="8"/>
      <c r="B96" s="2" t="s">
        <v>394</v>
      </c>
      <c r="C96" s="10"/>
      <c r="D96" s="10"/>
      <c r="E96" s="9"/>
      <c r="F96" s="8"/>
      <c r="G96" s="97" t="s">
        <v>391</v>
      </c>
      <c r="H96" s="98"/>
      <c r="I96" s="96">
        <f>I95-H95</f>
        <v>-8.5519999999999925</v>
      </c>
      <c r="J96" s="96">
        <f t="shared" ref="J96:S96" si="28">J95-I95</f>
        <v>-44.024000000000001</v>
      </c>
      <c r="K96" s="96">
        <f t="shared" si="28"/>
        <v>55.328000000000003</v>
      </c>
      <c r="L96" s="96">
        <f t="shared" si="28"/>
        <v>26.563999999999993</v>
      </c>
      <c r="M96" s="96">
        <f t="shared" si="28"/>
        <v>21.268000000000029</v>
      </c>
      <c r="N96" s="96">
        <f t="shared" si="28"/>
        <v>86.762999999999977</v>
      </c>
      <c r="O96" s="96">
        <f t="shared" si="28"/>
        <v>-56</v>
      </c>
      <c r="P96" s="96">
        <f t="shared" si="28"/>
        <v>-78</v>
      </c>
      <c r="Q96" s="96">
        <f t="shared" si="28"/>
        <v>21</v>
      </c>
      <c r="R96" s="96">
        <f t="shared" si="28"/>
        <v>-6</v>
      </c>
      <c r="S96" s="96">
        <f t="shared" si="28"/>
        <v>31</v>
      </c>
    </row>
    <row r="97" spans="1:20" s="40" customFormat="1" x14ac:dyDescent="0.2">
      <c r="A97" s="29" t="s">
        <v>395</v>
      </c>
      <c r="B97" s="2" t="s">
        <v>188</v>
      </c>
      <c r="C97" s="10" t="s">
        <v>396</v>
      </c>
      <c r="D97" s="99"/>
      <c r="E97" s="30"/>
      <c r="F97" s="29"/>
      <c r="G97" s="100" t="s">
        <v>386</v>
      </c>
      <c r="H97" s="101"/>
      <c r="I97" s="102">
        <f>I94-I96</f>
        <v>-7.5160000000000053</v>
      </c>
      <c r="J97" s="102">
        <f t="shared" ref="J97:S97" si="29">J94-J96</f>
        <v>87.623999999999995</v>
      </c>
      <c r="K97" s="102">
        <f t="shared" si="29"/>
        <v>151.67699999999999</v>
      </c>
      <c r="L97" s="102">
        <f t="shared" si="29"/>
        <v>121.34400000000002</v>
      </c>
      <c r="M97" s="102">
        <f t="shared" si="29"/>
        <v>72.029999999999973</v>
      </c>
      <c r="N97" s="102">
        <f t="shared" si="29"/>
        <v>32.136000000000024</v>
      </c>
      <c r="O97" s="102">
        <f t="shared" si="29"/>
        <v>-35</v>
      </c>
      <c r="P97" s="102">
        <f t="shared" si="29"/>
        <v>-17</v>
      </c>
      <c r="Q97" s="102">
        <f t="shared" si="29"/>
        <v>-17</v>
      </c>
      <c r="R97" s="102">
        <f t="shared" si="29"/>
        <v>-12</v>
      </c>
      <c r="S97" s="102">
        <f t="shared" si="29"/>
        <v>-13</v>
      </c>
    </row>
    <row r="98" spans="1:20" s="4" customFormat="1" x14ac:dyDescent="0.2">
      <c r="A98" s="8"/>
      <c r="B98" s="2"/>
      <c r="C98" s="10"/>
      <c r="D98" s="10"/>
      <c r="E98" s="9"/>
      <c r="F98" s="8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</row>
    <row r="99" spans="1:20" s="4" customFormat="1" x14ac:dyDescent="0.2">
      <c r="A99" s="8"/>
      <c r="B99" s="2" t="s">
        <v>397</v>
      </c>
      <c r="C99" s="10" t="s">
        <v>398</v>
      </c>
      <c r="D99" s="10"/>
      <c r="E99" s="9"/>
      <c r="F99" s="8"/>
      <c r="G99" s="95" t="s">
        <v>399</v>
      </c>
      <c r="H99" s="96">
        <f>H4-H93</f>
        <v>249.30899999999997</v>
      </c>
      <c r="I99" s="96">
        <f t="shared" ref="I99:S99" si="30">I4-I93</f>
        <v>297.26</v>
      </c>
      <c r="J99" s="96">
        <f t="shared" si="30"/>
        <v>277.63</v>
      </c>
      <c r="K99" s="96">
        <f t="shared" si="30"/>
        <v>260.91499999999996</v>
      </c>
      <c r="L99" s="96">
        <f t="shared" si="30"/>
        <v>308.18500000000006</v>
      </c>
      <c r="M99" s="96">
        <f t="shared" si="30"/>
        <v>299.774</v>
      </c>
      <c r="N99" s="96">
        <f t="shared" si="30"/>
        <v>338</v>
      </c>
      <c r="O99" s="96">
        <f t="shared" si="30"/>
        <v>376</v>
      </c>
      <c r="P99" s="96">
        <f t="shared" si="30"/>
        <v>407</v>
      </c>
      <c r="Q99" s="96">
        <f t="shared" si="30"/>
        <v>430</v>
      </c>
      <c r="R99" s="96">
        <f t="shared" si="30"/>
        <v>453</v>
      </c>
      <c r="S99" s="96">
        <f t="shared" si="30"/>
        <v>476</v>
      </c>
    </row>
    <row r="100" spans="1:20" s="4" customFormat="1" x14ac:dyDescent="0.2">
      <c r="A100" s="8"/>
      <c r="B100" s="2" t="s">
        <v>400</v>
      </c>
      <c r="C100" s="10"/>
      <c r="D100" s="10"/>
      <c r="E100" s="9"/>
      <c r="F100" s="8"/>
      <c r="G100" s="97" t="s">
        <v>391</v>
      </c>
      <c r="H100" s="98"/>
      <c r="I100" s="96">
        <f>I99-H99</f>
        <v>47.951000000000022</v>
      </c>
      <c r="J100" s="96">
        <f t="shared" ref="J100:S100" si="31">J99-I99</f>
        <v>-19.629999999999995</v>
      </c>
      <c r="K100" s="96">
        <f t="shared" si="31"/>
        <v>-16.715000000000032</v>
      </c>
      <c r="L100" s="96">
        <f t="shared" si="31"/>
        <v>47.270000000000095</v>
      </c>
      <c r="M100" s="96">
        <f t="shared" si="31"/>
        <v>-8.4110000000000582</v>
      </c>
      <c r="N100" s="96">
        <f t="shared" si="31"/>
        <v>38.225999999999999</v>
      </c>
      <c r="O100" s="96">
        <f t="shared" si="31"/>
        <v>38</v>
      </c>
      <c r="P100" s="96">
        <f t="shared" si="31"/>
        <v>31</v>
      </c>
      <c r="Q100" s="96">
        <f t="shared" si="31"/>
        <v>23</v>
      </c>
      <c r="R100" s="96">
        <f t="shared" si="31"/>
        <v>23</v>
      </c>
      <c r="S100" s="96">
        <f t="shared" si="31"/>
        <v>23</v>
      </c>
    </row>
    <row r="101" spans="1:20" s="4" customFormat="1" x14ac:dyDescent="0.2">
      <c r="A101" s="8"/>
      <c r="B101" s="2" t="s">
        <v>401</v>
      </c>
      <c r="C101" s="10" t="s">
        <v>64</v>
      </c>
      <c r="D101" s="10"/>
      <c r="E101" s="9"/>
      <c r="F101" s="8"/>
      <c r="G101" s="95" t="s">
        <v>402</v>
      </c>
      <c r="H101" s="96">
        <f>H27</f>
        <v>38.013999999999896</v>
      </c>
      <c r="I101" s="96">
        <f t="shared" ref="I101:S101" si="32">I27</f>
        <v>78.448999999999842</v>
      </c>
      <c r="J101" s="96">
        <f t="shared" si="32"/>
        <v>146.44200000000001</v>
      </c>
      <c r="K101" s="96">
        <f t="shared" si="32"/>
        <v>281.404</v>
      </c>
      <c r="L101" s="96">
        <f t="shared" si="32"/>
        <v>450.01800000000003</v>
      </c>
      <c r="M101" s="96">
        <f t="shared" si="32"/>
        <v>513.63900000000001</v>
      </c>
      <c r="N101" s="96">
        <f t="shared" si="32"/>
        <v>584</v>
      </c>
      <c r="O101" s="96">
        <f t="shared" si="32"/>
        <v>587</v>
      </c>
      <c r="P101" s="96">
        <f t="shared" si="32"/>
        <v>601</v>
      </c>
      <c r="Q101" s="96">
        <f t="shared" si="32"/>
        <v>607</v>
      </c>
      <c r="R101" s="96">
        <f t="shared" si="32"/>
        <v>618</v>
      </c>
      <c r="S101" s="96">
        <f t="shared" si="32"/>
        <v>628</v>
      </c>
    </row>
    <row r="102" spans="1:20" s="4" customFormat="1" x14ac:dyDescent="0.2">
      <c r="A102" s="8"/>
      <c r="B102" s="2" t="s">
        <v>403</v>
      </c>
      <c r="C102" s="10"/>
      <c r="D102" s="10"/>
      <c r="E102" s="9"/>
      <c r="F102" s="8"/>
      <c r="G102" s="97" t="s">
        <v>391</v>
      </c>
      <c r="H102" s="98"/>
      <c r="I102" s="96">
        <f>I101-H101</f>
        <v>40.434999999999945</v>
      </c>
      <c r="J102" s="96">
        <f t="shared" ref="J102:S102" si="33">J101-I101</f>
        <v>67.993000000000166</v>
      </c>
      <c r="K102" s="96">
        <f t="shared" si="33"/>
        <v>134.96199999999999</v>
      </c>
      <c r="L102" s="96">
        <f t="shared" si="33"/>
        <v>168.61400000000003</v>
      </c>
      <c r="M102" s="96">
        <f t="shared" si="33"/>
        <v>63.620999999999981</v>
      </c>
      <c r="N102" s="96">
        <f t="shared" si="33"/>
        <v>70.36099999999999</v>
      </c>
      <c r="O102" s="96">
        <f t="shared" si="33"/>
        <v>3</v>
      </c>
      <c r="P102" s="96">
        <f t="shared" si="33"/>
        <v>14</v>
      </c>
      <c r="Q102" s="96">
        <f t="shared" si="33"/>
        <v>6</v>
      </c>
      <c r="R102" s="96">
        <f t="shared" si="33"/>
        <v>11</v>
      </c>
      <c r="S102" s="96">
        <f t="shared" si="33"/>
        <v>10</v>
      </c>
    </row>
    <row r="103" spans="1:20" s="40" customFormat="1" x14ac:dyDescent="0.2">
      <c r="A103" s="29" t="s">
        <v>404</v>
      </c>
      <c r="B103" s="2" t="s">
        <v>189</v>
      </c>
      <c r="C103" s="10" t="s">
        <v>405</v>
      </c>
      <c r="D103" s="10"/>
      <c r="E103" s="9"/>
      <c r="F103" s="8"/>
      <c r="G103" s="100" t="s">
        <v>406</v>
      </c>
      <c r="H103" s="101"/>
      <c r="I103" s="102">
        <f>I102-I100</f>
        <v>-7.5160000000000764</v>
      </c>
      <c r="J103" s="102">
        <f t="shared" ref="J103:S103" si="34">J102-J100</f>
        <v>87.623000000000161</v>
      </c>
      <c r="K103" s="102">
        <f t="shared" si="34"/>
        <v>151.67700000000002</v>
      </c>
      <c r="L103" s="102">
        <f t="shared" si="34"/>
        <v>121.34399999999994</v>
      </c>
      <c r="M103" s="102">
        <f t="shared" si="34"/>
        <v>72.032000000000039</v>
      </c>
      <c r="N103" s="102">
        <f t="shared" si="34"/>
        <v>32.134999999999991</v>
      </c>
      <c r="O103" s="102">
        <f t="shared" si="34"/>
        <v>-35</v>
      </c>
      <c r="P103" s="102">
        <f t="shared" si="34"/>
        <v>-17</v>
      </c>
      <c r="Q103" s="102">
        <f t="shared" si="34"/>
        <v>-17</v>
      </c>
      <c r="R103" s="102">
        <f t="shared" si="34"/>
        <v>-12</v>
      </c>
      <c r="S103" s="102">
        <f t="shared" si="34"/>
        <v>-13</v>
      </c>
    </row>
    <row r="104" spans="1:20" s="4" customFormat="1" x14ac:dyDescent="0.2">
      <c r="A104" s="8"/>
      <c r="B104" s="2"/>
      <c r="C104" s="10"/>
      <c r="D104" s="10"/>
      <c r="E104" s="9"/>
      <c r="F104" s="8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</row>
    <row r="105" spans="1:20" s="4" customFormat="1" x14ac:dyDescent="0.2">
      <c r="A105" s="13"/>
      <c r="B105" s="2"/>
      <c r="C105" s="10"/>
      <c r="D105" s="10"/>
      <c r="E105" s="9"/>
      <c r="F105" s="8"/>
      <c r="G105" s="94" t="s">
        <v>407</v>
      </c>
      <c r="H105" s="87">
        <f t="shared" ref="H105:S105" si="35">H32</f>
        <v>2011</v>
      </c>
      <c r="I105" s="87">
        <f t="shared" si="35"/>
        <v>2012</v>
      </c>
      <c r="J105" s="87">
        <f t="shared" si="35"/>
        <v>2013</v>
      </c>
      <c r="K105" s="87">
        <f t="shared" si="35"/>
        <v>2014</v>
      </c>
      <c r="L105" s="87">
        <f t="shared" si="35"/>
        <v>2015</v>
      </c>
      <c r="M105" s="87">
        <f t="shared" si="35"/>
        <v>2016</v>
      </c>
      <c r="N105" s="87">
        <f t="shared" si="35"/>
        <v>2017</v>
      </c>
      <c r="O105" s="87">
        <f t="shared" si="35"/>
        <v>2018</v>
      </c>
      <c r="P105" s="87">
        <f t="shared" si="35"/>
        <v>2019</v>
      </c>
      <c r="Q105" s="87">
        <f t="shared" si="35"/>
        <v>2020</v>
      </c>
      <c r="R105" s="87">
        <f t="shared" si="35"/>
        <v>2021</v>
      </c>
      <c r="S105" s="87">
        <f t="shared" si="35"/>
        <v>2022</v>
      </c>
    </row>
    <row r="106" spans="1:20" s="40" customFormat="1" x14ac:dyDescent="0.2">
      <c r="A106" s="29" t="s">
        <v>408</v>
      </c>
      <c r="B106" s="2" t="s">
        <v>192</v>
      </c>
      <c r="C106" s="29" t="s">
        <v>409</v>
      </c>
      <c r="D106" s="10"/>
      <c r="E106" s="9"/>
      <c r="F106" s="8"/>
      <c r="G106" s="103" t="s">
        <v>407</v>
      </c>
      <c r="H106" s="101" t="s">
        <v>358</v>
      </c>
      <c r="I106" s="104">
        <f t="shared" ref="I106:N106" si="36">(I48-I45+I50)+(I58+I59)+(I82+I83+I84+I85)-(I85-I49)</f>
        <v>-8.5180000000004839</v>
      </c>
      <c r="J106" s="104">
        <f t="shared" si="36"/>
        <v>88.000999999999749</v>
      </c>
      <c r="K106" s="104">
        <f t="shared" si="36"/>
        <v>63.791999999999888</v>
      </c>
      <c r="L106" s="104">
        <f t="shared" si="36"/>
        <v>123.74600000000022</v>
      </c>
      <c r="M106" s="104">
        <f t="shared" si="36"/>
        <v>71.72999999999972</v>
      </c>
      <c r="N106" s="104">
        <f t="shared" si="36"/>
        <v>32</v>
      </c>
      <c r="O106" s="104">
        <f>(O48-O45+O50)+(O58+O59)+(O82+O83+O84+O85)-(O85-O49)</f>
        <v>-35</v>
      </c>
      <c r="P106" s="104">
        <f>(P48-P45+P50)+(P58+P59)+(P82+P83+P84+P85)-(P85-P49)</f>
        <v>-17</v>
      </c>
      <c r="Q106" s="104">
        <f>(Q48-Q45+Q50)+(Q58+Q59)+(Q82+Q83+Q84+Q85)-(Q85-Q49)</f>
        <v>-17</v>
      </c>
      <c r="R106" s="104">
        <f>(R48-R45+R50)+(R58+R59)+(R82+R83+R84+R85)-(R85-R49)</f>
        <v>-12</v>
      </c>
      <c r="S106" s="104">
        <f>(S48-S45+S50)+(S58+S59)+(S82+S83+S84+S85)-(S85-S49)</f>
        <v>-13</v>
      </c>
    </row>
    <row r="107" spans="1:20" s="40" customFormat="1" x14ac:dyDescent="0.2">
      <c r="A107" s="29" t="s">
        <v>410</v>
      </c>
      <c r="B107" s="2" t="s">
        <v>194</v>
      </c>
      <c r="C107" s="29" t="s">
        <v>411</v>
      </c>
      <c r="D107" s="10"/>
      <c r="E107" s="9"/>
      <c r="F107" s="8"/>
      <c r="G107" s="89" t="s">
        <v>412</v>
      </c>
      <c r="H107" s="101" t="s">
        <v>358</v>
      </c>
      <c r="I107" s="85">
        <f>I97-I106</f>
        <v>1.0020000000004785</v>
      </c>
      <c r="J107" s="85">
        <f t="shared" ref="J107:S107" si="37">J97-J106</f>
        <v>-0.37699999999975375</v>
      </c>
      <c r="K107" s="85">
        <f t="shared" si="37"/>
        <v>87.885000000000105</v>
      </c>
      <c r="L107" s="85">
        <f t="shared" si="37"/>
        <v>-2.4020000000002</v>
      </c>
      <c r="M107" s="85">
        <f t="shared" si="37"/>
        <v>0.30000000000025295</v>
      </c>
      <c r="N107" s="85">
        <f t="shared" si="37"/>
        <v>0.1360000000000241</v>
      </c>
      <c r="O107" s="85">
        <f t="shared" si="37"/>
        <v>0</v>
      </c>
      <c r="P107" s="85">
        <f t="shared" si="37"/>
        <v>0</v>
      </c>
      <c r="Q107" s="85">
        <f t="shared" si="37"/>
        <v>0</v>
      </c>
      <c r="R107" s="85">
        <f t="shared" si="37"/>
        <v>0</v>
      </c>
      <c r="S107" s="85">
        <f t="shared" si="37"/>
        <v>0</v>
      </c>
    </row>
    <row r="108" spans="1:20" s="40" customFormat="1" x14ac:dyDescent="0.2">
      <c r="A108" s="29"/>
      <c r="B108" s="2"/>
      <c r="C108" s="29"/>
      <c r="D108" s="10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</row>
    <row r="109" spans="1:20" s="40" customFormat="1" x14ac:dyDescent="0.2">
      <c r="A109" s="29"/>
      <c r="B109" s="2"/>
      <c r="C109" s="29"/>
      <c r="D109" s="10"/>
      <c r="E109" s="9"/>
      <c r="F109" s="8"/>
      <c r="G109" s="94" t="s">
        <v>413</v>
      </c>
      <c r="H109" s="87">
        <f>H105</f>
        <v>2011</v>
      </c>
      <c r="I109" s="87">
        <f t="shared" ref="I109:S109" si="38">I105</f>
        <v>2012</v>
      </c>
      <c r="J109" s="87">
        <f t="shared" si="38"/>
        <v>2013</v>
      </c>
      <c r="K109" s="87">
        <f t="shared" si="38"/>
        <v>2014</v>
      </c>
      <c r="L109" s="87">
        <f t="shared" si="38"/>
        <v>2015</v>
      </c>
      <c r="M109" s="87">
        <f t="shared" si="38"/>
        <v>2016</v>
      </c>
      <c r="N109" s="87">
        <f t="shared" si="38"/>
        <v>2017</v>
      </c>
      <c r="O109" s="87">
        <f t="shared" si="38"/>
        <v>2018</v>
      </c>
      <c r="P109" s="87">
        <f t="shared" si="38"/>
        <v>2019</v>
      </c>
      <c r="Q109" s="87">
        <f t="shared" si="38"/>
        <v>2020</v>
      </c>
      <c r="R109" s="87">
        <f t="shared" si="38"/>
        <v>2021</v>
      </c>
      <c r="S109" s="87">
        <f t="shared" si="38"/>
        <v>2022</v>
      </c>
    </row>
    <row r="110" spans="1:20" s="4" customFormat="1" x14ac:dyDescent="0.2">
      <c r="A110" s="8" t="s">
        <v>414</v>
      </c>
      <c r="B110" s="2" t="s">
        <v>415</v>
      </c>
      <c r="C110" s="34" t="s">
        <v>190</v>
      </c>
      <c r="D110" s="10"/>
      <c r="E110" s="9"/>
      <c r="F110" s="8"/>
      <c r="G110" s="103" t="s">
        <v>191</v>
      </c>
      <c r="H110" s="105">
        <f t="shared" ref="H110:S110" si="39">H33+H38+H41-H45</f>
        <v>-1983.1770000000006</v>
      </c>
      <c r="I110" s="77">
        <f t="shared" si="39"/>
        <v>-2003.0270000000003</v>
      </c>
      <c r="J110" s="77">
        <f t="shared" si="39"/>
        <v>-2158.9259999999999</v>
      </c>
      <c r="K110" s="77">
        <f t="shared" si="39"/>
        <v>63.791999999999888</v>
      </c>
      <c r="L110" s="77">
        <f t="shared" si="39"/>
        <v>182.92400000000023</v>
      </c>
      <c r="M110" s="77">
        <f t="shared" si="39"/>
        <v>104.29499999999973</v>
      </c>
      <c r="N110" s="77">
        <f t="shared" si="39"/>
        <v>82</v>
      </c>
      <c r="O110" s="77">
        <f t="shared" si="39"/>
        <v>25</v>
      </c>
      <c r="P110" s="77">
        <f t="shared" si="39"/>
        <v>36</v>
      </c>
      <c r="Q110" s="77">
        <f t="shared" si="39"/>
        <v>36</v>
      </c>
      <c r="R110" s="77">
        <f t="shared" si="39"/>
        <v>41</v>
      </c>
      <c r="S110" s="77">
        <f t="shared" si="39"/>
        <v>40</v>
      </c>
    </row>
    <row r="111" spans="1:20" s="4" customFormat="1" x14ac:dyDescent="0.2">
      <c r="A111" s="8" t="s">
        <v>416</v>
      </c>
      <c r="B111" s="2" t="s">
        <v>197</v>
      </c>
      <c r="C111" s="8" t="s">
        <v>417</v>
      </c>
      <c r="D111" s="10"/>
      <c r="E111" s="106">
        <v>0</v>
      </c>
      <c r="F111" s="8"/>
      <c r="G111" s="46" t="s">
        <v>193</v>
      </c>
      <c r="H111" s="107">
        <f t="shared" ref="H111:S111" si="40">H110/H33</f>
        <v>-12.969739974363675</v>
      </c>
      <c r="I111" s="108">
        <f t="shared" si="40"/>
        <v>-7.2626332945369647</v>
      </c>
      <c r="J111" s="108">
        <f t="shared" si="40"/>
        <v>-5.2412565851763739</v>
      </c>
      <c r="K111" s="108">
        <f t="shared" si="40"/>
        <v>2.6540554101466649E-2</v>
      </c>
      <c r="L111" s="108">
        <f t="shared" si="40"/>
        <v>6.1032525500841532E-2</v>
      </c>
      <c r="M111" s="108">
        <f t="shared" si="40"/>
        <v>3.3730747810630367E-2</v>
      </c>
      <c r="N111" s="108">
        <f t="shared" si="40"/>
        <v>2.6771139405811297E-2</v>
      </c>
      <c r="O111" s="108">
        <f t="shared" si="40"/>
        <v>7.6546233925290875E-3</v>
      </c>
      <c r="P111" s="108">
        <f t="shared" si="40"/>
        <v>1.1356466876971609E-2</v>
      </c>
      <c r="Q111" s="108">
        <f t="shared" si="40"/>
        <v>1.1302982731554161E-2</v>
      </c>
      <c r="R111" s="108">
        <f t="shared" si="40"/>
        <v>1.2933753943217666E-2</v>
      </c>
      <c r="S111" s="108">
        <f t="shared" si="40"/>
        <v>1.1904761904761904E-2</v>
      </c>
    </row>
    <row r="112" spans="1:20" s="4" customFormat="1" x14ac:dyDescent="0.2">
      <c r="A112" s="8" t="s">
        <v>418</v>
      </c>
      <c r="B112" s="2" t="s">
        <v>200</v>
      </c>
      <c r="C112" s="34" t="s">
        <v>195</v>
      </c>
      <c r="D112" s="10"/>
      <c r="E112" s="109"/>
      <c r="F112" s="8"/>
      <c r="G112" s="110" t="s">
        <v>196</v>
      </c>
      <c r="H112" s="111">
        <f t="shared" ref="H112:S112" si="41">-H33/(H38+H41)</f>
        <v>7.0990829708920303E-2</v>
      </c>
      <c r="I112" s="111">
        <f t="shared" si="41"/>
        <v>0.12001895592703445</v>
      </c>
      <c r="J112" s="111">
        <f t="shared" si="41"/>
        <v>0.15900993913452668</v>
      </c>
      <c r="K112" s="111">
        <f t="shared" si="41"/>
        <v>1.0206584687874483</v>
      </c>
      <c r="L112" s="111">
        <f t="shared" si="41"/>
        <v>1.0588599388811362</v>
      </c>
      <c r="M112" s="111">
        <f t="shared" si="41"/>
        <v>1.020446648748264</v>
      </c>
      <c r="N112" s="111">
        <f t="shared" si="41"/>
        <v>1.0233879051119279</v>
      </c>
      <c r="O112" s="111">
        <f t="shared" si="41"/>
        <v>1.0009193993257739</v>
      </c>
      <c r="P112" s="111">
        <f t="shared" si="41"/>
        <v>1.0044359949302915</v>
      </c>
      <c r="Q112" s="111">
        <f t="shared" si="41"/>
        <v>1.0018873859704309</v>
      </c>
      <c r="R112" s="111">
        <f t="shared" si="41"/>
        <v>1.0034821145932258</v>
      </c>
      <c r="S112" s="111">
        <f t="shared" si="41"/>
        <v>1.0029850746268656</v>
      </c>
    </row>
    <row r="113" spans="1:20" s="4" customFormat="1" x14ac:dyDescent="0.2">
      <c r="A113" s="8" t="s">
        <v>419</v>
      </c>
      <c r="B113" s="2" t="s">
        <v>420</v>
      </c>
      <c r="C113" s="8" t="s">
        <v>198</v>
      </c>
      <c r="D113" s="10"/>
      <c r="E113" s="109"/>
      <c r="F113" s="8"/>
      <c r="G113" s="103" t="s">
        <v>199</v>
      </c>
      <c r="H113" s="105">
        <f t="shared" ref="H113:S113" si="42">H46</f>
        <v>-2001.0040000000006</v>
      </c>
      <c r="I113" s="105">
        <f t="shared" si="42"/>
        <v>-2022.1630000000002</v>
      </c>
      <c r="J113" s="105">
        <f t="shared" si="42"/>
        <v>-2178.5569999999998</v>
      </c>
      <c r="K113" s="105">
        <f t="shared" si="42"/>
        <v>48.648999999999887</v>
      </c>
      <c r="L113" s="105">
        <f t="shared" si="42"/>
        <v>166.60600000000022</v>
      </c>
      <c r="M113" s="105">
        <f t="shared" si="42"/>
        <v>61.953999999999724</v>
      </c>
      <c r="N113" s="105">
        <f t="shared" si="42"/>
        <v>70</v>
      </c>
      <c r="O113" s="105">
        <f t="shared" si="42"/>
        <v>3</v>
      </c>
      <c r="P113" s="105">
        <f t="shared" si="42"/>
        <v>14</v>
      </c>
      <c r="Q113" s="105">
        <f t="shared" si="42"/>
        <v>6</v>
      </c>
      <c r="R113" s="105">
        <f t="shared" si="42"/>
        <v>11</v>
      </c>
      <c r="S113" s="105">
        <f t="shared" si="42"/>
        <v>10</v>
      </c>
    </row>
    <row r="114" spans="1:20" s="4" customFormat="1" x14ac:dyDescent="0.2">
      <c r="A114" s="8" t="s">
        <v>421</v>
      </c>
      <c r="B114" s="2" t="s">
        <v>422</v>
      </c>
      <c r="C114" s="8" t="s">
        <v>201</v>
      </c>
      <c r="D114" s="106">
        <v>-0.3</v>
      </c>
      <c r="E114" s="106">
        <v>0</v>
      </c>
      <c r="F114" s="8"/>
      <c r="G114" s="110" t="s">
        <v>202</v>
      </c>
      <c r="H114" s="112">
        <f t="shared" ref="H114:S114" si="43">H46/H33</f>
        <v>-13.086326418500018</v>
      </c>
      <c r="I114" s="113">
        <f t="shared" si="43"/>
        <v>-7.3320171574226176</v>
      </c>
      <c r="J114" s="113">
        <f t="shared" si="43"/>
        <v>-5.2889150542594257</v>
      </c>
      <c r="K114" s="113">
        <f t="shared" si="43"/>
        <v>2.0240334469561236E-2</v>
      </c>
      <c r="L114" s="113">
        <f t="shared" si="43"/>
        <v>5.558803078651902E-2</v>
      </c>
      <c r="M114" s="113">
        <f t="shared" si="43"/>
        <v>2.0036960063855309E-2</v>
      </c>
      <c r="N114" s="113">
        <f t="shared" si="43"/>
        <v>2.2853411687887692E-2</v>
      </c>
      <c r="O114" s="113">
        <f t="shared" si="43"/>
        <v>9.1855480710349051E-4</v>
      </c>
      <c r="P114" s="113">
        <f t="shared" si="43"/>
        <v>4.4164037854889588E-3</v>
      </c>
      <c r="Q114" s="113">
        <f t="shared" si="43"/>
        <v>1.8838304552590266E-3</v>
      </c>
      <c r="R114" s="113">
        <f t="shared" si="43"/>
        <v>3.4700315457413251E-3</v>
      </c>
      <c r="S114" s="113">
        <f t="shared" si="43"/>
        <v>2.976190476190476E-3</v>
      </c>
    </row>
    <row r="115" spans="1:20" s="4" customFormat="1" x14ac:dyDescent="0.2">
      <c r="A115" s="8" t="s">
        <v>423</v>
      </c>
      <c r="B115" s="2" t="s">
        <v>424</v>
      </c>
      <c r="C115" s="8" t="s">
        <v>204</v>
      </c>
      <c r="D115" s="10"/>
      <c r="E115" s="109"/>
      <c r="F115" s="8"/>
      <c r="G115" s="46" t="s">
        <v>205</v>
      </c>
      <c r="H115" s="105">
        <f t="shared" ref="H115:S115" si="44">H29+H30</f>
        <v>0</v>
      </c>
      <c r="I115" s="105">
        <f t="shared" si="44"/>
        <v>0</v>
      </c>
      <c r="J115" s="105">
        <f t="shared" si="44"/>
        <v>0</v>
      </c>
      <c r="K115" s="105">
        <f t="shared" si="44"/>
        <v>-4.4570000000000007</v>
      </c>
      <c r="L115" s="105">
        <f t="shared" si="44"/>
        <v>164.15700000000001</v>
      </c>
      <c r="M115" s="105">
        <f t="shared" si="44"/>
        <v>227.77799999999999</v>
      </c>
      <c r="N115" s="105">
        <f t="shared" si="44"/>
        <v>298</v>
      </c>
      <c r="O115" s="105">
        <f t="shared" si="44"/>
        <v>301</v>
      </c>
      <c r="P115" s="105">
        <f t="shared" si="44"/>
        <v>315</v>
      </c>
      <c r="Q115" s="105">
        <f t="shared" si="44"/>
        <v>321</v>
      </c>
      <c r="R115" s="105">
        <f t="shared" si="44"/>
        <v>332</v>
      </c>
      <c r="S115" s="105">
        <f t="shared" si="44"/>
        <v>342</v>
      </c>
    </row>
    <row r="116" spans="1:20" s="4" customFormat="1" x14ac:dyDescent="0.2">
      <c r="A116" s="8"/>
      <c r="B116" s="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</row>
    <row r="117" spans="1:20" s="4" customFormat="1" x14ac:dyDescent="0.2">
      <c r="A117" s="8"/>
      <c r="B117" s="2"/>
      <c r="C117" s="10"/>
      <c r="D117" s="10"/>
      <c r="E117" s="8"/>
      <c r="F117" s="8"/>
      <c r="G117" s="94" t="s">
        <v>206</v>
      </c>
      <c r="H117" s="87">
        <f t="shared" ref="H117:S117" si="45">H105</f>
        <v>2011</v>
      </c>
      <c r="I117" s="87">
        <f t="shared" si="45"/>
        <v>2012</v>
      </c>
      <c r="J117" s="87">
        <f t="shared" si="45"/>
        <v>2013</v>
      </c>
      <c r="K117" s="87">
        <f t="shared" si="45"/>
        <v>2014</v>
      </c>
      <c r="L117" s="87">
        <f t="shared" si="45"/>
        <v>2015</v>
      </c>
      <c r="M117" s="87">
        <f t="shared" si="45"/>
        <v>2016</v>
      </c>
      <c r="N117" s="87">
        <f t="shared" si="45"/>
        <v>2017</v>
      </c>
      <c r="O117" s="87">
        <f t="shared" si="45"/>
        <v>2018</v>
      </c>
      <c r="P117" s="87">
        <f t="shared" si="45"/>
        <v>2019</v>
      </c>
      <c r="Q117" s="87">
        <f t="shared" si="45"/>
        <v>2020</v>
      </c>
      <c r="R117" s="87">
        <f t="shared" si="45"/>
        <v>2021</v>
      </c>
      <c r="S117" s="87">
        <f t="shared" si="45"/>
        <v>2022</v>
      </c>
    </row>
    <row r="118" spans="1:20" s="4" customFormat="1" x14ac:dyDescent="0.2">
      <c r="A118" s="34" t="s">
        <v>425</v>
      </c>
      <c r="B118" s="2" t="s">
        <v>426</v>
      </c>
      <c r="C118" s="10" t="s">
        <v>208</v>
      </c>
      <c r="D118" s="10"/>
      <c r="E118" s="109"/>
      <c r="F118" s="37"/>
      <c r="G118" s="103" t="s">
        <v>209</v>
      </c>
      <c r="H118" s="105">
        <f t="shared" ref="H118:S118" si="46">H6+H12</f>
        <v>0</v>
      </c>
      <c r="I118" s="77">
        <f t="shared" si="46"/>
        <v>4.3999999999999997E-2</v>
      </c>
      <c r="J118" s="77">
        <f t="shared" si="46"/>
        <v>1.94</v>
      </c>
      <c r="K118" s="77">
        <f t="shared" si="46"/>
        <v>239.845</v>
      </c>
      <c r="L118" s="77">
        <f t="shared" si="46"/>
        <v>346.72699999999998</v>
      </c>
      <c r="M118" s="77">
        <f t="shared" si="46"/>
        <v>433.24900000000002</v>
      </c>
      <c r="N118" s="77">
        <f t="shared" si="46"/>
        <v>552</v>
      </c>
      <c r="O118" s="77">
        <f t="shared" si="46"/>
        <v>461</v>
      </c>
      <c r="P118" s="77">
        <f t="shared" si="46"/>
        <v>366</v>
      </c>
      <c r="Q118" s="77">
        <f t="shared" si="46"/>
        <v>370</v>
      </c>
      <c r="R118" s="77">
        <f t="shared" si="46"/>
        <v>350</v>
      </c>
      <c r="S118" s="77">
        <f t="shared" si="46"/>
        <v>380</v>
      </c>
    </row>
    <row r="119" spans="1:20" s="4" customFormat="1" x14ac:dyDescent="0.2">
      <c r="A119" s="8" t="s">
        <v>427</v>
      </c>
      <c r="B119" s="2" t="s">
        <v>428</v>
      </c>
      <c r="C119" s="8" t="s">
        <v>42</v>
      </c>
      <c r="D119" s="10"/>
      <c r="E119" s="109"/>
      <c r="F119" s="37"/>
      <c r="G119" s="110" t="s">
        <v>211</v>
      </c>
      <c r="H119" s="105">
        <f t="shared" ref="H119:S119" si="47">H19</f>
        <v>238.65299999999999</v>
      </c>
      <c r="I119" s="105">
        <f t="shared" si="47"/>
        <v>230.101</v>
      </c>
      <c r="J119" s="105">
        <f t="shared" si="47"/>
        <v>186.077</v>
      </c>
      <c r="K119" s="105">
        <f t="shared" si="47"/>
        <v>241.405</v>
      </c>
      <c r="L119" s="105">
        <f t="shared" si="47"/>
        <v>267.96899999999999</v>
      </c>
      <c r="M119" s="105">
        <f t="shared" si="47"/>
        <v>289.23700000000002</v>
      </c>
      <c r="N119" s="105">
        <f t="shared" si="47"/>
        <v>376</v>
      </c>
      <c r="O119" s="105">
        <f t="shared" si="47"/>
        <v>320</v>
      </c>
      <c r="P119" s="105">
        <f t="shared" si="47"/>
        <v>242</v>
      </c>
      <c r="Q119" s="105">
        <f t="shared" si="47"/>
        <v>263</v>
      </c>
      <c r="R119" s="105">
        <f t="shared" si="47"/>
        <v>257</v>
      </c>
      <c r="S119" s="105">
        <f t="shared" si="47"/>
        <v>288</v>
      </c>
    </row>
    <row r="120" spans="1:20" s="4" customFormat="1" x14ac:dyDescent="0.2">
      <c r="A120" s="8" t="s">
        <v>429</v>
      </c>
      <c r="B120" s="2" t="s">
        <v>203</v>
      </c>
      <c r="C120" s="8" t="s">
        <v>430</v>
      </c>
      <c r="D120" s="10"/>
      <c r="E120" s="109"/>
      <c r="F120" s="37"/>
      <c r="G120" s="110" t="s">
        <v>212</v>
      </c>
      <c r="H120" s="105">
        <f t="shared" ref="H120:S120" si="48">H119-H118</f>
        <v>238.65299999999999</v>
      </c>
      <c r="I120" s="77">
        <f t="shared" si="48"/>
        <v>230.05699999999999</v>
      </c>
      <c r="J120" s="77">
        <f t="shared" si="48"/>
        <v>184.137</v>
      </c>
      <c r="K120" s="77">
        <f t="shared" si="48"/>
        <v>1.5600000000000023</v>
      </c>
      <c r="L120" s="77">
        <f t="shared" si="48"/>
        <v>-78.757999999999981</v>
      </c>
      <c r="M120" s="77">
        <f>M119-M118</f>
        <v>-144.012</v>
      </c>
      <c r="N120" s="77">
        <f t="shared" si="48"/>
        <v>-176</v>
      </c>
      <c r="O120" s="77">
        <f t="shared" si="48"/>
        <v>-141</v>
      </c>
      <c r="P120" s="77">
        <f t="shared" si="48"/>
        <v>-124</v>
      </c>
      <c r="Q120" s="77">
        <f t="shared" si="48"/>
        <v>-107</v>
      </c>
      <c r="R120" s="77">
        <f t="shared" si="48"/>
        <v>-93</v>
      </c>
      <c r="S120" s="77">
        <f t="shared" si="48"/>
        <v>-92</v>
      </c>
    </row>
    <row r="121" spans="1:20" s="4" customFormat="1" x14ac:dyDescent="0.2">
      <c r="A121" s="34" t="s">
        <v>431</v>
      </c>
      <c r="B121" s="2" t="s">
        <v>207</v>
      </c>
      <c r="C121" s="8" t="s">
        <v>432</v>
      </c>
      <c r="D121" s="10"/>
      <c r="E121" s="106">
        <v>0.4</v>
      </c>
      <c r="F121" s="114" t="s">
        <v>433</v>
      </c>
      <c r="G121" s="46" t="s">
        <v>213</v>
      </c>
      <c r="H121" s="115">
        <f t="shared" ref="H121:S121" si="49">H120/H33</f>
        <v>1.5607620268396685</v>
      </c>
      <c r="I121" s="108">
        <f t="shared" si="49"/>
        <v>0.83414733193376334</v>
      </c>
      <c r="J121" s="108">
        <f t="shared" si="49"/>
        <v>0.44703211866669906</v>
      </c>
      <c r="K121" s="108">
        <f t="shared" si="49"/>
        <v>6.4903537117958529E-4</v>
      </c>
      <c r="L121" s="108">
        <f t="shared" si="49"/>
        <v>-2.6277577810430944E-2</v>
      </c>
      <c r="M121" s="108">
        <f t="shared" si="49"/>
        <v>-4.6575890059010618E-2</v>
      </c>
      <c r="N121" s="108">
        <f t="shared" si="49"/>
        <v>-5.74600065295462E-2</v>
      </c>
      <c r="O121" s="108">
        <f t="shared" si="49"/>
        <v>-4.3172075933864053E-2</v>
      </c>
      <c r="P121" s="108">
        <f t="shared" si="49"/>
        <v>-3.9116719242902206E-2</v>
      </c>
      <c r="Q121" s="108">
        <f t="shared" si="49"/>
        <v>-3.3594976452119306E-2</v>
      </c>
      <c r="R121" s="108">
        <f t="shared" si="49"/>
        <v>-2.9337539432176655E-2</v>
      </c>
      <c r="S121" s="108">
        <f t="shared" si="49"/>
        <v>-2.7380952380952381E-2</v>
      </c>
    </row>
    <row r="122" spans="1:20" s="4" customFormat="1" x14ac:dyDescent="0.2">
      <c r="A122" s="8" t="s">
        <v>434</v>
      </c>
      <c r="B122" s="2" t="s">
        <v>210</v>
      </c>
      <c r="C122" s="8" t="s">
        <v>435</v>
      </c>
      <c r="D122" s="116">
        <v>0</v>
      </c>
      <c r="E122" s="116">
        <v>5</v>
      </c>
      <c r="F122" s="37"/>
      <c r="G122" s="100" t="s">
        <v>215</v>
      </c>
      <c r="H122" s="111">
        <f t="shared" ref="H122:S122" si="50">H120/H110</f>
        <v>-0.12033872922084106</v>
      </c>
      <c r="I122" s="111">
        <f t="shared" si="50"/>
        <v>-0.11485466746079806</v>
      </c>
      <c r="J122" s="111">
        <f t="shared" si="50"/>
        <v>-8.5291019701462675E-2</v>
      </c>
      <c r="K122" s="111">
        <f t="shared" si="50"/>
        <v>2.4454477050413925E-2</v>
      </c>
      <c r="L122" s="111">
        <f t="shared" si="50"/>
        <v>-0.43055039251273686</v>
      </c>
      <c r="M122" s="111">
        <f>M120/M110</f>
        <v>-1.3808140371062887</v>
      </c>
      <c r="N122" s="111">
        <f t="shared" si="50"/>
        <v>-2.1463414634146343</v>
      </c>
      <c r="O122" s="111">
        <f t="shared" si="50"/>
        <v>-5.64</v>
      </c>
      <c r="P122" s="111">
        <f t="shared" si="50"/>
        <v>-3.4444444444444446</v>
      </c>
      <c r="Q122" s="111">
        <f t="shared" si="50"/>
        <v>-2.9722222222222223</v>
      </c>
      <c r="R122" s="111">
        <f t="shared" si="50"/>
        <v>-2.2682926829268291</v>
      </c>
      <c r="S122" s="111">
        <f t="shared" si="50"/>
        <v>-2.2999999999999998</v>
      </c>
    </row>
    <row r="123" spans="1:20" s="4" customFormat="1" x14ac:dyDescent="0.2">
      <c r="A123" s="8" t="s">
        <v>436</v>
      </c>
      <c r="B123" s="2" t="s">
        <v>437</v>
      </c>
      <c r="C123" s="8" t="s">
        <v>217</v>
      </c>
      <c r="D123" s="10"/>
      <c r="E123" s="109"/>
      <c r="F123" s="37"/>
      <c r="G123" s="110" t="s">
        <v>218</v>
      </c>
      <c r="H123" s="105">
        <f t="shared" ref="H123:S123" si="51">-(H75+H77+H78+H79+H80+H81)</f>
        <v>0</v>
      </c>
      <c r="I123" s="105">
        <f t="shared" si="51"/>
        <v>0</v>
      </c>
      <c r="J123" s="105">
        <f t="shared" si="51"/>
        <v>0</v>
      </c>
      <c r="K123" s="105">
        <f t="shared" si="51"/>
        <v>6.3549999999999995</v>
      </c>
      <c r="L123" s="105">
        <f t="shared" si="51"/>
        <v>0</v>
      </c>
      <c r="M123" s="105">
        <f t="shared" si="51"/>
        <v>0</v>
      </c>
      <c r="N123" s="105">
        <f t="shared" si="51"/>
        <v>0</v>
      </c>
      <c r="O123" s="105">
        <f t="shared" si="51"/>
        <v>0</v>
      </c>
      <c r="P123" s="105">
        <f t="shared" si="51"/>
        <v>0</v>
      </c>
      <c r="Q123" s="105">
        <f t="shared" si="51"/>
        <v>0</v>
      </c>
      <c r="R123" s="105">
        <f t="shared" si="51"/>
        <v>0</v>
      </c>
      <c r="S123" s="105">
        <f t="shared" si="51"/>
        <v>0</v>
      </c>
    </row>
    <row r="124" spans="1:20" s="4" customFormat="1" x14ac:dyDescent="0.2">
      <c r="A124" s="8" t="s">
        <v>438</v>
      </c>
      <c r="B124" s="2" t="s">
        <v>439</v>
      </c>
      <c r="C124" s="8" t="s">
        <v>440</v>
      </c>
      <c r="D124" s="10"/>
      <c r="E124" s="116">
        <v>1.2</v>
      </c>
      <c r="F124" s="114" t="s">
        <v>433</v>
      </c>
      <c r="G124" s="110" t="s">
        <v>220</v>
      </c>
      <c r="H124" s="117" t="e">
        <f t="shared" ref="H124:S124" si="52">H110/H123</f>
        <v>#DIV/0!</v>
      </c>
      <c r="I124" s="111" t="e">
        <f t="shared" si="52"/>
        <v>#DIV/0!</v>
      </c>
      <c r="J124" s="111" t="e">
        <f t="shared" si="52"/>
        <v>#DIV/0!</v>
      </c>
      <c r="K124" s="111">
        <f t="shared" si="52"/>
        <v>10.038080251770243</v>
      </c>
      <c r="L124" s="111" t="e">
        <f t="shared" si="52"/>
        <v>#DIV/0!</v>
      </c>
      <c r="M124" s="111" t="e">
        <f t="shared" si="52"/>
        <v>#DIV/0!</v>
      </c>
      <c r="N124" s="111" t="e">
        <f t="shared" si="52"/>
        <v>#DIV/0!</v>
      </c>
      <c r="O124" s="111" t="e">
        <f t="shared" si="52"/>
        <v>#DIV/0!</v>
      </c>
      <c r="P124" s="111" t="e">
        <f t="shared" si="52"/>
        <v>#DIV/0!</v>
      </c>
      <c r="Q124" s="111" t="e">
        <f t="shared" si="52"/>
        <v>#DIV/0!</v>
      </c>
      <c r="R124" s="111" t="e">
        <f t="shared" si="52"/>
        <v>#DIV/0!</v>
      </c>
      <c r="S124" s="111" t="e">
        <f t="shared" si="52"/>
        <v>#DIV/0!</v>
      </c>
    </row>
    <row r="125" spans="1:20" s="4" customFormat="1" x14ac:dyDescent="0.2">
      <c r="A125" s="38" t="s">
        <v>441</v>
      </c>
      <c r="B125" s="2" t="s">
        <v>442</v>
      </c>
      <c r="C125" s="8" t="s">
        <v>222</v>
      </c>
      <c r="D125" s="10"/>
      <c r="E125" s="116">
        <v>0</v>
      </c>
      <c r="F125" s="37"/>
      <c r="G125" s="103" t="s">
        <v>223</v>
      </c>
      <c r="H125" s="105">
        <f t="shared" ref="H125:S125" si="53">H5-H20</f>
        <v>-211.29499999999999</v>
      </c>
      <c r="I125" s="105">
        <f t="shared" si="53"/>
        <v>-218.81100000000001</v>
      </c>
      <c r="J125" s="105">
        <f t="shared" si="53"/>
        <v>-131.18700000000001</v>
      </c>
      <c r="K125" s="105">
        <f t="shared" si="53"/>
        <v>20.489999999999981</v>
      </c>
      <c r="L125" s="105">
        <f t="shared" si="53"/>
        <v>141.834</v>
      </c>
      <c r="M125" s="105">
        <f t="shared" si="53"/>
        <v>213.86399999999998</v>
      </c>
      <c r="N125" s="105">
        <f t="shared" si="53"/>
        <v>246</v>
      </c>
      <c r="O125" s="105">
        <f t="shared" si="53"/>
        <v>211</v>
      </c>
      <c r="P125" s="105">
        <f t="shared" si="53"/>
        <v>194</v>
      </c>
      <c r="Q125" s="105">
        <f t="shared" si="53"/>
        <v>177</v>
      </c>
      <c r="R125" s="105">
        <f t="shared" si="53"/>
        <v>165</v>
      </c>
      <c r="S125" s="105">
        <f t="shared" si="53"/>
        <v>152</v>
      </c>
    </row>
    <row r="126" spans="1:20" s="4" customFormat="1" x14ac:dyDescent="0.2">
      <c r="A126" s="34" t="s">
        <v>443</v>
      </c>
      <c r="B126" s="2" t="s">
        <v>444</v>
      </c>
      <c r="C126" s="8" t="s">
        <v>225</v>
      </c>
      <c r="D126" s="10"/>
      <c r="E126" s="116">
        <v>1</v>
      </c>
      <c r="F126" s="114" t="s">
        <v>433</v>
      </c>
      <c r="G126" s="110" t="s">
        <v>226</v>
      </c>
      <c r="H126" s="117">
        <f t="shared" ref="H126:S126" si="54">H5/H20</f>
        <v>0.11463505591800649</v>
      </c>
      <c r="I126" s="117">
        <f t="shared" si="54"/>
        <v>4.9065410406734442E-2</v>
      </c>
      <c r="J126" s="117">
        <f t="shared" si="54"/>
        <v>0.29498540926605654</v>
      </c>
      <c r="K126" s="117">
        <f t="shared" si="54"/>
        <v>1.0848781094012137</v>
      </c>
      <c r="L126" s="117">
        <f t="shared" si="54"/>
        <v>1.5292925674238438</v>
      </c>
      <c r="M126" s="117">
        <f t="shared" si="54"/>
        <v>1.7394074755304472</v>
      </c>
      <c r="N126" s="117">
        <f t="shared" si="54"/>
        <v>1.6542553191489362</v>
      </c>
      <c r="O126" s="117">
        <f t="shared" si="54"/>
        <v>1.659375</v>
      </c>
      <c r="P126" s="117">
        <f t="shared" si="54"/>
        <v>1.8016528925619835</v>
      </c>
      <c r="Q126" s="117">
        <f t="shared" si="54"/>
        <v>1.6730038022813689</v>
      </c>
      <c r="R126" s="117">
        <f t="shared" si="54"/>
        <v>1.6420233463035019</v>
      </c>
      <c r="S126" s="117">
        <f t="shared" si="54"/>
        <v>1.5277777777777777</v>
      </c>
    </row>
    <row r="127" spans="1:20" s="4" customFormat="1" x14ac:dyDescent="0.2">
      <c r="A127" s="34" t="s">
        <v>445</v>
      </c>
      <c r="B127" s="2" t="s">
        <v>214</v>
      </c>
      <c r="C127" s="34" t="s">
        <v>228</v>
      </c>
      <c r="D127" s="10"/>
      <c r="E127" s="116">
        <v>1</v>
      </c>
      <c r="F127" s="37"/>
      <c r="G127" s="46" t="s">
        <v>229</v>
      </c>
      <c r="H127" s="117">
        <f t="shared" ref="H127:S127" si="55">-H6/((H38+H41-H45+H47)/12)</f>
        <v>0</v>
      </c>
      <c r="I127" s="117">
        <f t="shared" si="55"/>
        <v>2.316982516436094E-4</v>
      </c>
      <c r="J127" s="117">
        <f t="shared" si="55"/>
        <v>9.055416582225943E-3</v>
      </c>
      <c r="K127" s="117">
        <f t="shared" si="55"/>
        <v>1.2300926371125427</v>
      </c>
      <c r="L127" s="117">
        <f t="shared" si="55"/>
        <v>1.4795142490478173</v>
      </c>
      <c r="M127" s="117">
        <f t="shared" si="55"/>
        <v>1.7411060720837661</v>
      </c>
      <c r="N127" s="117">
        <f t="shared" si="55"/>
        <v>2.2220731298222076</v>
      </c>
      <c r="O127" s="117">
        <f t="shared" si="55"/>
        <v>1.7068805924097501</v>
      </c>
      <c r="P127" s="117">
        <f t="shared" si="55"/>
        <v>1.4014039566049776</v>
      </c>
      <c r="Q127" s="117">
        <f t="shared" si="55"/>
        <v>1.4099714194982533</v>
      </c>
      <c r="R127" s="117">
        <f t="shared" si="55"/>
        <v>1.3422818791946309</v>
      </c>
      <c r="S127" s="117">
        <f t="shared" si="55"/>
        <v>1.3734939759036144</v>
      </c>
    </row>
    <row r="128" spans="1:20" s="4" customFormat="1" x14ac:dyDescent="0.2">
      <c r="A128" s="34"/>
      <c r="B128" s="2"/>
      <c r="C128" s="34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</row>
    <row r="129" spans="1:21" s="4" customFormat="1" x14ac:dyDescent="0.2">
      <c r="A129" s="8"/>
      <c r="B129" s="2"/>
      <c r="C129" s="8"/>
      <c r="D129" s="10"/>
      <c r="E129" s="9"/>
      <c r="F129" s="37"/>
      <c r="G129" s="94" t="s">
        <v>230</v>
      </c>
      <c r="H129" s="87">
        <f t="shared" ref="H129:S129" si="56">H117</f>
        <v>2011</v>
      </c>
      <c r="I129" s="87">
        <f t="shared" si="56"/>
        <v>2012</v>
      </c>
      <c r="J129" s="87">
        <f t="shared" si="56"/>
        <v>2013</v>
      </c>
      <c r="K129" s="87">
        <f t="shared" si="56"/>
        <v>2014</v>
      </c>
      <c r="L129" s="87">
        <f t="shared" si="56"/>
        <v>2015</v>
      </c>
      <c r="M129" s="87">
        <f t="shared" si="56"/>
        <v>2016</v>
      </c>
      <c r="N129" s="87">
        <f t="shared" si="56"/>
        <v>2017</v>
      </c>
      <c r="O129" s="87">
        <f t="shared" si="56"/>
        <v>2018</v>
      </c>
      <c r="P129" s="87">
        <f t="shared" si="56"/>
        <v>2019</v>
      </c>
      <c r="Q129" s="87">
        <f t="shared" si="56"/>
        <v>2020</v>
      </c>
      <c r="R129" s="87">
        <f t="shared" si="56"/>
        <v>2021</v>
      </c>
      <c r="S129" s="87">
        <f t="shared" si="56"/>
        <v>2022</v>
      </c>
    </row>
    <row r="130" spans="1:21" s="4" customFormat="1" x14ac:dyDescent="0.2">
      <c r="A130" s="34" t="s">
        <v>446</v>
      </c>
      <c r="B130" s="2" t="s">
        <v>216</v>
      </c>
      <c r="C130" s="34" t="s">
        <v>232</v>
      </c>
      <c r="D130" s="10"/>
      <c r="E130" s="106">
        <v>0.6</v>
      </c>
      <c r="F130" s="37"/>
      <c r="G130" s="103" t="s">
        <v>233</v>
      </c>
      <c r="H130" s="115">
        <f t="shared" ref="H130:S130" si="57">H17/H4</f>
        <v>0</v>
      </c>
      <c r="I130" s="115">
        <f t="shared" si="57"/>
        <v>0</v>
      </c>
      <c r="J130" s="115">
        <f t="shared" si="57"/>
        <v>0</v>
      </c>
      <c r="K130" s="115">
        <f t="shared" si="57"/>
        <v>0</v>
      </c>
      <c r="L130" s="115">
        <f t="shared" si="57"/>
        <v>0</v>
      </c>
      <c r="M130" s="115">
        <f t="shared" si="57"/>
        <v>0</v>
      </c>
      <c r="N130" s="115">
        <f t="shared" si="57"/>
        <v>0</v>
      </c>
      <c r="O130" s="115">
        <f t="shared" si="57"/>
        <v>0</v>
      </c>
      <c r="P130" s="115">
        <f t="shared" si="57"/>
        <v>0</v>
      </c>
      <c r="Q130" s="115">
        <f t="shared" si="57"/>
        <v>0</v>
      </c>
      <c r="R130" s="115">
        <f t="shared" si="57"/>
        <v>0</v>
      </c>
      <c r="S130" s="115">
        <f t="shared" si="57"/>
        <v>0</v>
      </c>
    </row>
    <row r="131" spans="1:21" s="4" customFormat="1" x14ac:dyDescent="0.2">
      <c r="A131" s="34" t="s">
        <v>447</v>
      </c>
      <c r="B131" s="2" t="s">
        <v>219</v>
      </c>
      <c r="C131" s="34" t="s">
        <v>235</v>
      </c>
      <c r="D131" s="10"/>
      <c r="E131" s="106">
        <v>0.4</v>
      </c>
      <c r="F131" s="37"/>
      <c r="G131" s="46" t="s">
        <v>236</v>
      </c>
      <c r="H131" s="115" t="e">
        <f t="shared" ref="H131:S131" si="58">H27/H17</f>
        <v>#DIV/0!</v>
      </c>
      <c r="I131" s="115" t="e">
        <f t="shared" si="58"/>
        <v>#DIV/0!</v>
      </c>
      <c r="J131" s="115" t="e">
        <f t="shared" si="58"/>
        <v>#DIV/0!</v>
      </c>
      <c r="K131" s="115" t="e">
        <f t="shared" si="58"/>
        <v>#DIV/0!</v>
      </c>
      <c r="L131" s="115" t="e">
        <f t="shared" si="58"/>
        <v>#DIV/0!</v>
      </c>
      <c r="M131" s="115" t="e">
        <f t="shared" si="58"/>
        <v>#DIV/0!</v>
      </c>
      <c r="N131" s="115" t="e">
        <f t="shared" si="58"/>
        <v>#DIV/0!</v>
      </c>
      <c r="O131" s="115" t="e">
        <f t="shared" si="58"/>
        <v>#DIV/0!</v>
      </c>
      <c r="P131" s="115" t="e">
        <f t="shared" si="58"/>
        <v>#DIV/0!</v>
      </c>
      <c r="Q131" s="115" t="e">
        <f t="shared" si="58"/>
        <v>#DIV/0!</v>
      </c>
      <c r="R131" s="115" t="e">
        <f t="shared" si="58"/>
        <v>#DIV/0!</v>
      </c>
      <c r="S131" s="115" t="e">
        <f t="shared" si="58"/>
        <v>#DIV/0!</v>
      </c>
    </row>
    <row r="132" spans="1:21" s="4" customFormat="1" x14ac:dyDescent="0.2">
      <c r="A132" s="34"/>
      <c r="B132" s="2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</row>
    <row r="133" spans="1:21" s="4" customFormat="1" x14ac:dyDescent="0.2">
      <c r="A133" s="8"/>
      <c r="B133" s="2"/>
      <c r="C133" s="8"/>
      <c r="D133" s="10"/>
      <c r="E133" s="9"/>
      <c r="F133" s="37"/>
      <c r="G133" s="94" t="s">
        <v>237</v>
      </c>
      <c r="H133" s="87">
        <f t="shared" ref="H133:S133" si="59">H117</f>
        <v>2011</v>
      </c>
      <c r="I133" s="87">
        <f t="shared" si="59"/>
        <v>2012</v>
      </c>
      <c r="J133" s="87">
        <f t="shared" si="59"/>
        <v>2013</v>
      </c>
      <c r="K133" s="87">
        <f t="shared" si="59"/>
        <v>2014</v>
      </c>
      <c r="L133" s="87">
        <f t="shared" si="59"/>
        <v>2015</v>
      </c>
      <c r="M133" s="87">
        <f t="shared" si="59"/>
        <v>2016</v>
      </c>
      <c r="N133" s="87">
        <f t="shared" si="59"/>
        <v>2017</v>
      </c>
      <c r="O133" s="87">
        <f t="shared" si="59"/>
        <v>2018</v>
      </c>
      <c r="P133" s="87">
        <f t="shared" si="59"/>
        <v>2019</v>
      </c>
      <c r="Q133" s="87">
        <f t="shared" si="59"/>
        <v>2020</v>
      </c>
      <c r="R133" s="87">
        <f t="shared" si="59"/>
        <v>2021</v>
      </c>
      <c r="S133" s="87">
        <f t="shared" si="59"/>
        <v>2022</v>
      </c>
    </row>
    <row r="134" spans="1:21" s="4" customFormat="1" x14ac:dyDescent="0.2">
      <c r="A134" s="34" t="s">
        <v>448</v>
      </c>
      <c r="B134" s="2" t="s">
        <v>221</v>
      </c>
      <c r="C134" s="39" t="s">
        <v>239</v>
      </c>
      <c r="D134" s="10"/>
      <c r="E134" s="109"/>
      <c r="F134" s="37"/>
      <c r="G134" s="110" t="s">
        <v>240</v>
      </c>
      <c r="H134" s="118">
        <f t="shared" ref="H134:S134" si="60">H10/H4</f>
        <v>0.90111578178821483</v>
      </c>
      <c r="I134" s="118">
        <f t="shared" si="60"/>
        <v>0.96340949602981685</v>
      </c>
      <c r="J134" s="118">
        <f t="shared" si="60"/>
        <v>0.83492722242271145</v>
      </c>
      <c r="K134" s="118">
        <f t="shared" si="60"/>
        <v>0.49906275702454056</v>
      </c>
      <c r="L134" s="118">
        <f t="shared" si="60"/>
        <v>0.42923419332913637</v>
      </c>
      <c r="M134" s="118">
        <f t="shared" si="60"/>
        <v>0.37337568114588199</v>
      </c>
      <c r="N134" s="118">
        <f t="shared" si="60"/>
        <v>0.35208333333333336</v>
      </c>
      <c r="O134" s="118">
        <f t="shared" si="60"/>
        <v>0.4145534729878721</v>
      </c>
      <c r="P134" s="118">
        <f t="shared" si="60"/>
        <v>0.48279952550415184</v>
      </c>
      <c r="Q134" s="118">
        <f t="shared" si="60"/>
        <v>0.4942528735632184</v>
      </c>
      <c r="R134" s="118">
        <f t="shared" si="60"/>
        <v>0.51771428571428568</v>
      </c>
      <c r="S134" s="118">
        <f t="shared" si="60"/>
        <v>0.51965065502183405</v>
      </c>
    </row>
    <row r="135" spans="1:21" s="4" customFormat="1" x14ac:dyDescent="0.2">
      <c r="A135" s="34" t="s">
        <v>449</v>
      </c>
      <c r="B135" s="2" t="s">
        <v>224</v>
      </c>
      <c r="C135" s="39" t="s">
        <v>242</v>
      </c>
      <c r="D135" s="10"/>
      <c r="E135" s="109"/>
      <c r="F135" s="37"/>
      <c r="G135" s="110" t="s">
        <v>243</v>
      </c>
      <c r="H135" s="118">
        <f t="shared" ref="H135:S135" si="61">-(H58)/H15</f>
        <v>1.8238410967915317E-2</v>
      </c>
      <c r="I135" s="118">
        <f t="shared" si="61"/>
        <v>0.22382089753078113</v>
      </c>
      <c r="J135" s="118">
        <f t="shared" si="61"/>
        <v>0</v>
      </c>
      <c r="K135" s="118">
        <f t="shared" si="61"/>
        <v>0</v>
      </c>
      <c r="L135" s="118">
        <f t="shared" si="61"/>
        <v>0.2104385352953583</v>
      </c>
      <c r="M135" s="118">
        <f t="shared" si="61"/>
        <v>0.11958008366302615</v>
      </c>
      <c r="N135" s="118">
        <f t="shared" si="61"/>
        <v>0.14792899408284024</v>
      </c>
      <c r="O135" s="118">
        <f t="shared" si="61"/>
        <v>0.15957446808510639</v>
      </c>
      <c r="P135" s="118">
        <f t="shared" si="61"/>
        <v>0.13513513513513514</v>
      </c>
      <c r="Q135" s="118">
        <f t="shared" si="61"/>
        <v>0.12790697674418605</v>
      </c>
      <c r="R135" s="118">
        <f t="shared" si="61"/>
        <v>0.12141280353200883</v>
      </c>
      <c r="S135" s="118">
        <f t="shared" si="61"/>
        <v>0.11554621848739496</v>
      </c>
    </row>
    <row r="136" spans="1:21" s="4" customFormat="1" x14ac:dyDescent="0.2">
      <c r="A136" s="34" t="s">
        <v>450</v>
      </c>
      <c r="B136" s="2" t="s">
        <v>227</v>
      </c>
      <c r="C136" s="8" t="s">
        <v>245</v>
      </c>
      <c r="D136" s="10"/>
      <c r="E136" s="109"/>
      <c r="F136" s="37"/>
      <c r="G136" s="103" t="s">
        <v>246</v>
      </c>
      <c r="H136" s="111">
        <f t="shared" ref="H136:S136" si="62">H33/H4</f>
        <v>0.55267885219415402</v>
      </c>
      <c r="I136" s="111">
        <f t="shared" si="62"/>
        <v>0.8938551288283908</v>
      </c>
      <c r="J136" s="111">
        <f t="shared" si="62"/>
        <v>1.2387525562372188</v>
      </c>
      <c r="K136" s="111">
        <f t="shared" si="62"/>
        <v>4.5974005852986748</v>
      </c>
      <c r="L136" s="111">
        <f t="shared" si="62"/>
        <v>4.1743817445416918</v>
      </c>
      <c r="M136" s="111">
        <f t="shared" si="62"/>
        <v>3.8511424567958894</v>
      </c>
      <c r="N136" s="111">
        <f t="shared" si="62"/>
        <v>3.1906249999999998</v>
      </c>
      <c r="O136" s="111">
        <f t="shared" si="62"/>
        <v>3.6008820286659318</v>
      </c>
      <c r="P136" s="111">
        <f t="shared" si="62"/>
        <v>3.7603795966785292</v>
      </c>
      <c r="Q136" s="111">
        <f t="shared" si="62"/>
        <v>3.6609195402298851</v>
      </c>
      <c r="R136" s="111">
        <f t="shared" si="62"/>
        <v>3.6228571428571428</v>
      </c>
      <c r="S136" s="111">
        <f t="shared" si="62"/>
        <v>3.6681222707423582</v>
      </c>
    </row>
    <row r="137" spans="1:21" s="4" customFormat="1" x14ac:dyDescent="0.2">
      <c r="A137" s="34" t="s">
        <v>451</v>
      </c>
      <c r="B137" s="2" t="s">
        <v>231</v>
      </c>
      <c r="C137" s="39" t="s">
        <v>248</v>
      </c>
      <c r="D137" s="10"/>
      <c r="E137" s="109"/>
      <c r="F137" s="37"/>
      <c r="G137" s="46" t="s">
        <v>249</v>
      </c>
      <c r="H137" s="111">
        <f t="shared" ref="H137:S137" si="63">H33/H15</f>
        <v>0.61332723648163523</v>
      </c>
      <c r="I137" s="111">
        <f t="shared" si="63"/>
        <v>0.92780394267644484</v>
      </c>
      <c r="J137" s="111">
        <f t="shared" si="63"/>
        <v>1.4836653099448907</v>
      </c>
      <c r="K137" s="111">
        <f t="shared" si="63"/>
        <v>9.2120690646379089</v>
      </c>
      <c r="L137" s="111">
        <f t="shared" si="63"/>
        <v>9.7251845482421277</v>
      </c>
      <c r="M137" s="111">
        <f t="shared" si="63"/>
        <v>10.314390173931027</v>
      </c>
      <c r="N137" s="111">
        <f t="shared" si="63"/>
        <v>9.0621301775147938</v>
      </c>
      <c r="O137" s="111">
        <f t="shared" si="63"/>
        <v>8.6861702127659566</v>
      </c>
      <c r="P137" s="111">
        <f t="shared" si="63"/>
        <v>7.7886977886977888</v>
      </c>
      <c r="Q137" s="111">
        <f t="shared" si="63"/>
        <v>7.4069767441860463</v>
      </c>
      <c r="R137" s="111">
        <f t="shared" si="63"/>
        <v>6.997792494481236</v>
      </c>
      <c r="S137" s="111">
        <f t="shared" si="63"/>
        <v>7.0588235294117645</v>
      </c>
    </row>
    <row r="138" spans="1:21" s="4" customFormat="1" x14ac:dyDescent="0.2">
      <c r="A138" s="8" t="s">
        <v>452</v>
      </c>
      <c r="B138" s="2" t="s">
        <v>234</v>
      </c>
      <c r="C138" s="39" t="s">
        <v>251</v>
      </c>
      <c r="D138" s="106">
        <v>0.5</v>
      </c>
      <c r="E138" s="106">
        <f>1/3</f>
        <v>0.33333333333333331</v>
      </c>
      <c r="F138" s="114" t="s">
        <v>433</v>
      </c>
      <c r="G138" s="100" t="s">
        <v>252</v>
      </c>
      <c r="H138" s="118">
        <f t="shared" ref="H138:S138" si="64">H27/H4</f>
        <v>0.13739983445803042</v>
      </c>
      <c r="I138" s="118">
        <f t="shared" si="64"/>
        <v>0.25425052665694325</v>
      </c>
      <c r="J138" s="118">
        <f t="shared" si="64"/>
        <v>0.44040057740887772</v>
      </c>
      <c r="K138" s="118">
        <f t="shared" si="64"/>
        <v>0.53825290258411285</v>
      </c>
      <c r="L138" s="118">
        <f t="shared" si="64"/>
        <v>0.62677649208621866</v>
      </c>
      <c r="M138" s="118">
        <f t="shared" si="64"/>
        <v>0.63974964969640358</v>
      </c>
      <c r="N138" s="118">
        <f t="shared" si="64"/>
        <v>0.60833333333333328</v>
      </c>
      <c r="O138" s="118">
        <f t="shared" si="64"/>
        <v>0.64718853362734285</v>
      </c>
      <c r="P138" s="118">
        <f t="shared" si="64"/>
        <v>0.71293001186239624</v>
      </c>
      <c r="Q138" s="118">
        <f t="shared" si="64"/>
        <v>0.69770114942528738</v>
      </c>
      <c r="R138" s="118">
        <f t="shared" si="64"/>
        <v>0.70628571428571429</v>
      </c>
      <c r="S138" s="118">
        <f t="shared" si="64"/>
        <v>0.68558951965065507</v>
      </c>
    </row>
    <row r="139" spans="1:21" s="4" customFormat="1" x14ac:dyDescent="0.2">
      <c r="A139" s="8"/>
      <c r="B139" s="2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</row>
    <row r="140" spans="1:21" s="4" customFormat="1" x14ac:dyDescent="0.2">
      <c r="A140" s="40"/>
      <c r="B140" s="2"/>
      <c r="C140" s="2"/>
      <c r="D140" s="41"/>
      <c r="E140" s="42"/>
      <c r="F140" s="37"/>
      <c r="G140" s="94" t="s">
        <v>253</v>
      </c>
      <c r="H140" s="87">
        <f t="shared" ref="H140:S140" si="65">H133</f>
        <v>2011</v>
      </c>
      <c r="I140" s="87">
        <f t="shared" si="65"/>
        <v>2012</v>
      </c>
      <c r="J140" s="87">
        <f t="shared" si="65"/>
        <v>2013</v>
      </c>
      <c r="K140" s="87">
        <f t="shared" si="65"/>
        <v>2014</v>
      </c>
      <c r="L140" s="87">
        <f t="shared" si="65"/>
        <v>2015</v>
      </c>
      <c r="M140" s="87">
        <f t="shared" si="65"/>
        <v>2016</v>
      </c>
      <c r="N140" s="87">
        <f t="shared" si="65"/>
        <v>2017</v>
      </c>
      <c r="O140" s="87">
        <f t="shared" si="65"/>
        <v>2018</v>
      </c>
      <c r="P140" s="87">
        <f t="shared" si="65"/>
        <v>2019</v>
      </c>
      <c r="Q140" s="87">
        <f t="shared" si="65"/>
        <v>2020</v>
      </c>
      <c r="R140" s="87">
        <f t="shared" si="65"/>
        <v>2021</v>
      </c>
      <c r="S140" s="87">
        <f t="shared" si="65"/>
        <v>2022</v>
      </c>
    </row>
    <row r="141" spans="1:21" s="4" customFormat="1" x14ac:dyDescent="0.2">
      <c r="A141" s="8" t="s">
        <v>453</v>
      </c>
      <c r="B141" s="2" t="s">
        <v>238</v>
      </c>
      <c r="C141" s="8" t="s">
        <v>255</v>
      </c>
      <c r="D141" s="43"/>
      <c r="E141" s="106">
        <v>0.05</v>
      </c>
      <c r="F141" s="8"/>
      <c r="G141" s="103" t="s">
        <v>256</v>
      </c>
      <c r="H141" s="108">
        <f t="shared" ref="H141:S141" si="66">H35/H33</f>
        <v>0.9326653935699899</v>
      </c>
      <c r="I141" s="108">
        <f t="shared" si="66"/>
        <v>0.93292216432981989</v>
      </c>
      <c r="J141" s="108">
        <f t="shared" si="66"/>
        <v>0.94319147386565028</v>
      </c>
      <c r="K141" s="108">
        <f t="shared" si="66"/>
        <v>0.11100418669419242</v>
      </c>
      <c r="L141" s="108">
        <f t="shared" si="66"/>
        <v>0.11578242840879818</v>
      </c>
      <c r="M141" s="108">
        <f t="shared" si="66"/>
        <v>0.14326811311564802</v>
      </c>
      <c r="N141" s="108">
        <f t="shared" si="66"/>
        <v>0.1158994449885733</v>
      </c>
      <c r="O141" s="108">
        <f t="shared" si="66"/>
        <v>0.10104102878138396</v>
      </c>
      <c r="P141" s="108">
        <f t="shared" si="66"/>
        <v>0.10410094637223975</v>
      </c>
      <c r="Q141" s="108">
        <f t="shared" si="66"/>
        <v>0.10832025117739404</v>
      </c>
      <c r="R141" s="108">
        <f t="shared" si="66"/>
        <v>0.10410094637223975</v>
      </c>
      <c r="S141" s="108">
        <f t="shared" si="66"/>
        <v>0.10714285714285714</v>
      </c>
    </row>
    <row r="142" spans="1:21" s="4" customFormat="1" x14ac:dyDescent="0.2">
      <c r="A142" s="8" t="s">
        <v>454</v>
      </c>
      <c r="B142" s="2" t="s">
        <v>241</v>
      </c>
      <c r="C142" s="8" t="s">
        <v>258</v>
      </c>
      <c r="D142" s="10"/>
      <c r="E142" s="106">
        <v>0.95</v>
      </c>
      <c r="F142" s="8"/>
      <c r="G142" s="110" t="s">
        <v>259</v>
      </c>
      <c r="H142" s="118">
        <f t="shared" ref="H142:S142" si="67">(H36+H34)/H33</f>
        <v>6.7334606430010199E-2</v>
      </c>
      <c r="I142" s="118">
        <f t="shared" si="67"/>
        <v>6.7077835670180094E-2</v>
      </c>
      <c r="J142" s="118">
        <f t="shared" si="67"/>
        <v>5.6808526134349738E-2</v>
      </c>
      <c r="K142" s="118">
        <f t="shared" si="67"/>
        <v>0.88899581330580757</v>
      </c>
      <c r="L142" s="118">
        <f t="shared" si="67"/>
        <v>0.88095080803268155</v>
      </c>
      <c r="M142" s="118">
        <f t="shared" si="67"/>
        <v>0.85668014020762062</v>
      </c>
      <c r="N142" s="118">
        <f t="shared" si="67"/>
        <v>0.8841005550114267</v>
      </c>
      <c r="O142" s="118">
        <f t="shared" si="67"/>
        <v>0.89895897121861601</v>
      </c>
      <c r="P142" s="118">
        <f t="shared" si="67"/>
        <v>0.89589905362776023</v>
      </c>
      <c r="Q142" s="118">
        <f t="shared" si="67"/>
        <v>0.89167974882260592</v>
      </c>
      <c r="R142" s="118">
        <f t="shared" si="67"/>
        <v>0.89589905362776023</v>
      </c>
      <c r="S142" s="118">
        <f t="shared" si="67"/>
        <v>0.8928571428571429</v>
      </c>
    </row>
    <row r="143" spans="1:21" s="4" customFormat="1" x14ac:dyDescent="0.2">
      <c r="A143" s="8" t="s">
        <v>455</v>
      </c>
      <c r="B143" s="2" t="s">
        <v>244</v>
      </c>
      <c r="C143" s="8" t="s">
        <v>261</v>
      </c>
      <c r="D143" s="10"/>
      <c r="E143" s="106">
        <v>0.95</v>
      </c>
      <c r="F143" s="8"/>
      <c r="G143" s="46" t="s">
        <v>262</v>
      </c>
      <c r="H143" s="108">
        <f t="shared" ref="H143:S143" si="68">H38/(H38+H41)</f>
        <v>5.9426754667785853E-5</v>
      </c>
      <c r="I143" s="108">
        <f t="shared" si="68"/>
        <v>5.5701530312511685E-5</v>
      </c>
      <c r="J143" s="108">
        <f t="shared" si="68"/>
        <v>4.9411940009272459E-5</v>
      </c>
      <c r="K143" s="108">
        <f t="shared" si="68"/>
        <v>0</v>
      </c>
      <c r="L143" s="108">
        <f t="shared" si="68"/>
        <v>0</v>
      </c>
      <c r="M143" s="108">
        <f t="shared" si="68"/>
        <v>0</v>
      </c>
      <c r="N143" s="108">
        <f t="shared" si="68"/>
        <v>0</v>
      </c>
      <c r="O143" s="108">
        <f t="shared" si="68"/>
        <v>0</v>
      </c>
      <c r="P143" s="108">
        <f t="shared" si="68"/>
        <v>0</v>
      </c>
      <c r="Q143" s="108">
        <f t="shared" si="68"/>
        <v>0</v>
      </c>
      <c r="R143" s="108">
        <f t="shared" si="68"/>
        <v>0</v>
      </c>
      <c r="S143" s="108">
        <f t="shared" si="68"/>
        <v>0</v>
      </c>
    </row>
    <row r="144" spans="1:21" s="4" customFormat="1" x14ac:dyDescent="0.2">
      <c r="A144" s="8"/>
      <c r="B144" s="2"/>
      <c r="C144" s="8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</row>
    <row r="145" spans="1:19" s="4" customFormat="1" x14ac:dyDescent="0.2">
      <c r="A145" s="40"/>
      <c r="B145" s="2"/>
      <c r="C145" s="119"/>
      <c r="D145" s="41"/>
      <c r="E145" s="42"/>
      <c r="F145" s="37"/>
      <c r="G145" s="94"/>
      <c r="H145" s="87">
        <f>H140</f>
        <v>2011</v>
      </c>
      <c r="I145" s="87">
        <f t="shared" ref="I145:S145" si="69">I140</f>
        <v>2012</v>
      </c>
      <c r="J145" s="87">
        <f t="shared" si="69"/>
        <v>2013</v>
      </c>
      <c r="K145" s="87">
        <f t="shared" si="69"/>
        <v>2014</v>
      </c>
      <c r="L145" s="87">
        <f t="shared" si="69"/>
        <v>2015</v>
      </c>
      <c r="M145" s="87">
        <f t="shared" si="69"/>
        <v>2016</v>
      </c>
      <c r="N145" s="87">
        <f t="shared" si="69"/>
        <v>2017</v>
      </c>
      <c r="O145" s="87">
        <f t="shared" si="69"/>
        <v>2018</v>
      </c>
      <c r="P145" s="87">
        <f t="shared" si="69"/>
        <v>2019</v>
      </c>
      <c r="Q145" s="87">
        <f t="shared" si="69"/>
        <v>2020</v>
      </c>
      <c r="R145" s="87">
        <f t="shared" si="69"/>
        <v>2021</v>
      </c>
      <c r="S145" s="87">
        <f t="shared" si="69"/>
        <v>2022</v>
      </c>
    </row>
    <row r="146" spans="1:19" s="4" customFormat="1" x14ac:dyDescent="0.2">
      <c r="A146" s="4" t="s">
        <v>456</v>
      </c>
      <c r="B146" s="2" t="s">
        <v>247</v>
      </c>
      <c r="C146" s="8" t="s">
        <v>264</v>
      </c>
      <c r="D146" s="120">
        <v>0.5</v>
      </c>
      <c r="E146" s="121" t="s">
        <v>265</v>
      </c>
      <c r="G146" s="103" t="s">
        <v>266</v>
      </c>
      <c r="H146" s="111">
        <f t="shared" ref="H146:S146" si="70">IF(H141&lt;$D$146,$E$146,H35/H4)</f>
        <v>0.51546443919947083</v>
      </c>
      <c r="I146" s="111">
        <f t="shared" si="70"/>
        <v>0.83389726138389231</v>
      </c>
      <c r="J146" s="111">
        <f t="shared" si="70"/>
        <v>1.1683808492722243</v>
      </c>
      <c r="K146" s="111" t="str">
        <f t="shared" si="70"/>
        <v>N/A</v>
      </c>
      <c r="L146" s="111" t="str">
        <f t="shared" si="70"/>
        <v>N/A</v>
      </c>
      <c r="M146" s="111" t="str">
        <f t="shared" si="70"/>
        <v>N/A</v>
      </c>
      <c r="N146" s="111" t="str">
        <f t="shared" si="70"/>
        <v>N/A</v>
      </c>
      <c r="O146" s="111" t="str">
        <f t="shared" si="70"/>
        <v>N/A</v>
      </c>
      <c r="P146" s="111" t="str">
        <f t="shared" si="70"/>
        <v>N/A</v>
      </c>
      <c r="Q146" s="111" t="str">
        <f t="shared" si="70"/>
        <v>N/A</v>
      </c>
      <c r="R146" s="111" t="str">
        <f t="shared" si="70"/>
        <v>N/A</v>
      </c>
      <c r="S146" s="111" t="str">
        <f t="shared" si="70"/>
        <v>N/A</v>
      </c>
    </row>
    <row r="147" spans="1:19" s="4" customFormat="1" x14ac:dyDescent="0.2">
      <c r="A147" s="4" t="s">
        <v>457</v>
      </c>
      <c r="B147" s="2" t="s">
        <v>250</v>
      </c>
      <c r="C147" s="8" t="s">
        <v>267</v>
      </c>
      <c r="D147" s="120">
        <v>0.5</v>
      </c>
      <c r="E147" s="121" t="s">
        <v>265</v>
      </c>
      <c r="G147" s="110" t="s">
        <v>268</v>
      </c>
      <c r="H147" s="111">
        <f t="shared" ref="H147:S147" si="71">IF(H141&lt;$D$147,$E$147,H35/H15)</f>
        <v>0.5720290884003385</v>
      </c>
      <c r="I147" s="111">
        <f t="shared" si="71"/>
        <v>0.86556886227544905</v>
      </c>
      <c r="J147" s="111">
        <f t="shared" si="71"/>
        <v>1.3993804704102581</v>
      </c>
      <c r="K147" s="111" t="str">
        <f t="shared" si="71"/>
        <v>N/A</v>
      </c>
      <c r="L147" s="111" t="str">
        <f t="shared" si="71"/>
        <v>N/A</v>
      </c>
      <c r="M147" s="111" t="str">
        <f t="shared" si="71"/>
        <v>N/A</v>
      </c>
      <c r="N147" s="111" t="str">
        <f t="shared" si="71"/>
        <v>N/A</v>
      </c>
      <c r="O147" s="111" t="str">
        <f t="shared" si="71"/>
        <v>N/A</v>
      </c>
      <c r="P147" s="111" t="str">
        <f t="shared" si="71"/>
        <v>N/A</v>
      </c>
      <c r="Q147" s="111" t="str">
        <f t="shared" si="71"/>
        <v>N/A</v>
      </c>
      <c r="R147" s="111" t="str">
        <f t="shared" si="71"/>
        <v>N/A</v>
      </c>
      <c r="S147" s="111" t="str">
        <f t="shared" si="71"/>
        <v>N/A</v>
      </c>
    </row>
    <row r="148" spans="1:19" s="4" customFormat="1" x14ac:dyDescent="0.2">
      <c r="A148" s="4" t="s">
        <v>458</v>
      </c>
      <c r="B148" s="2" t="s">
        <v>254</v>
      </c>
      <c r="C148" s="8" t="s">
        <v>201</v>
      </c>
      <c r="D148" s="120">
        <v>0.5</v>
      </c>
      <c r="E148" s="121" t="s">
        <v>265</v>
      </c>
      <c r="G148" s="103" t="s">
        <v>269</v>
      </c>
      <c r="H148" s="118">
        <f t="shared" ref="H148:S148" si="72">IF(H141&lt;$D$148,$E$148,H46/H33)</f>
        <v>-13.086326418500018</v>
      </c>
      <c r="I148" s="118">
        <f t="shared" si="72"/>
        <v>-7.3320171574226176</v>
      </c>
      <c r="J148" s="118">
        <f t="shared" si="72"/>
        <v>-5.2889150542594257</v>
      </c>
      <c r="K148" s="118" t="str">
        <f t="shared" si="72"/>
        <v>N/A</v>
      </c>
      <c r="L148" s="118" t="str">
        <f t="shared" si="72"/>
        <v>N/A</v>
      </c>
      <c r="M148" s="118" t="str">
        <f t="shared" si="72"/>
        <v>N/A</v>
      </c>
      <c r="N148" s="118" t="str">
        <f t="shared" si="72"/>
        <v>N/A</v>
      </c>
      <c r="O148" s="118" t="str">
        <f t="shared" si="72"/>
        <v>N/A</v>
      </c>
      <c r="P148" s="118" t="str">
        <f t="shared" si="72"/>
        <v>N/A</v>
      </c>
      <c r="Q148" s="118" t="str">
        <f t="shared" si="72"/>
        <v>N/A</v>
      </c>
      <c r="R148" s="118" t="str">
        <f t="shared" si="72"/>
        <v>N/A</v>
      </c>
      <c r="S148" s="118" t="str">
        <f t="shared" si="72"/>
        <v>N/A</v>
      </c>
    </row>
    <row r="149" spans="1:19" s="4" customFormat="1" x14ac:dyDescent="0.2">
      <c r="A149" s="4" t="s">
        <v>459</v>
      </c>
      <c r="B149" s="2" t="s">
        <v>257</v>
      </c>
      <c r="C149" s="8" t="s">
        <v>270</v>
      </c>
      <c r="D149" s="120">
        <v>0.5</v>
      </c>
      <c r="E149" s="121" t="s">
        <v>265</v>
      </c>
      <c r="G149" s="110" t="s">
        <v>271</v>
      </c>
      <c r="H149" s="118">
        <f t="shared" ref="H149:S149" si="73">IF(H141&lt;$D$148,$E$149,H51/H33)</f>
        <v>-13.086326418500018</v>
      </c>
      <c r="I149" s="118">
        <f t="shared" si="73"/>
        <v>-7.3320171574226176</v>
      </c>
      <c r="J149" s="118">
        <f t="shared" si="73"/>
        <v>-5.2889174819742184</v>
      </c>
      <c r="K149" s="118" t="str">
        <f t="shared" si="73"/>
        <v>N/A</v>
      </c>
      <c r="L149" s="118" t="str">
        <f t="shared" si="73"/>
        <v>N/A</v>
      </c>
      <c r="M149" s="118" t="str">
        <f t="shared" si="73"/>
        <v>N/A</v>
      </c>
      <c r="N149" s="118" t="str">
        <f t="shared" si="73"/>
        <v>N/A</v>
      </c>
      <c r="O149" s="118" t="str">
        <f t="shared" si="73"/>
        <v>N/A</v>
      </c>
      <c r="P149" s="118" t="str">
        <f t="shared" si="73"/>
        <v>N/A</v>
      </c>
      <c r="Q149" s="118" t="str">
        <f t="shared" si="73"/>
        <v>N/A</v>
      </c>
      <c r="R149" s="118" t="str">
        <f t="shared" si="73"/>
        <v>N/A</v>
      </c>
      <c r="S149" s="118" t="str">
        <f t="shared" si="73"/>
        <v>N/A</v>
      </c>
    </row>
    <row r="150" spans="1:19" s="4" customFormat="1" x14ac:dyDescent="0.2">
      <c r="A150" s="4" t="s">
        <v>460</v>
      </c>
      <c r="B150" s="2" t="s">
        <v>260</v>
      </c>
      <c r="C150" s="8" t="s">
        <v>272</v>
      </c>
      <c r="D150" s="120">
        <v>0.5</v>
      </c>
      <c r="E150" s="121" t="s">
        <v>265</v>
      </c>
      <c r="G150" s="110" t="s">
        <v>273</v>
      </c>
      <c r="H150" s="118">
        <f t="shared" ref="H150:S150" si="74">IF(H141&lt;$D$150,$E$150,H51/H4)</f>
        <v>-7.2325358644146238</v>
      </c>
      <c r="I150" s="118">
        <f t="shared" si="74"/>
        <v>-6.5537611408199652</v>
      </c>
      <c r="J150" s="118">
        <f t="shared" si="74"/>
        <v>-6.5516600505232772</v>
      </c>
      <c r="K150" s="118" t="str">
        <f t="shared" si="74"/>
        <v>N/A</v>
      </c>
      <c r="L150" s="118" t="str">
        <f t="shared" si="74"/>
        <v>N/A</v>
      </c>
      <c r="M150" s="118" t="str">
        <f t="shared" si="74"/>
        <v>N/A</v>
      </c>
      <c r="N150" s="118" t="str">
        <f t="shared" si="74"/>
        <v>N/A</v>
      </c>
      <c r="O150" s="118" t="str">
        <f t="shared" si="74"/>
        <v>N/A</v>
      </c>
      <c r="P150" s="118" t="str">
        <f t="shared" si="74"/>
        <v>N/A</v>
      </c>
      <c r="Q150" s="118" t="str">
        <f t="shared" si="74"/>
        <v>N/A</v>
      </c>
      <c r="R150" s="118" t="str">
        <f t="shared" si="74"/>
        <v>N/A</v>
      </c>
      <c r="S150" s="118" t="str">
        <f t="shared" si="74"/>
        <v>N/A</v>
      </c>
    </row>
    <row r="151" spans="1:19" s="4" customFormat="1" x14ac:dyDescent="0.2">
      <c r="A151" s="4" t="s">
        <v>461</v>
      </c>
      <c r="B151" s="2" t="s">
        <v>263</v>
      </c>
      <c r="C151" s="8" t="s">
        <v>274</v>
      </c>
      <c r="D151" s="120">
        <v>0.5</v>
      </c>
      <c r="E151" s="121" t="s">
        <v>265</v>
      </c>
      <c r="G151" s="46" t="s">
        <v>275</v>
      </c>
      <c r="H151" s="118">
        <f>IF(H141&lt;$D$151,$E$151,H51/H27)</f>
        <v>-52.638606829063136</v>
      </c>
      <c r="I151" s="118">
        <f>IF(I141&lt;$D$151,$E$151,I51/((H27+I27)/2))</f>
        <v>-34.726273580450524</v>
      </c>
      <c r="J151" s="118">
        <f>IF(J141&lt;$D$151,$E$151,J51/((I27+J27)/2))</f>
        <v>-19.374345794184752</v>
      </c>
      <c r="K151" s="118" t="str">
        <f>IF(K141&lt;$D$151,$E$151,K51/((J27+K27)/2))</f>
        <v>N/A</v>
      </c>
      <c r="L151" s="118" t="str">
        <f>IF(L141&lt;$D$151,$E$151,L51/((K27+L27)/2))</f>
        <v>N/A</v>
      </c>
      <c r="M151" s="118" t="str">
        <f>IF(M141&lt;$D$151,$E$151,M51/((L27+M27)/2))</f>
        <v>N/A</v>
      </c>
      <c r="N151" s="118" t="str">
        <f t="shared" ref="N151:S151" si="75">IF(N141&lt;$D$151,$E$151,N51/((M27+N27)/2))</f>
        <v>N/A</v>
      </c>
      <c r="O151" s="118" t="str">
        <f t="shared" si="75"/>
        <v>N/A</v>
      </c>
      <c r="P151" s="118" t="str">
        <f t="shared" si="75"/>
        <v>N/A</v>
      </c>
      <c r="Q151" s="118" t="str">
        <f t="shared" si="75"/>
        <v>N/A</v>
      </c>
      <c r="R151" s="118" t="str">
        <f t="shared" si="75"/>
        <v>N/A</v>
      </c>
      <c r="S151" s="118" t="str">
        <f t="shared" si="75"/>
        <v>N/A</v>
      </c>
    </row>
    <row r="152" spans="1:19" s="4" customFormat="1" x14ac:dyDescent="0.2">
      <c r="A152" s="8"/>
      <c r="B152" s="2"/>
      <c r="C152" s="119"/>
      <c r="D152" s="41"/>
      <c r="E152" s="42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</row>
    <row r="153" spans="1:19" s="4" customFormat="1" x14ac:dyDescent="0.2">
      <c r="A153" s="8"/>
      <c r="B153" s="2"/>
      <c r="C153" s="10"/>
      <c r="D153" s="10"/>
      <c r="E153" s="9"/>
      <c r="F153" s="8"/>
      <c r="G153" s="94" t="s">
        <v>462</v>
      </c>
      <c r="H153" s="87">
        <f>H145</f>
        <v>2011</v>
      </c>
      <c r="I153" s="87">
        <f t="shared" ref="I153:S153" si="76">I145</f>
        <v>2012</v>
      </c>
      <c r="J153" s="87">
        <f t="shared" si="76"/>
        <v>2013</v>
      </c>
      <c r="K153" s="87">
        <f t="shared" si="76"/>
        <v>2014</v>
      </c>
      <c r="L153" s="87">
        <f t="shared" si="76"/>
        <v>2015</v>
      </c>
      <c r="M153" s="87">
        <f t="shared" si="76"/>
        <v>2016</v>
      </c>
      <c r="N153" s="87">
        <f t="shared" si="76"/>
        <v>2017</v>
      </c>
      <c r="O153" s="87">
        <f t="shared" si="76"/>
        <v>2018</v>
      </c>
      <c r="P153" s="87">
        <f t="shared" si="76"/>
        <v>2019</v>
      </c>
      <c r="Q153" s="87">
        <f t="shared" si="76"/>
        <v>2020</v>
      </c>
      <c r="R153" s="87">
        <f t="shared" si="76"/>
        <v>2021</v>
      </c>
      <c r="S153" s="87">
        <f t="shared" si="76"/>
        <v>2022</v>
      </c>
    </row>
    <row r="154" spans="1:19" s="4" customFormat="1" x14ac:dyDescent="0.2">
      <c r="A154" s="8"/>
      <c r="B154" s="2"/>
      <c r="C154" s="10"/>
      <c r="D154" s="10"/>
      <c r="E154" s="9"/>
      <c r="F154" s="8"/>
      <c r="G154" s="95" t="s">
        <v>276</v>
      </c>
      <c r="H154" s="96">
        <f t="shared" ref="H154:S154" si="77">H33</f>
        <v>152.90799999999999</v>
      </c>
      <c r="I154" s="96">
        <f t="shared" si="77"/>
        <v>275.79899999999998</v>
      </c>
      <c r="J154" s="96">
        <f t="shared" si="77"/>
        <v>411.90999999999997</v>
      </c>
      <c r="K154" s="96">
        <f t="shared" si="77"/>
        <v>2403.567</v>
      </c>
      <c r="L154" s="96">
        <f>L33</f>
        <v>2997.1560000000004</v>
      </c>
      <c r="M154" s="96">
        <f t="shared" si="77"/>
        <v>3091.9859999999999</v>
      </c>
      <c r="N154" s="96">
        <f t="shared" si="77"/>
        <v>3063</v>
      </c>
      <c r="O154" s="96">
        <f t="shared" si="77"/>
        <v>3266</v>
      </c>
      <c r="P154" s="96">
        <f t="shared" si="77"/>
        <v>3170</v>
      </c>
      <c r="Q154" s="96">
        <f t="shared" si="77"/>
        <v>3185</v>
      </c>
      <c r="R154" s="96">
        <f t="shared" si="77"/>
        <v>3170</v>
      </c>
      <c r="S154" s="96">
        <f t="shared" si="77"/>
        <v>3360</v>
      </c>
    </row>
    <row r="155" spans="1:19" s="4" customFormat="1" x14ac:dyDescent="0.2">
      <c r="A155" s="8"/>
      <c r="B155" s="2"/>
      <c r="C155" s="10"/>
      <c r="D155" s="10"/>
      <c r="E155" s="9"/>
      <c r="F155" s="8"/>
      <c r="G155" s="95" t="s">
        <v>277</v>
      </c>
      <c r="H155" s="96">
        <f t="shared" ref="H155:S156" si="78">H35</f>
        <v>142.61199999999999</v>
      </c>
      <c r="I155" s="96">
        <f t="shared" si="78"/>
        <v>257.29899999999998</v>
      </c>
      <c r="J155" s="96">
        <f t="shared" si="78"/>
        <v>388.51</v>
      </c>
      <c r="K155" s="96">
        <f t="shared" si="78"/>
        <v>266.80599999999998</v>
      </c>
      <c r="L155" s="96">
        <f t="shared" si="78"/>
        <v>347.01799999999997</v>
      </c>
      <c r="M155" s="96">
        <f t="shared" si="78"/>
        <v>442.983</v>
      </c>
      <c r="N155" s="96">
        <f t="shared" si="78"/>
        <v>355</v>
      </c>
      <c r="O155" s="96">
        <f t="shared" si="78"/>
        <v>330</v>
      </c>
      <c r="P155" s="96">
        <f t="shared" si="78"/>
        <v>330</v>
      </c>
      <c r="Q155" s="96">
        <f t="shared" si="78"/>
        <v>345</v>
      </c>
      <c r="R155" s="96">
        <f t="shared" si="78"/>
        <v>330</v>
      </c>
      <c r="S155" s="96">
        <f t="shared" si="78"/>
        <v>360</v>
      </c>
    </row>
    <row r="156" spans="1:19" s="4" customFormat="1" x14ac:dyDescent="0.2">
      <c r="A156" s="8"/>
      <c r="B156" s="2"/>
      <c r="C156" s="10"/>
      <c r="D156" s="10"/>
      <c r="E156" s="9"/>
      <c r="F156" s="8"/>
      <c r="G156" s="95" t="s">
        <v>278</v>
      </c>
      <c r="H156" s="96">
        <f t="shared" si="78"/>
        <v>10.295999999999999</v>
      </c>
      <c r="I156" s="96">
        <f t="shared" si="78"/>
        <v>18.5</v>
      </c>
      <c r="J156" s="96">
        <f t="shared" si="78"/>
        <v>23.4</v>
      </c>
      <c r="K156" s="96">
        <f t="shared" si="78"/>
        <v>2136.761</v>
      </c>
      <c r="L156" s="96">
        <f t="shared" si="78"/>
        <v>2640.3470000000002</v>
      </c>
      <c r="M156" s="96">
        <f t="shared" si="78"/>
        <v>2648.8429999999998</v>
      </c>
      <c r="N156" s="96">
        <f t="shared" si="78"/>
        <v>2708</v>
      </c>
      <c r="O156" s="96">
        <f t="shared" si="78"/>
        <v>2936</v>
      </c>
      <c r="P156" s="96">
        <f t="shared" si="78"/>
        <v>2840</v>
      </c>
      <c r="Q156" s="96">
        <f t="shared" si="78"/>
        <v>2840</v>
      </c>
      <c r="R156" s="96">
        <f t="shared" si="78"/>
        <v>2840</v>
      </c>
      <c r="S156" s="96">
        <f t="shared" si="78"/>
        <v>3000</v>
      </c>
    </row>
    <row r="157" spans="1:19" s="4" customFormat="1" x14ac:dyDescent="0.2">
      <c r="A157" s="8"/>
      <c r="B157" s="2"/>
      <c r="C157" s="10"/>
      <c r="D157" s="10"/>
      <c r="E157" s="9"/>
      <c r="F157" s="8"/>
      <c r="G157" s="95" t="s">
        <v>279</v>
      </c>
      <c r="H157" s="96">
        <f t="shared" ref="H157:S157" si="79">H38+H41</f>
        <v>-2153.9120000000007</v>
      </c>
      <c r="I157" s="96">
        <f t="shared" si="79"/>
        <v>-2297.9620000000004</v>
      </c>
      <c r="J157" s="96">
        <f t="shared" si="79"/>
        <v>-2590.4670000000001</v>
      </c>
      <c r="K157" s="96">
        <f t="shared" si="79"/>
        <v>-2354.9180000000001</v>
      </c>
      <c r="L157" s="96">
        <f t="shared" si="79"/>
        <v>-2830.55</v>
      </c>
      <c r="M157" s="96">
        <f t="shared" si="79"/>
        <v>-3030.0320000000002</v>
      </c>
      <c r="N157" s="96">
        <f t="shared" si="79"/>
        <v>-2993</v>
      </c>
      <c r="O157" s="96">
        <f t="shared" si="79"/>
        <v>-3263</v>
      </c>
      <c r="P157" s="96">
        <f t="shared" si="79"/>
        <v>-3156</v>
      </c>
      <c r="Q157" s="96">
        <f t="shared" si="79"/>
        <v>-3179</v>
      </c>
      <c r="R157" s="96">
        <f t="shared" si="79"/>
        <v>-3159</v>
      </c>
      <c r="S157" s="96">
        <f t="shared" si="79"/>
        <v>-3350</v>
      </c>
    </row>
    <row r="158" spans="1:19" s="4" customFormat="1" x14ac:dyDescent="0.2">
      <c r="A158" s="8"/>
      <c r="B158" s="2"/>
      <c r="C158" s="10"/>
      <c r="D158" s="10"/>
      <c r="E158" s="9"/>
      <c r="F158" s="8"/>
      <c r="G158" s="95" t="s">
        <v>280</v>
      </c>
      <c r="H158" s="96">
        <f t="shared" ref="H158:S158" si="80">H41</f>
        <v>-2153.7840000000006</v>
      </c>
      <c r="I158" s="96">
        <f t="shared" si="80"/>
        <v>-2297.8340000000003</v>
      </c>
      <c r="J158" s="96">
        <f t="shared" si="80"/>
        <v>-2590.3389999999999</v>
      </c>
      <c r="K158" s="96">
        <f t="shared" si="80"/>
        <v>-2354.9180000000001</v>
      </c>
      <c r="L158" s="96">
        <f t="shared" si="80"/>
        <v>-2830.55</v>
      </c>
      <c r="M158" s="96">
        <f t="shared" si="80"/>
        <v>-3030.0320000000002</v>
      </c>
      <c r="N158" s="96">
        <f t="shared" si="80"/>
        <v>-2993</v>
      </c>
      <c r="O158" s="96">
        <f t="shared" si="80"/>
        <v>-3263</v>
      </c>
      <c r="P158" s="96">
        <f t="shared" si="80"/>
        <v>-3156</v>
      </c>
      <c r="Q158" s="96">
        <f t="shared" si="80"/>
        <v>-3179</v>
      </c>
      <c r="R158" s="96">
        <f t="shared" si="80"/>
        <v>-3159</v>
      </c>
      <c r="S158" s="96">
        <f t="shared" si="80"/>
        <v>-3350</v>
      </c>
    </row>
    <row r="159" spans="1:19" s="4" customFormat="1" x14ac:dyDescent="0.2">
      <c r="A159" s="8"/>
      <c r="B159" s="2"/>
      <c r="C159" s="10"/>
      <c r="D159" s="10"/>
      <c r="E159" s="9"/>
      <c r="F159" s="8"/>
      <c r="G159" s="95" t="s">
        <v>281</v>
      </c>
      <c r="H159" s="96">
        <f t="shared" ref="H159:S159" si="81">H38</f>
        <v>-0.128</v>
      </c>
      <c r="I159" s="96">
        <f t="shared" si="81"/>
        <v>-0.128</v>
      </c>
      <c r="J159" s="96">
        <f t="shared" si="81"/>
        <v>-0.128</v>
      </c>
      <c r="K159" s="96">
        <f t="shared" si="81"/>
        <v>0</v>
      </c>
      <c r="L159" s="96">
        <f t="shared" si="81"/>
        <v>0</v>
      </c>
      <c r="M159" s="96">
        <f t="shared" si="81"/>
        <v>0</v>
      </c>
      <c r="N159" s="96">
        <f t="shared" si="81"/>
        <v>0</v>
      </c>
      <c r="O159" s="96">
        <f t="shared" si="81"/>
        <v>0</v>
      </c>
      <c r="P159" s="96">
        <f t="shared" si="81"/>
        <v>0</v>
      </c>
      <c r="Q159" s="96">
        <f t="shared" si="81"/>
        <v>0</v>
      </c>
      <c r="R159" s="96">
        <f t="shared" si="81"/>
        <v>0</v>
      </c>
      <c r="S159" s="96">
        <f t="shared" si="81"/>
        <v>0</v>
      </c>
    </row>
    <row r="160" spans="1:19" s="4" customFormat="1" x14ac:dyDescent="0.2">
      <c r="A160" s="8"/>
      <c r="B160" s="2"/>
      <c r="C160" s="10"/>
      <c r="D160" s="10"/>
      <c r="E160" s="9"/>
      <c r="F160" s="8"/>
      <c r="G160" s="95" t="s">
        <v>282</v>
      </c>
      <c r="H160" s="96">
        <f t="shared" ref="H160:S160" si="82">H46</f>
        <v>-2001.0040000000006</v>
      </c>
      <c r="I160" s="96">
        <f t="shared" si="82"/>
        <v>-2022.1630000000002</v>
      </c>
      <c r="J160" s="96">
        <f t="shared" si="82"/>
        <v>-2178.5569999999998</v>
      </c>
      <c r="K160" s="96">
        <f t="shared" si="82"/>
        <v>48.648999999999887</v>
      </c>
      <c r="L160" s="96">
        <f t="shared" si="82"/>
        <v>166.60600000000022</v>
      </c>
      <c r="M160" s="96">
        <f t="shared" si="82"/>
        <v>61.953999999999724</v>
      </c>
      <c r="N160" s="96">
        <f t="shared" si="82"/>
        <v>70</v>
      </c>
      <c r="O160" s="96">
        <f t="shared" si="82"/>
        <v>3</v>
      </c>
      <c r="P160" s="96">
        <f t="shared" si="82"/>
        <v>14</v>
      </c>
      <c r="Q160" s="96">
        <f t="shared" si="82"/>
        <v>6</v>
      </c>
      <c r="R160" s="96">
        <f t="shared" si="82"/>
        <v>11</v>
      </c>
      <c r="S160" s="96">
        <f t="shared" si="82"/>
        <v>10</v>
      </c>
    </row>
    <row r="161" spans="1:19" s="4" customFormat="1" x14ac:dyDescent="0.2">
      <c r="A161" s="8"/>
      <c r="B161" s="2"/>
      <c r="C161" s="10"/>
      <c r="D161" s="10"/>
      <c r="E161" s="9"/>
      <c r="F161" s="8"/>
      <c r="G161" s="95" t="s">
        <v>283</v>
      </c>
      <c r="H161" s="96">
        <f t="shared" ref="H161:S161" si="83">H51</f>
        <v>-2001.0040000000006</v>
      </c>
      <c r="I161" s="96">
        <f t="shared" si="83"/>
        <v>-2022.1630000000002</v>
      </c>
      <c r="J161" s="96">
        <f t="shared" si="83"/>
        <v>-2178.558</v>
      </c>
      <c r="K161" s="96">
        <f t="shared" si="83"/>
        <v>48.648999999999887</v>
      </c>
      <c r="L161" s="96">
        <f t="shared" si="83"/>
        <v>168.61500000000021</v>
      </c>
      <c r="M161" s="96">
        <f t="shared" si="83"/>
        <v>63.618999999999723</v>
      </c>
      <c r="N161" s="96">
        <f t="shared" si="83"/>
        <v>70</v>
      </c>
      <c r="O161" s="96">
        <f t="shared" si="83"/>
        <v>3</v>
      </c>
      <c r="P161" s="96">
        <f t="shared" si="83"/>
        <v>14</v>
      </c>
      <c r="Q161" s="96">
        <f t="shared" si="83"/>
        <v>6</v>
      </c>
      <c r="R161" s="96">
        <f t="shared" si="83"/>
        <v>11</v>
      </c>
      <c r="S161" s="96">
        <f t="shared" si="83"/>
        <v>10</v>
      </c>
    </row>
    <row r="162" spans="1:19" s="4" customFormat="1" x14ac:dyDescent="0.2">
      <c r="A162" s="8"/>
      <c r="B162" s="2"/>
      <c r="C162" s="10"/>
      <c r="D162" s="10"/>
      <c r="E162" s="9"/>
      <c r="F162" s="8"/>
      <c r="G162" s="95" t="s">
        <v>284</v>
      </c>
      <c r="H162" s="96">
        <f t="shared" ref="H162:S163" si="84">H4</f>
        <v>276.66699999999997</v>
      </c>
      <c r="I162" s="96">
        <f t="shared" si="84"/>
        <v>308.55</v>
      </c>
      <c r="J162" s="96">
        <f t="shared" si="84"/>
        <v>332.52</v>
      </c>
      <c r="K162" s="96">
        <f t="shared" si="84"/>
        <v>522.80999999999995</v>
      </c>
      <c r="L162" s="96">
        <f t="shared" si="84"/>
        <v>717.98800000000006</v>
      </c>
      <c r="M162" s="96">
        <f t="shared" si="84"/>
        <v>802.875</v>
      </c>
      <c r="N162" s="96">
        <f t="shared" si="84"/>
        <v>960</v>
      </c>
      <c r="O162" s="96">
        <f t="shared" si="84"/>
        <v>907</v>
      </c>
      <c r="P162" s="96">
        <f t="shared" si="84"/>
        <v>843</v>
      </c>
      <c r="Q162" s="96">
        <f t="shared" si="84"/>
        <v>870</v>
      </c>
      <c r="R162" s="96">
        <f t="shared" si="84"/>
        <v>875</v>
      </c>
      <c r="S162" s="96">
        <f t="shared" si="84"/>
        <v>916</v>
      </c>
    </row>
    <row r="163" spans="1:19" s="4" customFormat="1" x14ac:dyDescent="0.2">
      <c r="A163" s="8"/>
      <c r="B163" s="2"/>
      <c r="C163" s="10"/>
      <c r="D163" s="10"/>
      <c r="E163" s="9"/>
      <c r="F163" s="8"/>
      <c r="G163" s="95" t="s">
        <v>285</v>
      </c>
      <c r="H163" s="96">
        <f t="shared" si="84"/>
        <v>27.358000000000001</v>
      </c>
      <c r="I163" s="96">
        <f t="shared" si="84"/>
        <v>11.290000000000001</v>
      </c>
      <c r="J163" s="96">
        <f t="shared" si="84"/>
        <v>54.89</v>
      </c>
      <c r="K163" s="96">
        <f t="shared" si="84"/>
        <v>261.89499999999998</v>
      </c>
      <c r="L163" s="96">
        <f t="shared" si="84"/>
        <v>409.803</v>
      </c>
      <c r="M163" s="96">
        <f t="shared" si="84"/>
        <v>503.101</v>
      </c>
      <c r="N163" s="96">
        <f t="shared" si="84"/>
        <v>622</v>
      </c>
      <c r="O163" s="96">
        <f t="shared" si="84"/>
        <v>531</v>
      </c>
      <c r="P163" s="96">
        <f t="shared" si="84"/>
        <v>436</v>
      </c>
      <c r="Q163" s="96">
        <f t="shared" si="84"/>
        <v>440</v>
      </c>
      <c r="R163" s="96">
        <f t="shared" si="84"/>
        <v>422</v>
      </c>
      <c r="S163" s="96">
        <f t="shared" si="84"/>
        <v>440</v>
      </c>
    </row>
    <row r="164" spans="1:19" s="4" customFormat="1" x14ac:dyDescent="0.2">
      <c r="A164" s="8"/>
      <c r="B164" s="2"/>
      <c r="C164" s="10"/>
      <c r="D164" s="10"/>
      <c r="E164" s="9"/>
      <c r="F164" s="8"/>
      <c r="G164" s="95" t="s">
        <v>286</v>
      </c>
      <c r="H164" s="96">
        <f t="shared" ref="H164:S164" si="85">H10</f>
        <v>249.309</v>
      </c>
      <c r="I164" s="96">
        <f t="shared" si="85"/>
        <v>297.26</v>
      </c>
      <c r="J164" s="96">
        <f t="shared" si="85"/>
        <v>277.63</v>
      </c>
      <c r="K164" s="96">
        <f t="shared" si="85"/>
        <v>260.91500000000002</v>
      </c>
      <c r="L164" s="96">
        <f t="shared" si="85"/>
        <v>308.185</v>
      </c>
      <c r="M164" s="96">
        <f t="shared" si="85"/>
        <v>299.774</v>
      </c>
      <c r="N164" s="96">
        <f t="shared" si="85"/>
        <v>338</v>
      </c>
      <c r="O164" s="96">
        <f t="shared" si="85"/>
        <v>376</v>
      </c>
      <c r="P164" s="96">
        <f t="shared" si="85"/>
        <v>407</v>
      </c>
      <c r="Q164" s="96">
        <f t="shared" si="85"/>
        <v>430</v>
      </c>
      <c r="R164" s="96">
        <f t="shared" si="85"/>
        <v>453</v>
      </c>
      <c r="S164" s="96">
        <f t="shared" si="85"/>
        <v>476</v>
      </c>
    </row>
    <row r="165" spans="1:19" s="4" customFormat="1" x14ac:dyDescent="0.2">
      <c r="A165" s="8"/>
      <c r="B165" s="2"/>
      <c r="C165" s="10"/>
      <c r="D165" s="10"/>
      <c r="E165" s="9"/>
      <c r="F165" s="8"/>
      <c r="G165" s="95" t="s">
        <v>287</v>
      </c>
      <c r="H165" s="96">
        <f t="shared" ref="H165:S166" si="86">H19</f>
        <v>238.65299999999999</v>
      </c>
      <c r="I165" s="96">
        <f t="shared" si="86"/>
        <v>230.101</v>
      </c>
      <c r="J165" s="96">
        <f t="shared" si="86"/>
        <v>186.077</v>
      </c>
      <c r="K165" s="96">
        <f t="shared" si="86"/>
        <v>241.405</v>
      </c>
      <c r="L165" s="96">
        <f t="shared" si="86"/>
        <v>267.96899999999999</v>
      </c>
      <c r="M165" s="96">
        <f t="shared" si="86"/>
        <v>289.23700000000002</v>
      </c>
      <c r="N165" s="96">
        <f t="shared" si="86"/>
        <v>376</v>
      </c>
      <c r="O165" s="96">
        <f t="shared" si="86"/>
        <v>320</v>
      </c>
      <c r="P165" s="96">
        <f t="shared" si="86"/>
        <v>242</v>
      </c>
      <c r="Q165" s="96">
        <f t="shared" si="86"/>
        <v>263</v>
      </c>
      <c r="R165" s="96">
        <f t="shared" si="86"/>
        <v>257</v>
      </c>
      <c r="S165" s="96">
        <f t="shared" si="86"/>
        <v>288</v>
      </c>
    </row>
    <row r="166" spans="1:19" s="4" customFormat="1" x14ac:dyDescent="0.2">
      <c r="A166" s="8"/>
      <c r="B166" s="2"/>
      <c r="C166" s="10"/>
      <c r="D166" s="10"/>
      <c r="E166" s="9"/>
      <c r="F166" s="8"/>
      <c r="G166" s="95" t="s">
        <v>288</v>
      </c>
      <c r="H166" s="96">
        <f t="shared" si="86"/>
        <v>238.65299999999999</v>
      </c>
      <c r="I166" s="96">
        <f t="shared" si="86"/>
        <v>230.101</v>
      </c>
      <c r="J166" s="96">
        <f t="shared" si="86"/>
        <v>186.077</v>
      </c>
      <c r="K166" s="96">
        <f t="shared" si="86"/>
        <v>241.405</v>
      </c>
      <c r="L166" s="96">
        <f t="shared" si="86"/>
        <v>267.96899999999999</v>
      </c>
      <c r="M166" s="96">
        <f t="shared" si="86"/>
        <v>289.23700000000002</v>
      </c>
      <c r="N166" s="96">
        <f t="shared" si="86"/>
        <v>376</v>
      </c>
      <c r="O166" s="96">
        <f t="shared" si="86"/>
        <v>320</v>
      </c>
      <c r="P166" s="96">
        <f t="shared" si="86"/>
        <v>242</v>
      </c>
      <c r="Q166" s="96">
        <f t="shared" si="86"/>
        <v>263</v>
      </c>
      <c r="R166" s="96">
        <f t="shared" si="86"/>
        <v>257</v>
      </c>
      <c r="S166" s="96">
        <f t="shared" si="86"/>
        <v>288</v>
      </c>
    </row>
    <row r="167" spans="1:19" s="4" customFormat="1" x14ac:dyDescent="0.2">
      <c r="A167" s="8"/>
      <c r="B167" s="2"/>
      <c r="C167" s="10"/>
      <c r="D167" s="10"/>
      <c r="E167" s="9"/>
      <c r="F167" s="8"/>
      <c r="G167" s="95" t="s">
        <v>289</v>
      </c>
      <c r="H167" s="96">
        <f t="shared" ref="H167:S167" si="87">H24</f>
        <v>0</v>
      </c>
      <c r="I167" s="96">
        <f t="shared" si="87"/>
        <v>0</v>
      </c>
      <c r="J167" s="96">
        <f t="shared" si="87"/>
        <v>0</v>
      </c>
      <c r="K167" s="96">
        <f t="shared" si="87"/>
        <v>0</v>
      </c>
      <c r="L167" s="96">
        <f t="shared" si="87"/>
        <v>0</v>
      </c>
      <c r="M167" s="96">
        <f t="shared" si="87"/>
        <v>0</v>
      </c>
      <c r="N167" s="96">
        <f t="shared" si="87"/>
        <v>0</v>
      </c>
      <c r="O167" s="96">
        <f t="shared" si="87"/>
        <v>0</v>
      </c>
      <c r="P167" s="96">
        <f t="shared" si="87"/>
        <v>0</v>
      </c>
      <c r="Q167" s="96">
        <f t="shared" si="87"/>
        <v>0</v>
      </c>
      <c r="R167" s="96">
        <f t="shared" si="87"/>
        <v>0</v>
      </c>
      <c r="S167" s="96">
        <f t="shared" si="87"/>
        <v>0</v>
      </c>
    </row>
    <row r="168" spans="1:19" s="4" customFormat="1" x14ac:dyDescent="0.2">
      <c r="A168" s="8"/>
      <c r="B168" s="2"/>
      <c r="C168" s="10"/>
      <c r="D168" s="10"/>
      <c r="E168" s="9"/>
      <c r="F168" s="8"/>
      <c r="G168" s="95" t="s">
        <v>290</v>
      </c>
      <c r="H168" s="96">
        <f t="shared" ref="H168:S168" si="88">H27</f>
        <v>38.013999999999896</v>
      </c>
      <c r="I168" s="96">
        <f t="shared" si="88"/>
        <v>78.448999999999842</v>
      </c>
      <c r="J168" s="96">
        <f t="shared" si="88"/>
        <v>146.44200000000001</v>
      </c>
      <c r="K168" s="96">
        <f t="shared" si="88"/>
        <v>281.404</v>
      </c>
      <c r="L168" s="96">
        <f t="shared" si="88"/>
        <v>450.01800000000003</v>
      </c>
      <c r="M168" s="96">
        <f t="shared" si="88"/>
        <v>513.63900000000001</v>
      </c>
      <c r="N168" s="96">
        <f t="shared" si="88"/>
        <v>584</v>
      </c>
      <c r="O168" s="96">
        <f t="shared" si="88"/>
        <v>587</v>
      </c>
      <c r="P168" s="96">
        <f t="shared" si="88"/>
        <v>601</v>
      </c>
      <c r="Q168" s="96">
        <f t="shared" si="88"/>
        <v>607</v>
      </c>
      <c r="R168" s="96">
        <f t="shared" si="88"/>
        <v>618</v>
      </c>
      <c r="S168" s="96">
        <f t="shared" si="88"/>
        <v>628</v>
      </c>
    </row>
    <row r="169" spans="1:19" s="4" customFormat="1" x14ac:dyDescent="0.2">
      <c r="A169" s="8"/>
      <c r="B169" s="2"/>
      <c r="C169" s="119"/>
      <c r="D169" s="41"/>
      <c r="E169" s="42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</row>
    <row r="170" spans="1:19" s="4" customFormat="1" x14ac:dyDescent="0.2">
      <c r="A170" s="8"/>
      <c r="B170" s="2"/>
      <c r="C170" s="119" t="s">
        <v>463</v>
      </c>
      <c r="D170" s="41"/>
      <c r="E170" s="42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</row>
    <row r="171" spans="1:19" s="4" customFormat="1" x14ac:dyDescent="0.2">
      <c r="A171" s="8"/>
      <c r="B171" s="2"/>
      <c r="C171" s="119"/>
      <c r="D171" s="41"/>
      <c r="E171" s="42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</row>
    <row r="172" spans="1:19" s="40" customFormat="1" x14ac:dyDescent="0.2">
      <c r="A172" s="29"/>
      <c r="B172" s="2"/>
      <c r="C172" s="29" t="s">
        <v>464</v>
      </c>
      <c r="D172" s="99"/>
      <c r="E172" s="30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</row>
    <row r="173" spans="1:19" s="4" customFormat="1" x14ac:dyDescent="0.2">
      <c r="A173" s="8"/>
      <c r="B173" s="2"/>
      <c r="C173" s="8"/>
      <c r="D173" s="10"/>
      <c r="E173" s="9"/>
      <c r="F173" s="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</row>
    <row r="174" spans="1:19" s="4" customFormat="1" x14ac:dyDescent="0.2">
      <c r="A174" s="8"/>
      <c r="B174" s="2"/>
      <c r="C174" s="8" t="s">
        <v>291</v>
      </c>
      <c r="D174" s="10"/>
      <c r="E174" s="9"/>
      <c r="F174" s="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</row>
    <row r="175" spans="1:19" s="4" customFormat="1" x14ac:dyDescent="0.2">
      <c r="A175" s="8"/>
      <c r="B175" s="2"/>
      <c r="C175" s="8" t="s">
        <v>292</v>
      </c>
      <c r="D175" s="10"/>
      <c r="E175" s="9"/>
      <c r="F175" s="12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  <c r="R175" s="44"/>
    </row>
    <row r="176" spans="1:19" s="4" customFormat="1" x14ac:dyDescent="0.2">
      <c r="A176" s="8"/>
      <c r="B176" s="2"/>
      <c r="C176" s="8"/>
      <c r="D176" s="10"/>
      <c r="E176" s="9"/>
      <c r="F176" s="12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</row>
    <row r="177" spans="1:7" s="4" customFormat="1" x14ac:dyDescent="0.2">
      <c r="A177" s="8"/>
      <c r="B177" s="2"/>
      <c r="C177" s="8" t="s">
        <v>293</v>
      </c>
      <c r="D177" s="10"/>
      <c r="E177" s="9"/>
      <c r="F177" s="12"/>
      <c r="G177" s="28"/>
    </row>
    <row r="178" spans="1:7" s="4" customFormat="1" x14ac:dyDescent="0.2">
      <c r="A178" s="8"/>
      <c r="B178" s="2"/>
      <c r="C178" s="8" t="s">
        <v>294</v>
      </c>
      <c r="D178" s="10"/>
      <c r="E178" s="9"/>
      <c r="F178" s="12"/>
      <c r="G178" s="28"/>
    </row>
    <row r="179" spans="1:7" s="4" customFormat="1" x14ac:dyDescent="0.2">
      <c r="A179" s="8"/>
      <c r="B179" s="2"/>
      <c r="C179" s="10"/>
      <c r="D179" s="10"/>
      <c r="E179" s="9"/>
      <c r="F179" s="8"/>
      <c r="G179" s="28"/>
    </row>
    <row r="180" spans="1:7" s="4" customFormat="1" x14ac:dyDescent="0.2">
      <c r="A180" s="8"/>
      <c r="B180" s="2"/>
      <c r="C180" s="10"/>
      <c r="D180" s="10"/>
      <c r="E180" s="9"/>
      <c r="F180" s="8"/>
      <c r="G180" s="28"/>
    </row>
    <row r="181" spans="1:7" s="4" customFormat="1" x14ac:dyDescent="0.2">
      <c r="A181" s="8"/>
      <c r="B181" s="2"/>
      <c r="C181" s="10"/>
      <c r="D181" s="10"/>
      <c r="E181" s="9"/>
      <c r="F181" s="8"/>
      <c r="G181" s="28"/>
    </row>
    <row r="182" spans="1:7" s="4" customFormat="1" x14ac:dyDescent="0.2">
      <c r="A182" s="8"/>
      <c r="B182" s="2"/>
      <c r="C182" s="10"/>
      <c r="D182" s="10"/>
      <c r="E182" s="9"/>
      <c r="F182" s="8"/>
      <c r="G182" s="28"/>
    </row>
    <row r="183" spans="1:7" s="4" customFormat="1" x14ac:dyDescent="0.2">
      <c r="A183" s="8"/>
      <c r="B183" s="2"/>
      <c r="C183" s="10"/>
      <c r="D183" s="10"/>
      <c r="E183" s="9"/>
      <c r="F183" s="8"/>
      <c r="G183" s="28"/>
    </row>
    <row r="184" spans="1:7" s="4" customFormat="1" x14ac:dyDescent="0.2">
      <c r="A184" s="8"/>
      <c r="B184" s="2"/>
      <c r="C184" s="10"/>
      <c r="D184" s="10"/>
      <c r="E184" s="9"/>
      <c r="F184" s="8"/>
      <c r="G184" s="28"/>
    </row>
    <row r="185" spans="1:7" s="4" customFormat="1" x14ac:dyDescent="0.2">
      <c r="A185" s="8"/>
      <c r="B185" s="2"/>
      <c r="C185" s="10"/>
      <c r="D185" s="10"/>
      <c r="E185" s="9"/>
      <c r="F185" s="8"/>
      <c r="G185" s="28"/>
    </row>
    <row r="186" spans="1:7" s="4" customFormat="1" x14ac:dyDescent="0.2">
      <c r="A186" s="8"/>
      <c r="B186" s="2"/>
      <c r="C186" s="10"/>
      <c r="D186" s="10"/>
      <c r="E186" s="9"/>
      <c r="F186" s="8"/>
      <c r="G186" s="28"/>
    </row>
    <row r="187" spans="1:7" s="4" customFormat="1" x14ac:dyDescent="0.2">
      <c r="A187" s="8"/>
      <c r="B187" s="2"/>
      <c r="C187" s="10"/>
      <c r="D187" s="10"/>
      <c r="E187" s="9"/>
      <c r="F187" s="8"/>
      <c r="G187" s="28"/>
    </row>
    <row r="188" spans="1:7" s="4" customFormat="1" x14ac:dyDescent="0.2">
      <c r="A188" s="8"/>
      <c r="B188" s="2"/>
      <c r="C188" s="10"/>
      <c r="D188" s="10"/>
      <c r="E188" s="9"/>
      <c r="F188" s="8"/>
      <c r="G188" s="28"/>
    </row>
    <row r="189" spans="1:7" s="4" customFormat="1" x14ac:dyDescent="0.2">
      <c r="A189" s="8"/>
      <c r="B189" s="2"/>
      <c r="C189" s="10"/>
      <c r="D189" s="10"/>
      <c r="E189" s="9"/>
      <c r="F189" s="8"/>
      <c r="G189" s="28"/>
    </row>
    <row r="190" spans="1:7" s="4" customFormat="1" x14ac:dyDescent="0.2">
      <c r="A190" s="8"/>
      <c r="B190" s="2"/>
      <c r="C190" s="10"/>
      <c r="D190" s="10"/>
      <c r="E190" s="9"/>
      <c r="F190" s="8"/>
      <c r="G190" s="28"/>
    </row>
    <row r="191" spans="1:7" s="4" customFormat="1" x14ac:dyDescent="0.2">
      <c r="A191" s="8"/>
      <c r="B191" s="2"/>
      <c r="C191" s="10"/>
      <c r="D191" s="10"/>
      <c r="E191" s="9"/>
      <c r="F191" s="8"/>
      <c r="G191" s="28"/>
    </row>
    <row r="192" spans="1:7" s="4" customFormat="1" x14ac:dyDescent="0.2">
      <c r="A192" s="8"/>
      <c r="B192" s="2"/>
      <c r="C192" s="10"/>
      <c r="D192" s="10"/>
      <c r="E192" s="9"/>
      <c r="F192" s="8"/>
      <c r="G192" s="28"/>
    </row>
    <row r="193" spans="1:7" s="4" customFormat="1" x14ac:dyDescent="0.2">
      <c r="A193" s="8"/>
      <c r="B193" s="2"/>
      <c r="C193" s="10"/>
      <c r="D193" s="10"/>
      <c r="E193" s="9"/>
      <c r="F193" s="8"/>
      <c r="G193" s="28"/>
    </row>
    <row r="194" spans="1:7" s="4" customFormat="1" x14ac:dyDescent="0.2">
      <c r="A194" s="8"/>
      <c r="B194" s="2"/>
      <c r="C194" s="10"/>
      <c r="D194" s="10"/>
      <c r="E194" s="9"/>
      <c r="F194" s="8"/>
      <c r="G194" s="28"/>
    </row>
    <row r="195" spans="1:7" s="4" customFormat="1" x14ac:dyDescent="0.2">
      <c r="A195" s="8"/>
      <c r="B195" s="2"/>
      <c r="C195" s="10"/>
      <c r="D195" s="10"/>
      <c r="E195" s="9"/>
      <c r="F195" s="8"/>
      <c r="G195" s="28"/>
    </row>
    <row r="196" spans="1:7" s="4" customFormat="1" x14ac:dyDescent="0.2">
      <c r="A196" s="8"/>
      <c r="B196" s="2"/>
      <c r="C196" s="10"/>
      <c r="D196" s="10"/>
      <c r="E196" s="9"/>
      <c r="F196" s="8"/>
      <c r="G196" s="28"/>
    </row>
    <row r="197" spans="1:7" s="4" customFormat="1" x14ac:dyDescent="0.2">
      <c r="A197" s="8"/>
      <c r="B197" s="2"/>
      <c r="C197" s="10"/>
      <c r="D197" s="10"/>
      <c r="E197" s="9"/>
      <c r="F197" s="8"/>
      <c r="G197" s="28"/>
    </row>
    <row r="198" spans="1:7" s="4" customFormat="1" x14ac:dyDescent="0.2">
      <c r="A198" s="8"/>
      <c r="B198" s="2"/>
      <c r="C198" s="10"/>
      <c r="D198" s="10"/>
      <c r="E198" s="9"/>
      <c r="F198" s="8"/>
      <c r="G198" s="28"/>
    </row>
    <row r="199" spans="1:7" s="4" customFormat="1" x14ac:dyDescent="0.2">
      <c r="A199" s="8"/>
      <c r="B199" s="2"/>
      <c r="C199" s="10"/>
      <c r="D199" s="10"/>
      <c r="E199" s="9"/>
      <c r="F199" s="8"/>
      <c r="G199" s="28"/>
    </row>
    <row r="200" spans="1:7" s="4" customFormat="1" x14ac:dyDescent="0.2">
      <c r="A200" s="8"/>
      <c r="B200" s="2"/>
      <c r="C200" s="10"/>
      <c r="D200" s="10"/>
      <c r="E200" s="9"/>
      <c r="F200" s="8"/>
      <c r="G200" s="28"/>
    </row>
    <row r="201" spans="1:7" s="4" customFormat="1" x14ac:dyDescent="0.2">
      <c r="A201" s="8"/>
      <c r="B201" s="2"/>
      <c r="C201" s="10"/>
      <c r="D201" s="10"/>
      <c r="E201" s="9"/>
      <c r="F201" s="8"/>
      <c r="G201" s="28"/>
    </row>
    <row r="202" spans="1:7" s="4" customFormat="1" x14ac:dyDescent="0.2">
      <c r="A202" s="8"/>
      <c r="B202" s="2"/>
      <c r="C202" s="10"/>
      <c r="D202" s="10"/>
      <c r="E202" s="9"/>
      <c r="F202" s="8"/>
      <c r="G202" s="28"/>
    </row>
  </sheetData>
  <mergeCells count="1">
    <mergeCell ref="D92:E92"/>
  </mergeCells>
  <conditionalFormatting sqref="H141:Q141">
    <cfRule type="cellIs" dxfId="1534" priority="51" stopIfTrue="1" operator="greaterThan">
      <formula>$E$141</formula>
    </cfRule>
    <cfRule type="cellIs" dxfId="1533" priority="52" stopIfTrue="1" operator="lessThanOrEqual">
      <formula>$E$141</formula>
    </cfRule>
  </conditionalFormatting>
  <conditionalFormatting sqref="H143:Q143">
    <cfRule type="cellIs" dxfId="1532" priority="49" stopIfTrue="1" operator="lessThanOrEqual">
      <formula>$E$143</formula>
    </cfRule>
    <cfRule type="cellIs" dxfId="1531" priority="50" stopIfTrue="1" operator="greaterThan">
      <formula>$E$143</formula>
    </cfRule>
  </conditionalFormatting>
  <conditionalFormatting sqref="H121:Q121">
    <cfRule type="cellIs" dxfId="1530" priority="47" operator="greaterThan">
      <formula>$E$121</formula>
    </cfRule>
    <cfRule type="cellIs" dxfId="1529" priority="48" operator="lessThanOrEqual">
      <formula>$E$121</formula>
    </cfRule>
  </conditionalFormatting>
  <conditionalFormatting sqref="H124:Q124">
    <cfRule type="cellIs" dxfId="1528" priority="45" stopIfTrue="1" operator="greaterThanOrEqual">
      <formula>$E$124</formula>
    </cfRule>
    <cfRule type="cellIs" dxfId="1527" priority="46" stopIfTrue="1" operator="lessThan">
      <formula>$E$124</formula>
    </cfRule>
  </conditionalFormatting>
  <conditionalFormatting sqref="H126:Q126">
    <cfRule type="cellIs" dxfId="1526" priority="43" stopIfTrue="1" operator="lessThan">
      <formula>$E$126</formula>
    </cfRule>
    <cfRule type="cellIs" dxfId="1525" priority="44" stopIfTrue="1" operator="greaterThanOrEqual">
      <formula>$E$126</formula>
    </cfRule>
  </conditionalFormatting>
  <conditionalFormatting sqref="H125:Q125">
    <cfRule type="cellIs" dxfId="1524" priority="41" stopIfTrue="1" operator="greaterThan">
      <formula>$E$125</formula>
    </cfRule>
    <cfRule type="cellIs" dxfId="1523" priority="42" stopIfTrue="1" operator="lessThanOrEqual">
      <formula>$E$125</formula>
    </cfRule>
  </conditionalFormatting>
  <conditionalFormatting sqref="H122:Q122">
    <cfRule type="cellIs" dxfId="1522" priority="30" stopIfTrue="1" operator="between">
      <formula>$D$122</formula>
      <formula>$E$122</formula>
    </cfRule>
    <cfRule type="cellIs" dxfId="1521" priority="39" stopIfTrue="1" operator="lessThanOrEqual">
      <formula>$D$122</formula>
    </cfRule>
    <cfRule type="cellIs" dxfId="1520" priority="40" stopIfTrue="1" operator="greaterThan">
      <formula>$E$122</formula>
    </cfRule>
  </conditionalFormatting>
  <conditionalFormatting sqref="H142:Q142">
    <cfRule type="cellIs" dxfId="1519" priority="37" stopIfTrue="1" operator="greaterThan">
      <formula>$E$142</formula>
    </cfRule>
    <cfRule type="cellIs" dxfId="1518" priority="38" stopIfTrue="1" operator="lessThanOrEqual">
      <formula>$E$142</formula>
    </cfRule>
  </conditionalFormatting>
  <conditionalFormatting sqref="H130:Q130">
    <cfRule type="cellIs" dxfId="1517" priority="35" stopIfTrue="1" operator="greaterThan">
      <formula>$E$130</formula>
    </cfRule>
    <cfRule type="cellIs" dxfId="1516" priority="36" stopIfTrue="1" operator="lessThanOrEqual">
      <formula>$E$130</formula>
    </cfRule>
  </conditionalFormatting>
  <conditionalFormatting sqref="H131:Q131">
    <cfRule type="cellIs" dxfId="1515" priority="33" stopIfTrue="1" operator="lessThan">
      <formula>$E$131</formula>
    </cfRule>
    <cfRule type="cellIs" dxfId="1514" priority="34" stopIfTrue="1" operator="greaterThanOrEqual">
      <formula>$E$131</formula>
    </cfRule>
  </conditionalFormatting>
  <conditionalFormatting sqref="H114:Q114">
    <cfRule type="cellIs" dxfId="1513" priority="53" stopIfTrue="1" operator="lessThan">
      <formula>$D$114</formula>
    </cfRule>
    <cfRule type="cellIs" dxfId="1512" priority="54" stopIfTrue="1" operator="between">
      <formula>$D$114</formula>
      <formula>$E$114</formula>
    </cfRule>
    <cfRule type="cellIs" dxfId="1511" priority="55" stopIfTrue="1" operator="greaterThan">
      <formula>$E$114</formula>
    </cfRule>
  </conditionalFormatting>
  <conditionalFormatting sqref="H138:Q138">
    <cfRule type="cellIs" dxfId="1510" priority="56" stopIfTrue="1" operator="lessThan">
      <formula>$E$138</formula>
    </cfRule>
    <cfRule type="cellIs" dxfId="1509" priority="57" stopIfTrue="1" operator="between">
      <formula>$D$138</formula>
      <formula>$E$138</formula>
    </cfRule>
    <cfRule type="cellIs" dxfId="1508" priority="58" stopIfTrue="1" operator="greaterThanOrEqual">
      <formula>$D$138</formula>
    </cfRule>
  </conditionalFormatting>
  <conditionalFormatting sqref="H111:Q111">
    <cfRule type="cellIs" dxfId="1507" priority="31" stopIfTrue="1" operator="lessThan">
      <formula>$E$111</formula>
    </cfRule>
    <cfRule type="cellIs" dxfId="1506" priority="32" stopIfTrue="1" operator="greaterThan">
      <formula>$E$111</formula>
    </cfRule>
  </conditionalFormatting>
  <conditionalFormatting sqref="R141:S141">
    <cfRule type="cellIs" dxfId="1505" priority="22" stopIfTrue="1" operator="greaterThan">
      <formula>$E$141</formula>
    </cfRule>
    <cfRule type="cellIs" dxfId="1504" priority="23" stopIfTrue="1" operator="lessThanOrEqual">
      <formula>$E$141</formula>
    </cfRule>
  </conditionalFormatting>
  <conditionalFormatting sqref="R143:S143">
    <cfRule type="cellIs" dxfId="1503" priority="20" stopIfTrue="1" operator="lessThanOrEqual">
      <formula>$E$143</formula>
    </cfRule>
    <cfRule type="cellIs" dxfId="1502" priority="21" stopIfTrue="1" operator="greaterThan">
      <formula>$E$143</formula>
    </cfRule>
  </conditionalFormatting>
  <conditionalFormatting sqref="R121:S121">
    <cfRule type="cellIs" dxfId="1501" priority="18" operator="greaterThan">
      <formula>$E$121</formula>
    </cfRule>
    <cfRule type="cellIs" dxfId="1500" priority="19" operator="lessThanOrEqual">
      <formula>$E$121</formula>
    </cfRule>
  </conditionalFormatting>
  <conditionalFormatting sqref="R124:S124">
    <cfRule type="cellIs" dxfId="1499" priority="16" stopIfTrue="1" operator="greaterThanOrEqual">
      <formula>$E$124</formula>
    </cfRule>
    <cfRule type="cellIs" dxfId="1498" priority="17" stopIfTrue="1" operator="lessThan">
      <formula>$E$124</formula>
    </cfRule>
  </conditionalFormatting>
  <conditionalFormatting sqref="R126:S126">
    <cfRule type="cellIs" dxfId="1497" priority="14" stopIfTrue="1" operator="lessThan">
      <formula>$E$126</formula>
    </cfRule>
    <cfRule type="cellIs" dxfId="1496" priority="15" stopIfTrue="1" operator="greaterThanOrEqual">
      <formula>$E$126</formula>
    </cfRule>
  </conditionalFormatting>
  <conditionalFormatting sqref="R125:S125">
    <cfRule type="cellIs" dxfId="1495" priority="12" stopIfTrue="1" operator="greaterThan">
      <formula>$E$125</formula>
    </cfRule>
    <cfRule type="cellIs" dxfId="1494" priority="13" stopIfTrue="1" operator="lessThanOrEqual">
      <formula>$E$125</formula>
    </cfRule>
  </conditionalFormatting>
  <conditionalFormatting sqref="R122:S122">
    <cfRule type="cellIs" dxfId="1493" priority="1" stopIfTrue="1" operator="between">
      <formula>$D$122</formula>
      <formula>$E$122</formula>
    </cfRule>
    <cfRule type="cellIs" dxfId="1492" priority="10" stopIfTrue="1" operator="lessThanOrEqual">
      <formula>$D$122</formula>
    </cfRule>
    <cfRule type="cellIs" dxfId="1491" priority="11" stopIfTrue="1" operator="greaterThan">
      <formula>$E$122</formula>
    </cfRule>
  </conditionalFormatting>
  <conditionalFormatting sqref="R142:S142">
    <cfRule type="cellIs" dxfId="1490" priority="8" stopIfTrue="1" operator="greaterThan">
      <formula>$E$142</formula>
    </cfRule>
    <cfRule type="cellIs" dxfId="1489" priority="9" stopIfTrue="1" operator="lessThanOrEqual">
      <formula>$E$142</formula>
    </cfRule>
  </conditionalFormatting>
  <conditionalFormatting sqref="R130:S130">
    <cfRule type="cellIs" dxfId="1488" priority="6" stopIfTrue="1" operator="greaterThan">
      <formula>$E$130</formula>
    </cfRule>
    <cfRule type="cellIs" dxfId="1487" priority="7" stopIfTrue="1" operator="lessThanOrEqual">
      <formula>$E$130</formula>
    </cfRule>
  </conditionalFormatting>
  <conditionalFormatting sqref="R131:S131">
    <cfRule type="cellIs" dxfId="1486" priority="4" stopIfTrue="1" operator="lessThan">
      <formula>$E$131</formula>
    </cfRule>
    <cfRule type="cellIs" dxfId="1485" priority="5" stopIfTrue="1" operator="greaterThanOrEqual">
      <formula>$E$131</formula>
    </cfRule>
  </conditionalFormatting>
  <conditionalFormatting sqref="R114:S114">
    <cfRule type="cellIs" dxfId="1484" priority="24" stopIfTrue="1" operator="lessThan">
      <formula>$D$114</formula>
    </cfRule>
    <cfRule type="cellIs" dxfId="1483" priority="25" stopIfTrue="1" operator="between">
      <formula>$D$114</formula>
      <formula>$E$114</formula>
    </cfRule>
    <cfRule type="cellIs" dxfId="1482" priority="26" stopIfTrue="1" operator="greaterThan">
      <formula>$E$114</formula>
    </cfRule>
  </conditionalFormatting>
  <conditionalFormatting sqref="R138:S138">
    <cfRule type="cellIs" dxfId="1481" priority="27" stopIfTrue="1" operator="lessThan">
      <formula>$E$138</formula>
    </cfRule>
    <cfRule type="cellIs" dxfId="1480" priority="28" stopIfTrue="1" operator="between">
      <formula>$D$138</formula>
      <formula>$E$138</formula>
    </cfRule>
    <cfRule type="cellIs" dxfId="1479" priority="29" stopIfTrue="1" operator="greaterThanOrEqual">
      <formula>$D$138</formula>
    </cfRule>
  </conditionalFormatting>
  <conditionalFormatting sqref="R111:S111">
    <cfRule type="cellIs" dxfId="1478" priority="2" stopIfTrue="1" operator="lessThan">
      <formula>$E$111</formula>
    </cfRule>
    <cfRule type="cellIs" dxfId="1477" priority="3" stopIfTrue="1" operator="greaterThan">
      <formula>$E$111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272E88-ADF8-4C78-A438-16AA9F30D672}">
  <sheetPr>
    <pageSetUpPr fitToPage="1"/>
  </sheetPr>
  <dimension ref="A1:S150"/>
  <sheetViews>
    <sheetView workbookViewId="0">
      <selection activeCell="H2" sqref="H2"/>
    </sheetView>
  </sheetViews>
  <sheetFormatPr defaultRowHeight="11.25" x14ac:dyDescent="0.2"/>
  <cols>
    <col min="1" max="1" width="5.7109375" style="8" bestFit="1" customWidth="1"/>
    <col min="2" max="2" width="5" style="2" bestFit="1" customWidth="1"/>
    <col min="3" max="3" width="21" style="10" bestFit="1" customWidth="1"/>
    <col min="4" max="4" width="7.28515625" style="10" customWidth="1"/>
    <col min="5" max="5" width="5.140625" style="9" bestFit="1" customWidth="1"/>
    <col min="6" max="6" width="2.140625" style="8" customWidth="1"/>
    <col min="7" max="7" width="21.5703125" style="28" customWidth="1"/>
    <col min="8" max="11" width="8.7109375" style="4" customWidth="1"/>
    <col min="12" max="19" width="8.7109375" style="4" bestFit="1" customWidth="1"/>
    <col min="20" max="256" width="9.140625" style="4"/>
    <col min="257" max="257" width="5.7109375" style="4" bestFit="1" customWidth="1"/>
    <col min="258" max="258" width="5" style="4" bestFit="1" customWidth="1"/>
    <col min="259" max="259" width="21" style="4" bestFit="1" customWidth="1"/>
    <col min="260" max="260" width="7.28515625" style="4" customWidth="1"/>
    <col min="261" max="261" width="5.140625" style="4" bestFit="1" customWidth="1"/>
    <col min="262" max="262" width="2.140625" style="4" customWidth="1"/>
    <col min="263" max="263" width="21.5703125" style="4" customWidth="1"/>
    <col min="264" max="267" width="8.7109375" style="4" customWidth="1"/>
    <col min="268" max="275" width="8.7109375" style="4" bestFit="1" customWidth="1"/>
    <col min="276" max="512" width="9.140625" style="4"/>
    <col min="513" max="513" width="5.7109375" style="4" bestFit="1" customWidth="1"/>
    <col min="514" max="514" width="5" style="4" bestFit="1" customWidth="1"/>
    <col min="515" max="515" width="21" style="4" bestFit="1" customWidth="1"/>
    <col min="516" max="516" width="7.28515625" style="4" customWidth="1"/>
    <col min="517" max="517" width="5.140625" style="4" bestFit="1" customWidth="1"/>
    <col min="518" max="518" width="2.140625" style="4" customWidth="1"/>
    <col min="519" max="519" width="21.5703125" style="4" customWidth="1"/>
    <col min="520" max="523" width="8.7109375" style="4" customWidth="1"/>
    <col min="524" max="531" width="8.7109375" style="4" bestFit="1" customWidth="1"/>
    <col min="532" max="768" width="9.140625" style="4"/>
    <col min="769" max="769" width="5.7109375" style="4" bestFit="1" customWidth="1"/>
    <col min="770" max="770" width="5" style="4" bestFit="1" customWidth="1"/>
    <col min="771" max="771" width="21" style="4" bestFit="1" customWidth="1"/>
    <col min="772" max="772" width="7.28515625" style="4" customWidth="1"/>
    <col min="773" max="773" width="5.140625" style="4" bestFit="1" customWidth="1"/>
    <col min="774" max="774" width="2.140625" style="4" customWidth="1"/>
    <col min="775" max="775" width="21.5703125" style="4" customWidth="1"/>
    <col min="776" max="779" width="8.7109375" style="4" customWidth="1"/>
    <col min="780" max="787" width="8.7109375" style="4" bestFit="1" customWidth="1"/>
    <col min="788" max="1024" width="9.140625" style="4"/>
    <col min="1025" max="1025" width="5.7109375" style="4" bestFit="1" customWidth="1"/>
    <col min="1026" max="1026" width="5" style="4" bestFit="1" customWidth="1"/>
    <col min="1027" max="1027" width="21" style="4" bestFit="1" customWidth="1"/>
    <col min="1028" max="1028" width="7.28515625" style="4" customWidth="1"/>
    <col min="1029" max="1029" width="5.140625" style="4" bestFit="1" customWidth="1"/>
    <col min="1030" max="1030" width="2.140625" style="4" customWidth="1"/>
    <col min="1031" max="1031" width="21.5703125" style="4" customWidth="1"/>
    <col min="1032" max="1035" width="8.7109375" style="4" customWidth="1"/>
    <col min="1036" max="1043" width="8.7109375" style="4" bestFit="1" customWidth="1"/>
    <col min="1044" max="1280" width="9.140625" style="4"/>
    <col min="1281" max="1281" width="5.7109375" style="4" bestFit="1" customWidth="1"/>
    <col min="1282" max="1282" width="5" style="4" bestFit="1" customWidth="1"/>
    <col min="1283" max="1283" width="21" style="4" bestFit="1" customWidth="1"/>
    <col min="1284" max="1284" width="7.28515625" style="4" customWidth="1"/>
    <col min="1285" max="1285" width="5.140625" style="4" bestFit="1" customWidth="1"/>
    <col min="1286" max="1286" width="2.140625" style="4" customWidth="1"/>
    <col min="1287" max="1287" width="21.5703125" style="4" customWidth="1"/>
    <col min="1288" max="1291" width="8.7109375" style="4" customWidth="1"/>
    <col min="1292" max="1299" width="8.7109375" style="4" bestFit="1" customWidth="1"/>
    <col min="1300" max="1536" width="9.140625" style="4"/>
    <col min="1537" max="1537" width="5.7109375" style="4" bestFit="1" customWidth="1"/>
    <col min="1538" max="1538" width="5" style="4" bestFit="1" customWidth="1"/>
    <col min="1539" max="1539" width="21" style="4" bestFit="1" customWidth="1"/>
    <col min="1540" max="1540" width="7.28515625" style="4" customWidth="1"/>
    <col min="1541" max="1541" width="5.140625" style="4" bestFit="1" customWidth="1"/>
    <col min="1542" max="1542" width="2.140625" style="4" customWidth="1"/>
    <col min="1543" max="1543" width="21.5703125" style="4" customWidth="1"/>
    <col min="1544" max="1547" width="8.7109375" style="4" customWidth="1"/>
    <col min="1548" max="1555" width="8.7109375" style="4" bestFit="1" customWidth="1"/>
    <col min="1556" max="1792" width="9.140625" style="4"/>
    <col min="1793" max="1793" width="5.7109375" style="4" bestFit="1" customWidth="1"/>
    <col min="1794" max="1794" width="5" style="4" bestFit="1" customWidth="1"/>
    <col min="1795" max="1795" width="21" style="4" bestFit="1" customWidth="1"/>
    <col min="1796" max="1796" width="7.28515625" style="4" customWidth="1"/>
    <col min="1797" max="1797" width="5.140625" style="4" bestFit="1" customWidth="1"/>
    <col min="1798" max="1798" width="2.140625" style="4" customWidth="1"/>
    <col min="1799" max="1799" width="21.5703125" style="4" customWidth="1"/>
    <col min="1800" max="1803" width="8.7109375" style="4" customWidth="1"/>
    <col min="1804" max="1811" width="8.7109375" style="4" bestFit="1" customWidth="1"/>
    <col min="1812" max="2048" width="9.140625" style="4"/>
    <col min="2049" max="2049" width="5.7109375" style="4" bestFit="1" customWidth="1"/>
    <col min="2050" max="2050" width="5" style="4" bestFit="1" customWidth="1"/>
    <col min="2051" max="2051" width="21" style="4" bestFit="1" customWidth="1"/>
    <col min="2052" max="2052" width="7.28515625" style="4" customWidth="1"/>
    <col min="2053" max="2053" width="5.140625" style="4" bestFit="1" customWidth="1"/>
    <col min="2054" max="2054" width="2.140625" style="4" customWidth="1"/>
    <col min="2055" max="2055" width="21.5703125" style="4" customWidth="1"/>
    <col min="2056" max="2059" width="8.7109375" style="4" customWidth="1"/>
    <col min="2060" max="2067" width="8.7109375" style="4" bestFit="1" customWidth="1"/>
    <col min="2068" max="2304" width="9.140625" style="4"/>
    <col min="2305" max="2305" width="5.7109375" style="4" bestFit="1" customWidth="1"/>
    <col min="2306" max="2306" width="5" style="4" bestFit="1" customWidth="1"/>
    <col min="2307" max="2307" width="21" style="4" bestFit="1" customWidth="1"/>
    <col min="2308" max="2308" width="7.28515625" style="4" customWidth="1"/>
    <col min="2309" max="2309" width="5.140625" style="4" bestFit="1" customWidth="1"/>
    <col min="2310" max="2310" width="2.140625" style="4" customWidth="1"/>
    <col min="2311" max="2311" width="21.5703125" style="4" customWidth="1"/>
    <col min="2312" max="2315" width="8.7109375" style="4" customWidth="1"/>
    <col min="2316" max="2323" width="8.7109375" style="4" bestFit="1" customWidth="1"/>
    <col min="2324" max="2560" width="9.140625" style="4"/>
    <col min="2561" max="2561" width="5.7109375" style="4" bestFit="1" customWidth="1"/>
    <col min="2562" max="2562" width="5" style="4" bestFit="1" customWidth="1"/>
    <col min="2563" max="2563" width="21" style="4" bestFit="1" customWidth="1"/>
    <col min="2564" max="2564" width="7.28515625" style="4" customWidth="1"/>
    <col min="2565" max="2565" width="5.140625" style="4" bestFit="1" customWidth="1"/>
    <col min="2566" max="2566" width="2.140625" style="4" customWidth="1"/>
    <col min="2567" max="2567" width="21.5703125" style="4" customWidth="1"/>
    <col min="2568" max="2571" width="8.7109375" style="4" customWidth="1"/>
    <col min="2572" max="2579" width="8.7109375" style="4" bestFit="1" customWidth="1"/>
    <col min="2580" max="2816" width="9.140625" style="4"/>
    <col min="2817" max="2817" width="5.7109375" style="4" bestFit="1" customWidth="1"/>
    <col min="2818" max="2818" width="5" style="4" bestFit="1" customWidth="1"/>
    <col min="2819" max="2819" width="21" style="4" bestFit="1" customWidth="1"/>
    <col min="2820" max="2820" width="7.28515625" style="4" customWidth="1"/>
    <col min="2821" max="2821" width="5.140625" style="4" bestFit="1" customWidth="1"/>
    <col min="2822" max="2822" width="2.140625" style="4" customWidth="1"/>
    <col min="2823" max="2823" width="21.5703125" style="4" customWidth="1"/>
    <col min="2824" max="2827" width="8.7109375" style="4" customWidth="1"/>
    <col min="2828" max="2835" width="8.7109375" style="4" bestFit="1" customWidth="1"/>
    <col min="2836" max="3072" width="9.140625" style="4"/>
    <col min="3073" max="3073" width="5.7109375" style="4" bestFit="1" customWidth="1"/>
    <col min="3074" max="3074" width="5" style="4" bestFit="1" customWidth="1"/>
    <col min="3075" max="3075" width="21" style="4" bestFit="1" customWidth="1"/>
    <col min="3076" max="3076" width="7.28515625" style="4" customWidth="1"/>
    <col min="3077" max="3077" width="5.140625" style="4" bestFit="1" customWidth="1"/>
    <col min="3078" max="3078" width="2.140625" style="4" customWidth="1"/>
    <col min="3079" max="3079" width="21.5703125" style="4" customWidth="1"/>
    <col min="3080" max="3083" width="8.7109375" style="4" customWidth="1"/>
    <col min="3084" max="3091" width="8.7109375" style="4" bestFit="1" customWidth="1"/>
    <col min="3092" max="3328" width="9.140625" style="4"/>
    <col min="3329" max="3329" width="5.7109375" style="4" bestFit="1" customWidth="1"/>
    <col min="3330" max="3330" width="5" style="4" bestFit="1" customWidth="1"/>
    <col min="3331" max="3331" width="21" style="4" bestFit="1" customWidth="1"/>
    <col min="3332" max="3332" width="7.28515625" style="4" customWidth="1"/>
    <col min="3333" max="3333" width="5.140625" style="4" bestFit="1" customWidth="1"/>
    <col min="3334" max="3334" width="2.140625" style="4" customWidth="1"/>
    <col min="3335" max="3335" width="21.5703125" style="4" customWidth="1"/>
    <col min="3336" max="3339" width="8.7109375" style="4" customWidth="1"/>
    <col min="3340" max="3347" width="8.7109375" style="4" bestFit="1" customWidth="1"/>
    <col min="3348" max="3584" width="9.140625" style="4"/>
    <col min="3585" max="3585" width="5.7109375" style="4" bestFit="1" customWidth="1"/>
    <col min="3586" max="3586" width="5" style="4" bestFit="1" customWidth="1"/>
    <col min="3587" max="3587" width="21" style="4" bestFit="1" customWidth="1"/>
    <col min="3588" max="3588" width="7.28515625" style="4" customWidth="1"/>
    <col min="3589" max="3589" width="5.140625" style="4" bestFit="1" customWidth="1"/>
    <col min="3590" max="3590" width="2.140625" style="4" customWidth="1"/>
    <col min="3591" max="3591" width="21.5703125" style="4" customWidth="1"/>
    <col min="3592" max="3595" width="8.7109375" style="4" customWidth="1"/>
    <col min="3596" max="3603" width="8.7109375" style="4" bestFit="1" customWidth="1"/>
    <col min="3604" max="3840" width="9.140625" style="4"/>
    <col min="3841" max="3841" width="5.7109375" style="4" bestFit="1" customWidth="1"/>
    <col min="3842" max="3842" width="5" style="4" bestFit="1" customWidth="1"/>
    <col min="3843" max="3843" width="21" style="4" bestFit="1" customWidth="1"/>
    <col min="3844" max="3844" width="7.28515625" style="4" customWidth="1"/>
    <col min="3845" max="3845" width="5.140625" style="4" bestFit="1" customWidth="1"/>
    <col min="3846" max="3846" width="2.140625" style="4" customWidth="1"/>
    <col min="3847" max="3847" width="21.5703125" style="4" customWidth="1"/>
    <col min="3848" max="3851" width="8.7109375" style="4" customWidth="1"/>
    <col min="3852" max="3859" width="8.7109375" style="4" bestFit="1" customWidth="1"/>
    <col min="3860" max="4096" width="9.140625" style="4"/>
    <col min="4097" max="4097" width="5.7109375" style="4" bestFit="1" customWidth="1"/>
    <col min="4098" max="4098" width="5" style="4" bestFit="1" customWidth="1"/>
    <col min="4099" max="4099" width="21" style="4" bestFit="1" customWidth="1"/>
    <col min="4100" max="4100" width="7.28515625" style="4" customWidth="1"/>
    <col min="4101" max="4101" width="5.140625" style="4" bestFit="1" customWidth="1"/>
    <col min="4102" max="4102" width="2.140625" style="4" customWidth="1"/>
    <col min="4103" max="4103" width="21.5703125" style="4" customWidth="1"/>
    <col min="4104" max="4107" width="8.7109375" style="4" customWidth="1"/>
    <col min="4108" max="4115" width="8.7109375" style="4" bestFit="1" customWidth="1"/>
    <col min="4116" max="4352" width="9.140625" style="4"/>
    <col min="4353" max="4353" width="5.7109375" style="4" bestFit="1" customWidth="1"/>
    <col min="4354" max="4354" width="5" style="4" bestFit="1" customWidth="1"/>
    <col min="4355" max="4355" width="21" style="4" bestFit="1" customWidth="1"/>
    <col min="4356" max="4356" width="7.28515625" style="4" customWidth="1"/>
    <col min="4357" max="4357" width="5.140625" style="4" bestFit="1" customWidth="1"/>
    <col min="4358" max="4358" width="2.140625" style="4" customWidth="1"/>
    <col min="4359" max="4359" width="21.5703125" style="4" customWidth="1"/>
    <col min="4360" max="4363" width="8.7109375" style="4" customWidth="1"/>
    <col min="4364" max="4371" width="8.7109375" style="4" bestFit="1" customWidth="1"/>
    <col min="4372" max="4608" width="9.140625" style="4"/>
    <col min="4609" max="4609" width="5.7109375" style="4" bestFit="1" customWidth="1"/>
    <col min="4610" max="4610" width="5" style="4" bestFit="1" customWidth="1"/>
    <col min="4611" max="4611" width="21" style="4" bestFit="1" customWidth="1"/>
    <col min="4612" max="4612" width="7.28515625" style="4" customWidth="1"/>
    <col min="4613" max="4613" width="5.140625" style="4" bestFit="1" customWidth="1"/>
    <col min="4614" max="4614" width="2.140625" style="4" customWidth="1"/>
    <col min="4615" max="4615" width="21.5703125" style="4" customWidth="1"/>
    <col min="4616" max="4619" width="8.7109375" style="4" customWidth="1"/>
    <col min="4620" max="4627" width="8.7109375" style="4" bestFit="1" customWidth="1"/>
    <col min="4628" max="4864" width="9.140625" style="4"/>
    <col min="4865" max="4865" width="5.7109375" style="4" bestFit="1" customWidth="1"/>
    <col min="4866" max="4866" width="5" style="4" bestFit="1" customWidth="1"/>
    <col min="4867" max="4867" width="21" style="4" bestFit="1" customWidth="1"/>
    <col min="4868" max="4868" width="7.28515625" style="4" customWidth="1"/>
    <col min="4869" max="4869" width="5.140625" style="4" bestFit="1" customWidth="1"/>
    <col min="4870" max="4870" width="2.140625" style="4" customWidth="1"/>
    <col min="4871" max="4871" width="21.5703125" style="4" customWidth="1"/>
    <col min="4872" max="4875" width="8.7109375" style="4" customWidth="1"/>
    <col min="4876" max="4883" width="8.7109375" style="4" bestFit="1" customWidth="1"/>
    <col min="4884" max="5120" width="9.140625" style="4"/>
    <col min="5121" max="5121" width="5.7109375" style="4" bestFit="1" customWidth="1"/>
    <col min="5122" max="5122" width="5" style="4" bestFit="1" customWidth="1"/>
    <col min="5123" max="5123" width="21" style="4" bestFit="1" customWidth="1"/>
    <col min="5124" max="5124" width="7.28515625" style="4" customWidth="1"/>
    <col min="5125" max="5125" width="5.140625" style="4" bestFit="1" customWidth="1"/>
    <col min="5126" max="5126" width="2.140625" style="4" customWidth="1"/>
    <col min="5127" max="5127" width="21.5703125" style="4" customWidth="1"/>
    <col min="5128" max="5131" width="8.7109375" style="4" customWidth="1"/>
    <col min="5132" max="5139" width="8.7109375" style="4" bestFit="1" customWidth="1"/>
    <col min="5140" max="5376" width="9.140625" style="4"/>
    <col min="5377" max="5377" width="5.7109375" style="4" bestFit="1" customWidth="1"/>
    <col min="5378" max="5378" width="5" style="4" bestFit="1" customWidth="1"/>
    <col min="5379" max="5379" width="21" style="4" bestFit="1" customWidth="1"/>
    <col min="5380" max="5380" width="7.28515625" style="4" customWidth="1"/>
    <col min="5381" max="5381" width="5.140625" style="4" bestFit="1" customWidth="1"/>
    <col min="5382" max="5382" width="2.140625" style="4" customWidth="1"/>
    <col min="5383" max="5383" width="21.5703125" style="4" customWidth="1"/>
    <col min="5384" max="5387" width="8.7109375" style="4" customWidth="1"/>
    <col min="5388" max="5395" width="8.7109375" style="4" bestFit="1" customWidth="1"/>
    <col min="5396" max="5632" width="9.140625" style="4"/>
    <col min="5633" max="5633" width="5.7109375" style="4" bestFit="1" customWidth="1"/>
    <col min="5634" max="5634" width="5" style="4" bestFit="1" customWidth="1"/>
    <col min="5635" max="5635" width="21" style="4" bestFit="1" customWidth="1"/>
    <col min="5636" max="5636" width="7.28515625" style="4" customWidth="1"/>
    <col min="5637" max="5637" width="5.140625" style="4" bestFit="1" customWidth="1"/>
    <col min="5638" max="5638" width="2.140625" style="4" customWidth="1"/>
    <col min="5639" max="5639" width="21.5703125" style="4" customWidth="1"/>
    <col min="5640" max="5643" width="8.7109375" style="4" customWidth="1"/>
    <col min="5644" max="5651" width="8.7109375" style="4" bestFit="1" customWidth="1"/>
    <col min="5652" max="5888" width="9.140625" style="4"/>
    <col min="5889" max="5889" width="5.7109375" style="4" bestFit="1" customWidth="1"/>
    <col min="5890" max="5890" width="5" style="4" bestFit="1" customWidth="1"/>
    <col min="5891" max="5891" width="21" style="4" bestFit="1" customWidth="1"/>
    <col min="5892" max="5892" width="7.28515625" style="4" customWidth="1"/>
    <col min="5893" max="5893" width="5.140625" style="4" bestFit="1" customWidth="1"/>
    <col min="5894" max="5894" width="2.140625" style="4" customWidth="1"/>
    <col min="5895" max="5895" width="21.5703125" style="4" customWidth="1"/>
    <col min="5896" max="5899" width="8.7109375" style="4" customWidth="1"/>
    <col min="5900" max="5907" width="8.7109375" style="4" bestFit="1" customWidth="1"/>
    <col min="5908" max="6144" width="9.140625" style="4"/>
    <col min="6145" max="6145" width="5.7109375" style="4" bestFit="1" customWidth="1"/>
    <col min="6146" max="6146" width="5" style="4" bestFit="1" customWidth="1"/>
    <col min="6147" max="6147" width="21" style="4" bestFit="1" customWidth="1"/>
    <col min="6148" max="6148" width="7.28515625" style="4" customWidth="1"/>
    <col min="6149" max="6149" width="5.140625" style="4" bestFit="1" customWidth="1"/>
    <col min="6150" max="6150" width="2.140625" style="4" customWidth="1"/>
    <col min="6151" max="6151" width="21.5703125" style="4" customWidth="1"/>
    <col min="6152" max="6155" width="8.7109375" style="4" customWidth="1"/>
    <col min="6156" max="6163" width="8.7109375" style="4" bestFit="1" customWidth="1"/>
    <col min="6164" max="6400" width="9.140625" style="4"/>
    <col min="6401" max="6401" width="5.7109375" style="4" bestFit="1" customWidth="1"/>
    <col min="6402" max="6402" width="5" style="4" bestFit="1" customWidth="1"/>
    <col min="6403" max="6403" width="21" style="4" bestFit="1" customWidth="1"/>
    <col min="6404" max="6404" width="7.28515625" style="4" customWidth="1"/>
    <col min="6405" max="6405" width="5.140625" style="4" bestFit="1" customWidth="1"/>
    <col min="6406" max="6406" width="2.140625" style="4" customWidth="1"/>
    <col min="6407" max="6407" width="21.5703125" style="4" customWidth="1"/>
    <col min="6408" max="6411" width="8.7109375" style="4" customWidth="1"/>
    <col min="6412" max="6419" width="8.7109375" style="4" bestFit="1" customWidth="1"/>
    <col min="6420" max="6656" width="9.140625" style="4"/>
    <col min="6657" max="6657" width="5.7109375" style="4" bestFit="1" customWidth="1"/>
    <col min="6658" max="6658" width="5" style="4" bestFit="1" customWidth="1"/>
    <col min="6659" max="6659" width="21" style="4" bestFit="1" customWidth="1"/>
    <col min="6660" max="6660" width="7.28515625" style="4" customWidth="1"/>
    <col min="6661" max="6661" width="5.140625" style="4" bestFit="1" customWidth="1"/>
    <col min="6662" max="6662" width="2.140625" style="4" customWidth="1"/>
    <col min="6663" max="6663" width="21.5703125" style="4" customWidth="1"/>
    <col min="6664" max="6667" width="8.7109375" style="4" customWidth="1"/>
    <col min="6668" max="6675" width="8.7109375" style="4" bestFit="1" customWidth="1"/>
    <col min="6676" max="6912" width="9.140625" style="4"/>
    <col min="6913" max="6913" width="5.7109375" style="4" bestFit="1" customWidth="1"/>
    <col min="6914" max="6914" width="5" style="4" bestFit="1" customWidth="1"/>
    <col min="6915" max="6915" width="21" style="4" bestFit="1" customWidth="1"/>
    <col min="6916" max="6916" width="7.28515625" style="4" customWidth="1"/>
    <col min="6917" max="6917" width="5.140625" style="4" bestFit="1" customWidth="1"/>
    <col min="6918" max="6918" width="2.140625" style="4" customWidth="1"/>
    <col min="6919" max="6919" width="21.5703125" style="4" customWidth="1"/>
    <col min="6920" max="6923" width="8.7109375" style="4" customWidth="1"/>
    <col min="6924" max="6931" width="8.7109375" style="4" bestFit="1" customWidth="1"/>
    <col min="6932" max="7168" width="9.140625" style="4"/>
    <col min="7169" max="7169" width="5.7109375" style="4" bestFit="1" customWidth="1"/>
    <col min="7170" max="7170" width="5" style="4" bestFit="1" customWidth="1"/>
    <col min="7171" max="7171" width="21" style="4" bestFit="1" customWidth="1"/>
    <col min="7172" max="7172" width="7.28515625" style="4" customWidth="1"/>
    <col min="7173" max="7173" width="5.140625" style="4" bestFit="1" customWidth="1"/>
    <col min="7174" max="7174" width="2.140625" style="4" customWidth="1"/>
    <col min="7175" max="7175" width="21.5703125" style="4" customWidth="1"/>
    <col min="7176" max="7179" width="8.7109375" style="4" customWidth="1"/>
    <col min="7180" max="7187" width="8.7109375" style="4" bestFit="1" customWidth="1"/>
    <col min="7188" max="7424" width="9.140625" style="4"/>
    <col min="7425" max="7425" width="5.7109375" style="4" bestFit="1" customWidth="1"/>
    <col min="7426" max="7426" width="5" style="4" bestFit="1" customWidth="1"/>
    <col min="7427" max="7427" width="21" style="4" bestFit="1" customWidth="1"/>
    <col min="7428" max="7428" width="7.28515625" style="4" customWidth="1"/>
    <col min="7429" max="7429" width="5.140625" style="4" bestFit="1" customWidth="1"/>
    <col min="7430" max="7430" width="2.140625" style="4" customWidth="1"/>
    <col min="7431" max="7431" width="21.5703125" style="4" customWidth="1"/>
    <col min="7432" max="7435" width="8.7109375" style="4" customWidth="1"/>
    <col min="7436" max="7443" width="8.7109375" style="4" bestFit="1" customWidth="1"/>
    <col min="7444" max="7680" width="9.140625" style="4"/>
    <col min="7681" max="7681" width="5.7109375" style="4" bestFit="1" customWidth="1"/>
    <col min="7682" max="7682" width="5" style="4" bestFit="1" customWidth="1"/>
    <col min="7683" max="7683" width="21" style="4" bestFit="1" customWidth="1"/>
    <col min="7684" max="7684" width="7.28515625" style="4" customWidth="1"/>
    <col min="7685" max="7685" width="5.140625" style="4" bestFit="1" customWidth="1"/>
    <col min="7686" max="7686" width="2.140625" style="4" customWidth="1"/>
    <col min="7687" max="7687" width="21.5703125" style="4" customWidth="1"/>
    <col min="7688" max="7691" width="8.7109375" style="4" customWidth="1"/>
    <col min="7692" max="7699" width="8.7109375" style="4" bestFit="1" customWidth="1"/>
    <col min="7700" max="7936" width="9.140625" style="4"/>
    <col min="7937" max="7937" width="5.7109375" style="4" bestFit="1" customWidth="1"/>
    <col min="7938" max="7938" width="5" style="4" bestFit="1" customWidth="1"/>
    <col min="7939" max="7939" width="21" style="4" bestFit="1" customWidth="1"/>
    <col min="7940" max="7940" width="7.28515625" style="4" customWidth="1"/>
    <col min="7941" max="7941" width="5.140625" style="4" bestFit="1" customWidth="1"/>
    <col min="7942" max="7942" width="2.140625" style="4" customWidth="1"/>
    <col min="7943" max="7943" width="21.5703125" style="4" customWidth="1"/>
    <col min="7944" max="7947" width="8.7109375" style="4" customWidth="1"/>
    <col min="7948" max="7955" width="8.7109375" style="4" bestFit="1" customWidth="1"/>
    <col min="7956" max="8192" width="9.140625" style="4"/>
    <col min="8193" max="8193" width="5.7109375" style="4" bestFit="1" customWidth="1"/>
    <col min="8194" max="8194" width="5" style="4" bestFit="1" customWidth="1"/>
    <col min="8195" max="8195" width="21" style="4" bestFit="1" customWidth="1"/>
    <col min="8196" max="8196" width="7.28515625" style="4" customWidth="1"/>
    <col min="8197" max="8197" width="5.140625" style="4" bestFit="1" customWidth="1"/>
    <col min="8198" max="8198" width="2.140625" style="4" customWidth="1"/>
    <col min="8199" max="8199" width="21.5703125" style="4" customWidth="1"/>
    <col min="8200" max="8203" width="8.7109375" style="4" customWidth="1"/>
    <col min="8204" max="8211" width="8.7109375" style="4" bestFit="1" customWidth="1"/>
    <col min="8212" max="8448" width="9.140625" style="4"/>
    <col min="8449" max="8449" width="5.7109375" style="4" bestFit="1" customWidth="1"/>
    <col min="8450" max="8450" width="5" style="4" bestFit="1" customWidth="1"/>
    <col min="8451" max="8451" width="21" style="4" bestFit="1" customWidth="1"/>
    <col min="8452" max="8452" width="7.28515625" style="4" customWidth="1"/>
    <col min="8453" max="8453" width="5.140625" style="4" bestFit="1" customWidth="1"/>
    <col min="8454" max="8454" width="2.140625" style="4" customWidth="1"/>
    <col min="8455" max="8455" width="21.5703125" style="4" customWidth="1"/>
    <col min="8456" max="8459" width="8.7109375" style="4" customWidth="1"/>
    <col min="8460" max="8467" width="8.7109375" style="4" bestFit="1" customWidth="1"/>
    <col min="8468" max="8704" width="9.140625" style="4"/>
    <col min="8705" max="8705" width="5.7109375" style="4" bestFit="1" customWidth="1"/>
    <col min="8706" max="8706" width="5" style="4" bestFit="1" customWidth="1"/>
    <col min="8707" max="8707" width="21" style="4" bestFit="1" customWidth="1"/>
    <col min="8708" max="8708" width="7.28515625" style="4" customWidth="1"/>
    <col min="8709" max="8709" width="5.140625" style="4" bestFit="1" customWidth="1"/>
    <col min="8710" max="8710" width="2.140625" style="4" customWidth="1"/>
    <col min="8711" max="8711" width="21.5703125" style="4" customWidth="1"/>
    <col min="8712" max="8715" width="8.7109375" style="4" customWidth="1"/>
    <col min="8716" max="8723" width="8.7109375" style="4" bestFit="1" customWidth="1"/>
    <col min="8724" max="8960" width="9.140625" style="4"/>
    <col min="8961" max="8961" width="5.7109375" style="4" bestFit="1" customWidth="1"/>
    <col min="8962" max="8962" width="5" style="4" bestFit="1" customWidth="1"/>
    <col min="8963" max="8963" width="21" style="4" bestFit="1" customWidth="1"/>
    <col min="8964" max="8964" width="7.28515625" style="4" customWidth="1"/>
    <col min="8965" max="8965" width="5.140625" style="4" bestFit="1" customWidth="1"/>
    <col min="8966" max="8966" width="2.140625" style="4" customWidth="1"/>
    <col min="8967" max="8967" width="21.5703125" style="4" customWidth="1"/>
    <col min="8968" max="8971" width="8.7109375" style="4" customWidth="1"/>
    <col min="8972" max="8979" width="8.7109375" style="4" bestFit="1" customWidth="1"/>
    <col min="8980" max="9216" width="9.140625" style="4"/>
    <col min="9217" max="9217" width="5.7109375" style="4" bestFit="1" customWidth="1"/>
    <col min="9218" max="9218" width="5" style="4" bestFit="1" customWidth="1"/>
    <col min="9219" max="9219" width="21" style="4" bestFit="1" customWidth="1"/>
    <col min="9220" max="9220" width="7.28515625" style="4" customWidth="1"/>
    <col min="9221" max="9221" width="5.140625" style="4" bestFit="1" customWidth="1"/>
    <col min="9222" max="9222" width="2.140625" style="4" customWidth="1"/>
    <col min="9223" max="9223" width="21.5703125" style="4" customWidth="1"/>
    <col min="9224" max="9227" width="8.7109375" style="4" customWidth="1"/>
    <col min="9228" max="9235" width="8.7109375" style="4" bestFit="1" customWidth="1"/>
    <col min="9236" max="9472" width="9.140625" style="4"/>
    <col min="9473" max="9473" width="5.7109375" style="4" bestFit="1" customWidth="1"/>
    <col min="9474" max="9474" width="5" style="4" bestFit="1" customWidth="1"/>
    <col min="9475" max="9475" width="21" style="4" bestFit="1" customWidth="1"/>
    <col min="9476" max="9476" width="7.28515625" style="4" customWidth="1"/>
    <col min="9477" max="9477" width="5.140625" style="4" bestFit="1" customWidth="1"/>
    <col min="9478" max="9478" width="2.140625" style="4" customWidth="1"/>
    <col min="9479" max="9479" width="21.5703125" style="4" customWidth="1"/>
    <col min="9480" max="9483" width="8.7109375" style="4" customWidth="1"/>
    <col min="9484" max="9491" width="8.7109375" style="4" bestFit="1" customWidth="1"/>
    <col min="9492" max="9728" width="9.140625" style="4"/>
    <col min="9729" max="9729" width="5.7109375" style="4" bestFit="1" customWidth="1"/>
    <col min="9730" max="9730" width="5" style="4" bestFit="1" customWidth="1"/>
    <col min="9731" max="9731" width="21" style="4" bestFit="1" customWidth="1"/>
    <col min="9732" max="9732" width="7.28515625" style="4" customWidth="1"/>
    <col min="9733" max="9733" width="5.140625" style="4" bestFit="1" customWidth="1"/>
    <col min="9734" max="9734" width="2.140625" style="4" customWidth="1"/>
    <col min="9735" max="9735" width="21.5703125" style="4" customWidth="1"/>
    <col min="9736" max="9739" width="8.7109375" style="4" customWidth="1"/>
    <col min="9740" max="9747" width="8.7109375" style="4" bestFit="1" customWidth="1"/>
    <col min="9748" max="9984" width="9.140625" style="4"/>
    <col min="9985" max="9985" width="5.7109375" style="4" bestFit="1" customWidth="1"/>
    <col min="9986" max="9986" width="5" style="4" bestFit="1" customWidth="1"/>
    <col min="9987" max="9987" width="21" style="4" bestFit="1" customWidth="1"/>
    <col min="9988" max="9988" width="7.28515625" style="4" customWidth="1"/>
    <col min="9989" max="9989" width="5.140625" style="4" bestFit="1" customWidth="1"/>
    <col min="9990" max="9990" width="2.140625" style="4" customWidth="1"/>
    <col min="9991" max="9991" width="21.5703125" style="4" customWidth="1"/>
    <col min="9992" max="9995" width="8.7109375" style="4" customWidth="1"/>
    <col min="9996" max="10003" width="8.7109375" style="4" bestFit="1" customWidth="1"/>
    <col min="10004" max="10240" width="9.140625" style="4"/>
    <col min="10241" max="10241" width="5.7109375" style="4" bestFit="1" customWidth="1"/>
    <col min="10242" max="10242" width="5" style="4" bestFit="1" customWidth="1"/>
    <col min="10243" max="10243" width="21" style="4" bestFit="1" customWidth="1"/>
    <col min="10244" max="10244" width="7.28515625" style="4" customWidth="1"/>
    <col min="10245" max="10245" width="5.140625" style="4" bestFit="1" customWidth="1"/>
    <col min="10246" max="10246" width="2.140625" style="4" customWidth="1"/>
    <col min="10247" max="10247" width="21.5703125" style="4" customWidth="1"/>
    <col min="10248" max="10251" width="8.7109375" style="4" customWidth="1"/>
    <col min="10252" max="10259" width="8.7109375" style="4" bestFit="1" customWidth="1"/>
    <col min="10260" max="10496" width="9.140625" style="4"/>
    <col min="10497" max="10497" width="5.7109375" style="4" bestFit="1" customWidth="1"/>
    <col min="10498" max="10498" width="5" style="4" bestFit="1" customWidth="1"/>
    <col min="10499" max="10499" width="21" style="4" bestFit="1" customWidth="1"/>
    <col min="10500" max="10500" width="7.28515625" style="4" customWidth="1"/>
    <col min="10501" max="10501" width="5.140625" style="4" bestFit="1" customWidth="1"/>
    <col min="10502" max="10502" width="2.140625" style="4" customWidth="1"/>
    <col min="10503" max="10503" width="21.5703125" style="4" customWidth="1"/>
    <col min="10504" max="10507" width="8.7109375" style="4" customWidth="1"/>
    <col min="10508" max="10515" width="8.7109375" style="4" bestFit="1" customWidth="1"/>
    <col min="10516" max="10752" width="9.140625" style="4"/>
    <col min="10753" max="10753" width="5.7109375" style="4" bestFit="1" customWidth="1"/>
    <col min="10754" max="10754" width="5" style="4" bestFit="1" customWidth="1"/>
    <col min="10755" max="10755" width="21" style="4" bestFit="1" customWidth="1"/>
    <col min="10756" max="10756" width="7.28515625" style="4" customWidth="1"/>
    <col min="10757" max="10757" width="5.140625" style="4" bestFit="1" customWidth="1"/>
    <col min="10758" max="10758" width="2.140625" style="4" customWidth="1"/>
    <col min="10759" max="10759" width="21.5703125" style="4" customWidth="1"/>
    <col min="10760" max="10763" width="8.7109375" style="4" customWidth="1"/>
    <col min="10764" max="10771" width="8.7109375" style="4" bestFit="1" customWidth="1"/>
    <col min="10772" max="11008" width="9.140625" style="4"/>
    <col min="11009" max="11009" width="5.7109375" style="4" bestFit="1" customWidth="1"/>
    <col min="11010" max="11010" width="5" style="4" bestFit="1" customWidth="1"/>
    <col min="11011" max="11011" width="21" style="4" bestFit="1" customWidth="1"/>
    <col min="11012" max="11012" width="7.28515625" style="4" customWidth="1"/>
    <col min="11013" max="11013" width="5.140625" style="4" bestFit="1" customWidth="1"/>
    <col min="11014" max="11014" width="2.140625" style="4" customWidth="1"/>
    <col min="11015" max="11015" width="21.5703125" style="4" customWidth="1"/>
    <col min="11016" max="11019" width="8.7109375" style="4" customWidth="1"/>
    <col min="11020" max="11027" width="8.7109375" style="4" bestFit="1" customWidth="1"/>
    <col min="11028" max="11264" width="9.140625" style="4"/>
    <col min="11265" max="11265" width="5.7109375" style="4" bestFit="1" customWidth="1"/>
    <col min="11266" max="11266" width="5" style="4" bestFit="1" customWidth="1"/>
    <col min="11267" max="11267" width="21" style="4" bestFit="1" customWidth="1"/>
    <col min="11268" max="11268" width="7.28515625" style="4" customWidth="1"/>
    <col min="11269" max="11269" width="5.140625" style="4" bestFit="1" customWidth="1"/>
    <col min="11270" max="11270" width="2.140625" style="4" customWidth="1"/>
    <col min="11271" max="11271" width="21.5703125" style="4" customWidth="1"/>
    <col min="11272" max="11275" width="8.7109375" style="4" customWidth="1"/>
    <col min="11276" max="11283" width="8.7109375" style="4" bestFit="1" customWidth="1"/>
    <col min="11284" max="11520" width="9.140625" style="4"/>
    <col min="11521" max="11521" width="5.7109375" style="4" bestFit="1" customWidth="1"/>
    <col min="11522" max="11522" width="5" style="4" bestFit="1" customWidth="1"/>
    <col min="11523" max="11523" width="21" style="4" bestFit="1" customWidth="1"/>
    <col min="11524" max="11524" width="7.28515625" style="4" customWidth="1"/>
    <col min="11525" max="11525" width="5.140625" style="4" bestFit="1" customWidth="1"/>
    <col min="11526" max="11526" width="2.140625" style="4" customWidth="1"/>
    <col min="11527" max="11527" width="21.5703125" style="4" customWidth="1"/>
    <col min="11528" max="11531" width="8.7109375" style="4" customWidth="1"/>
    <col min="11532" max="11539" width="8.7109375" style="4" bestFit="1" customWidth="1"/>
    <col min="11540" max="11776" width="9.140625" style="4"/>
    <col min="11777" max="11777" width="5.7109375" style="4" bestFit="1" customWidth="1"/>
    <col min="11778" max="11778" width="5" style="4" bestFit="1" customWidth="1"/>
    <col min="11779" max="11779" width="21" style="4" bestFit="1" customWidth="1"/>
    <col min="11780" max="11780" width="7.28515625" style="4" customWidth="1"/>
    <col min="11781" max="11781" width="5.140625" style="4" bestFit="1" customWidth="1"/>
    <col min="11782" max="11782" width="2.140625" style="4" customWidth="1"/>
    <col min="11783" max="11783" width="21.5703125" style="4" customWidth="1"/>
    <col min="11784" max="11787" width="8.7109375" style="4" customWidth="1"/>
    <col min="11788" max="11795" width="8.7109375" style="4" bestFit="1" customWidth="1"/>
    <col min="11796" max="12032" width="9.140625" style="4"/>
    <col min="12033" max="12033" width="5.7109375" style="4" bestFit="1" customWidth="1"/>
    <col min="12034" max="12034" width="5" style="4" bestFit="1" customWidth="1"/>
    <col min="12035" max="12035" width="21" style="4" bestFit="1" customWidth="1"/>
    <col min="12036" max="12036" width="7.28515625" style="4" customWidth="1"/>
    <col min="12037" max="12037" width="5.140625" style="4" bestFit="1" customWidth="1"/>
    <col min="12038" max="12038" width="2.140625" style="4" customWidth="1"/>
    <col min="12039" max="12039" width="21.5703125" style="4" customWidth="1"/>
    <col min="12040" max="12043" width="8.7109375" style="4" customWidth="1"/>
    <col min="12044" max="12051" width="8.7109375" style="4" bestFit="1" customWidth="1"/>
    <col min="12052" max="12288" width="9.140625" style="4"/>
    <col min="12289" max="12289" width="5.7109375" style="4" bestFit="1" customWidth="1"/>
    <col min="12290" max="12290" width="5" style="4" bestFit="1" customWidth="1"/>
    <col min="12291" max="12291" width="21" style="4" bestFit="1" customWidth="1"/>
    <col min="12292" max="12292" width="7.28515625" style="4" customWidth="1"/>
    <col min="12293" max="12293" width="5.140625" style="4" bestFit="1" customWidth="1"/>
    <col min="12294" max="12294" width="2.140625" style="4" customWidth="1"/>
    <col min="12295" max="12295" width="21.5703125" style="4" customWidth="1"/>
    <col min="12296" max="12299" width="8.7109375" style="4" customWidth="1"/>
    <col min="12300" max="12307" width="8.7109375" style="4" bestFit="1" customWidth="1"/>
    <col min="12308" max="12544" width="9.140625" style="4"/>
    <col min="12545" max="12545" width="5.7109375" style="4" bestFit="1" customWidth="1"/>
    <col min="12546" max="12546" width="5" style="4" bestFit="1" customWidth="1"/>
    <col min="12547" max="12547" width="21" style="4" bestFit="1" customWidth="1"/>
    <col min="12548" max="12548" width="7.28515625" style="4" customWidth="1"/>
    <col min="12549" max="12549" width="5.140625" style="4" bestFit="1" customWidth="1"/>
    <col min="12550" max="12550" width="2.140625" style="4" customWidth="1"/>
    <col min="12551" max="12551" width="21.5703125" style="4" customWidth="1"/>
    <col min="12552" max="12555" width="8.7109375" style="4" customWidth="1"/>
    <col min="12556" max="12563" width="8.7109375" style="4" bestFit="1" customWidth="1"/>
    <col min="12564" max="12800" width="9.140625" style="4"/>
    <col min="12801" max="12801" width="5.7109375" style="4" bestFit="1" customWidth="1"/>
    <col min="12802" max="12802" width="5" style="4" bestFit="1" customWidth="1"/>
    <col min="12803" max="12803" width="21" style="4" bestFit="1" customWidth="1"/>
    <col min="12804" max="12804" width="7.28515625" style="4" customWidth="1"/>
    <col min="12805" max="12805" width="5.140625" style="4" bestFit="1" customWidth="1"/>
    <col min="12806" max="12806" width="2.140625" style="4" customWidth="1"/>
    <col min="12807" max="12807" width="21.5703125" style="4" customWidth="1"/>
    <col min="12808" max="12811" width="8.7109375" style="4" customWidth="1"/>
    <col min="12812" max="12819" width="8.7109375" style="4" bestFit="1" customWidth="1"/>
    <col min="12820" max="13056" width="9.140625" style="4"/>
    <col min="13057" max="13057" width="5.7109375" style="4" bestFit="1" customWidth="1"/>
    <col min="13058" max="13058" width="5" style="4" bestFit="1" customWidth="1"/>
    <col min="13059" max="13059" width="21" style="4" bestFit="1" customWidth="1"/>
    <col min="13060" max="13060" width="7.28515625" style="4" customWidth="1"/>
    <col min="13061" max="13061" width="5.140625" style="4" bestFit="1" customWidth="1"/>
    <col min="13062" max="13062" width="2.140625" style="4" customWidth="1"/>
    <col min="13063" max="13063" width="21.5703125" style="4" customWidth="1"/>
    <col min="13064" max="13067" width="8.7109375" style="4" customWidth="1"/>
    <col min="13068" max="13075" width="8.7109375" style="4" bestFit="1" customWidth="1"/>
    <col min="13076" max="13312" width="9.140625" style="4"/>
    <col min="13313" max="13313" width="5.7109375" style="4" bestFit="1" customWidth="1"/>
    <col min="13314" max="13314" width="5" style="4" bestFit="1" customWidth="1"/>
    <col min="13315" max="13315" width="21" style="4" bestFit="1" customWidth="1"/>
    <col min="13316" max="13316" width="7.28515625" style="4" customWidth="1"/>
    <col min="13317" max="13317" width="5.140625" style="4" bestFit="1" customWidth="1"/>
    <col min="13318" max="13318" width="2.140625" style="4" customWidth="1"/>
    <col min="13319" max="13319" width="21.5703125" style="4" customWidth="1"/>
    <col min="13320" max="13323" width="8.7109375" style="4" customWidth="1"/>
    <col min="13324" max="13331" width="8.7109375" style="4" bestFit="1" customWidth="1"/>
    <col min="13332" max="13568" width="9.140625" style="4"/>
    <col min="13569" max="13569" width="5.7109375" style="4" bestFit="1" customWidth="1"/>
    <col min="13570" max="13570" width="5" style="4" bestFit="1" customWidth="1"/>
    <col min="13571" max="13571" width="21" style="4" bestFit="1" customWidth="1"/>
    <col min="13572" max="13572" width="7.28515625" style="4" customWidth="1"/>
    <col min="13573" max="13573" width="5.140625" style="4" bestFit="1" customWidth="1"/>
    <col min="13574" max="13574" width="2.140625" style="4" customWidth="1"/>
    <col min="13575" max="13575" width="21.5703125" style="4" customWidth="1"/>
    <col min="13576" max="13579" width="8.7109375" style="4" customWidth="1"/>
    <col min="13580" max="13587" width="8.7109375" style="4" bestFit="1" customWidth="1"/>
    <col min="13588" max="13824" width="9.140625" style="4"/>
    <col min="13825" max="13825" width="5.7109375" style="4" bestFit="1" customWidth="1"/>
    <col min="13826" max="13826" width="5" style="4" bestFit="1" customWidth="1"/>
    <col min="13827" max="13827" width="21" style="4" bestFit="1" customWidth="1"/>
    <col min="13828" max="13828" width="7.28515625" style="4" customWidth="1"/>
    <col min="13829" max="13829" width="5.140625" style="4" bestFit="1" customWidth="1"/>
    <col min="13830" max="13830" width="2.140625" style="4" customWidth="1"/>
    <col min="13831" max="13831" width="21.5703125" style="4" customWidth="1"/>
    <col min="13832" max="13835" width="8.7109375" style="4" customWidth="1"/>
    <col min="13836" max="13843" width="8.7109375" style="4" bestFit="1" customWidth="1"/>
    <col min="13844" max="14080" width="9.140625" style="4"/>
    <col min="14081" max="14081" width="5.7109375" style="4" bestFit="1" customWidth="1"/>
    <col min="14082" max="14082" width="5" style="4" bestFit="1" customWidth="1"/>
    <col min="14083" max="14083" width="21" style="4" bestFit="1" customWidth="1"/>
    <col min="14084" max="14084" width="7.28515625" style="4" customWidth="1"/>
    <col min="14085" max="14085" width="5.140625" style="4" bestFit="1" customWidth="1"/>
    <col min="14086" max="14086" width="2.140625" style="4" customWidth="1"/>
    <col min="14087" max="14087" width="21.5703125" style="4" customWidth="1"/>
    <col min="14088" max="14091" width="8.7109375" style="4" customWidth="1"/>
    <col min="14092" max="14099" width="8.7109375" style="4" bestFit="1" customWidth="1"/>
    <col min="14100" max="14336" width="9.140625" style="4"/>
    <col min="14337" max="14337" width="5.7109375" style="4" bestFit="1" customWidth="1"/>
    <col min="14338" max="14338" width="5" style="4" bestFit="1" customWidth="1"/>
    <col min="14339" max="14339" width="21" style="4" bestFit="1" customWidth="1"/>
    <col min="14340" max="14340" width="7.28515625" style="4" customWidth="1"/>
    <col min="14341" max="14341" width="5.140625" style="4" bestFit="1" customWidth="1"/>
    <col min="14342" max="14342" width="2.140625" style="4" customWidth="1"/>
    <col min="14343" max="14343" width="21.5703125" style="4" customWidth="1"/>
    <col min="14344" max="14347" width="8.7109375" style="4" customWidth="1"/>
    <col min="14348" max="14355" width="8.7109375" style="4" bestFit="1" customWidth="1"/>
    <col min="14356" max="14592" width="9.140625" style="4"/>
    <col min="14593" max="14593" width="5.7109375" style="4" bestFit="1" customWidth="1"/>
    <col min="14594" max="14594" width="5" style="4" bestFit="1" customWidth="1"/>
    <col min="14595" max="14595" width="21" style="4" bestFit="1" customWidth="1"/>
    <col min="14596" max="14596" width="7.28515625" style="4" customWidth="1"/>
    <col min="14597" max="14597" width="5.140625" style="4" bestFit="1" customWidth="1"/>
    <col min="14598" max="14598" width="2.140625" style="4" customWidth="1"/>
    <col min="14599" max="14599" width="21.5703125" style="4" customWidth="1"/>
    <col min="14600" max="14603" width="8.7109375" style="4" customWidth="1"/>
    <col min="14604" max="14611" width="8.7109375" style="4" bestFit="1" customWidth="1"/>
    <col min="14612" max="14848" width="9.140625" style="4"/>
    <col min="14849" max="14849" width="5.7109375" style="4" bestFit="1" customWidth="1"/>
    <col min="14850" max="14850" width="5" style="4" bestFit="1" customWidth="1"/>
    <col min="14851" max="14851" width="21" style="4" bestFit="1" customWidth="1"/>
    <col min="14852" max="14852" width="7.28515625" style="4" customWidth="1"/>
    <col min="14853" max="14853" width="5.140625" style="4" bestFit="1" customWidth="1"/>
    <col min="14854" max="14854" width="2.140625" style="4" customWidth="1"/>
    <col min="14855" max="14855" width="21.5703125" style="4" customWidth="1"/>
    <col min="14856" max="14859" width="8.7109375" style="4" customWidth="1"/>
    <col min="14860" max="14867" width="8.7109375" style="4" bestFit="1" customWidth="1"/>
    <col min="14868" max="15104" width="9.140625" style="4"/>
    <col min="15105" max="15105" width="5.7109375" style="4" bestFit="1" customWidth="1"/>
    <col min="15106" max="15106" width="5" style="4" bestFit="1" customWidth="1"/>
    <col min="15107" max="15107" width="21" style="4" bestFit="1" customWidth="1"/>
    <col min="15108" max="15108" width="7.28515625" style="4" customWidth="1"/>
    <col min="15109" max="15109" width="5.140625" style="4" bestFit="1" customWidth="1"/>
    <col min="15110" max="15110" width="2.140625" style="4" customWidth="1"/>
    <col min="15111" max="15111" width="21.5703125" style="4" customWidth="1"/>
    <col min="15112" max="15115" width="8.7109375" style="4" customWidth="1"/>
    <col min="15116" max="15123" width="8.7109375" style="4" bestFit="1" customWidth="1"/>
    <col min="15124" max="15360" width="9.140625" style="4"/>
    <col min="15361" max="15361" width="5.7109375" style="4" bestFit="1" customWidth="1"/>
    <col min="15362" max="15362" width="5" style="4" bestFit="1" customWidth="1"/>
    <col min="15363" max="15363" width="21" style="4" bestFit="1" customWidth="1"/>
    <col min="15364" max="15364" width="7.28515625" style="4" customWidth="1"/>
    <col min="15365" max="15365" width="5.140625" style="4" bestFit="1" customWidth="1"/>
    <col min="15366" max="15366" width="2.140625" style="4" customWidth="1"/>
    <col min="15367" max="15367" width="21.5703125" style="4" customWidth="1"/>
    <col min="15368" max="15371" width="8.7109375" style="4" customWidth="1"/>
    <col min="15372" max="15379" width="8.7109375" style="4" bestFit="1" customWidth="1"/>
    <col min="15380" max="15616" width="9.140625" style="4"/>
    <col min="15617" max="15617" width="5.7109375" style="4" bestFit="1" customWidth="1"/>
    <col min="15618" max="15618" width="5" style="4" bestFit="1" customWidth="1"/>
    <col min="15619" max="15619" width="21" style="4" bestFit="1" customWidth="1"/>
    <col min="15620" max="15620" width="7.28515625" style="4" customWidth="1"/>
    <col min="15621" max="15621" width="5.140625" style="4" bestFit="1" customWidth="1"/>
    <col min="15622" max="15622" width="2.140625" style="4" customWidth="1"/>
    <col min="15623" max="15623" width="21.5703125" style="4" customWidth="1"/>
    <col min="15624" max="15627" width="8.7109375" style="4" customWidth="1"/>
    <col min="15628" max="15635" width="8.7109375" style="4" bestFit="1" customWidth="1"/>
    <col min="15636" max="15872" width="9.140625" style="4"/>
    <col min="15873" max="15873" width="5.7109375" style="4" bestFit="1" customWidth="1"/>
    <col min="15874" max="15874" width="5" style="4" bestFit="1" customWidth="1"/>
    <col min="15875" max="15875" width="21" style="4" bestFit="1" customWidth="1"/>
    <col min="15876" max="15876" width="7.28515625" style="4" customWidth="1"/>
    <col min="15877" max="15877" width="5.140625" style="4" bestFit="1" customWidth="1"/>
    <col min="15878" max="15878" width="2.140625" style="4" customWidth="1"/>
    <col min="15879" max="15879" width="21.5703125" style="4" customWidth="1"/>
    <col min="15880" max="15883" width="8.7109375" style="4" customWidth="1"/>
    <col min="15884" max="15891" width="8.7109375" style="4" bestFit="1" customWidth="1"/>
    <col min="15892" max="16128" width="9.140625" style="4"/>
    <col min="16129" max="16129" width="5.7109375" style="4" bestFit="1" customWidth="1"/>
    <col min="16130" max="16130" width="5" style="4" bestFit="1" customWidth="1"/>
    <col min="16131" max="16131" width="21" style="4" bestFit="1" customWidth="1"/>
    <col min="16132" max="16132" width="7.28515625" style="4" customWidth="1"/>
    <col min="16133" max="16133" width="5.140625" style="4" bestFit="1" customWidth="1"/>
    <col min="16134" max="16134" width="2.140625" style="4" customWidth="1"/>
    <col min="16135" max="16135" width="21.5703125" style="4" customWidth="1"/>
    <col min="16136" max="16139" width="8.7109375" style="4" customWidth="1"/>
    <col min="16140" max="16147" width="8.7109375" style="4" bestFit="1" customWidth="1"/>
    <col min="16148" max="16384" width="9.140625" style="4"/>
  </cols>
  <sheetData>
    <row r="1" spans="1:19" x14ac:dyDescent="0.2">
      <c r="A1" s="1"/>
      <c r="C1" s="3"/>
      <c r="D1" s="3"/>
      <c r="E1" s="1"/>
      <c r="F1" s="1"/>
      <c r="G1" s="4"/>
    </row>
    <row r="2" spans="1:19" ht="15" x14ac:dyDescent="0.25">
      <c r="A2" s="3" t="s">
        <v>0</v>
      </c>
      <c r="B2" s="5" t="s">
        <v>1</v>
      </c>
      <c r="C2" s="3" t="s">
        <v>2</v>
      </c>
      <c r="D2" s="3"/>
      <c r="E2" s="1" t="s">
        <v>3</v>
      </c>
      <c r="F2" s="1"/>
      <c r="G2" s="596" t="s">
        <v>563</v>
      </c>
      <c r="H2" s="597" t="s">
        <v>564</v>
      </c>
      <c r="I2" s="428"/>
      <c r="J2" s="428"/>
      <c r="K2" s="598"/>
      <c r="L2" s="601" t="s">
        <v>565</v>
      </c>
      <c r="M2" s="599"/>
      <c r="N2" s="766"/>
      <c r="O2" s="767"/>
      <c r="P2" s="767"/>
      <c r="Q2" s="767"/>
      <c r="R2" s="767"/>
      <c r="S2" s="767"/>
    </row>
    <row r="3" spans="1:19" x14ac:dyDescent="0.2">
      <c r="A3" s="1"/>
      <c r="B3" s="6"/>
      <c r="C3" s="3"/>
      <c r="D3" s="3"/>
      <c r="E3" s="1"/>
      <c r="F3" s="1"/>
      <c r="G3" s="94" t="s">
        <v>4</v>
      </c>
      <c r="H3" s="600">
        <v>40908</v>
      </c>
      <c r="I3" s="600">
        <v>41274</v>
      </c>
      <c r="J3" s="600">
        <v>41639</v>
      </c>
      <c r="K3" s="600">
        <v>42004</v>
      </c>
      <c r="L3" s="600">
        <v>42369</v>
      </c>
      <c r="M3" s="600">
        <v>42735</v>
      </c>
      <c r="N3" s="431">
        <v>43100</v>
      </c>
      <c r="O3" s="431">
        <v>43465</v>
      </c>
      <c r="P3" s="431">
        <v>43830</v>
      </c>
      <c r="Q3" s="431">
        <v>44196</v>
      </c>
      <c r="R3" s="431">
        <v>44561</v>
      </c>
      <c r="S3" s="431">
        <v>44926</v>
      </c>
    </row>
    <row r="4" spans="1:19" x14ac:dyDescent="0.2">
      <c r="A4" s="7"/>
      <c r="B4" s="2" t="s">
        <v>5</v>
      </c>
      <c r="C4" s="3">
        <v>1</v>
      </c>
      <c r="D4" s="3"/>
      <c r="E4" s="5"/>
      <c r="F4" s="7"/>
      <c r="G4" s="103" t="s">
        <v>6</v>
      </c>
      <c r="H4" s="77">
        <f t="shared" ref="H4:R4" si="0">H5+H10</f>
        <v>0</v>
      </c>
      <c r="I4" s="77">
        <f t="shared" si="0"/>
        <v>0</v>
      </c>
      <c r="J4" s="77">
        <f t="shared" si="0"/>
        <v>0</v>
      </c>
      <c r="K4" s="77">
        <f t="shared" si="0"/>
        <v>0</v>
      </c>
      <c r="L4" s="77">
        <f t="shared" si="0"/>
        <v>0</v>
      </c>
      <c r="M4" s="77">
        <f t="shared" si="0"/>
        <v>105.372</v>
      </c>
      <c r="N4" s="77">
        <f t="shared" si="0"/>
        <v>110.61800000000001</v>
      </c>
      <c r="O4" s="77">
        <f t="shared" si="0"/>
        <v>103</v>
      </c>
      <c r="P4" s="77">
        <f t="shared" si="0"/>
        <v>93</v>
      </c>
      <c r="Q4" s="77">
        <f t="shared" si="0"/>
        <v>102</v>
      </c>
      <c r="R4" s="77">
        <f t="shared" si="0"/>
        <v>112</v>
      </c>
      <c r="S4" s="77">
        <f>S5+S10</f>
        <v>118</v>
      </c>
    </row>
    <row r="5" spans="1:19" x14ac:dyDescent="0.2">
      <c r="B5" s="2" t="s">
        <v>7</v>
      </c>
      <c r="C5" s="3">
        <v>10</v>
      </c>
      <c r="D5" s="3"/>
      <c r="G5" s="110" t="s">
        <v>8</v>
      </c>
      <c r="H5" s="77">
        <f t="shared" ref="H5:Q5" si="1">SUM(H6:H9)</f>
        <v>0</v>
      </c>
      <c r="I5" s="77">
        <f t="shared" si="1"/>
        <v>0</v>
      </c>
      <c r="J5" s="77">
        <f t="shared" si="1"/>
        <v>0</v>
      </c>
      <c r="K5" s="77">
        <f t="shared" si="1"/>
        <v>0</v>
      </c>
      <c r="L5" s="77">
        <f t="shared" si="1"/>
        <v>0</v>
      </c>
      <c r="M5" s="77">
        <f t="shared" si="1"/>
        <v>50.323</v>
      </c>
      <c r="N5" s="77">
        <f t="shared" si="1"/>
        <v>65.671000000000006</v>
      </c>
      <c r="O5" s="77">
        <f t="shared" si="1"/>
        <v>68</v>
      </c>
      <c r="P5" s="77">
        <f t="shared" si="1"/>
        <v>68</v>
      </c>
      <c r="Q5" s="77">
        <f t="shared" si="1"/>
        <v>87</v>
      </c>
      <c r="R5" s="77">
        <f>SUM(R6:R9)</f>
        <v>102</v>
      </c>
      <c r="S5" s="77">
        <f>SUM(S6:S9)</f>
        <v>108</v>
      </c>
    </row>
    <row r="6" spans="1:19" ht="12" x14ac:dyDescent="0.2">
      <c r="B6" s="2" t="s">
        <v>9</v>
      </c>
      <c r="C6" s="10" t="s">
        <v>10</v>
      </c>
      <c r="E6" s="11" t="s">
        <v>11</v>
      </c>
      <c r="G6" s="110" t="s">
        <v>12</v>
      </c>
      <c r="H6" s="76">
        <v>0</v>
      </c>
      <c r="I6" s="76">
        <v>0</v>
      </c>
      <c r="J6" s="76">
        <v>0</v>
      </c>
      <c r="K6" s="76">
        <v>0</v>
      </c>
      <c r="L6" s="76">
        <v>0</v>
      </c>
      <c r="M6" s="76">
        <v>34.158999999999999</v>
      </c>
      <c r="N6" s="76">
        <v>42.618000000000002</v>
      </c>
      <c r="O6" s="76">
        <v>46</v>
      </c>
      <c r="P6" s="76">
        <v>45</v>
      </c>
      <c r="Q6" s="76">
        <v>55</v>
      </c>
      <c r="R6" s="76">
        <v>60</v>
      </c>
      <c r="S6" s="76">
        <v>65</v>
      </c>
    </row>
    <row r="7" spans="1:19" ht="12" x14ac:dyDescent="0.2">
      <c r="B7" s="2" t="s">
        <v>13</v>
      </c>
      <c r="C7" s="10" t="s">
        <v>14</v>
      </c>
      <c r="E7" s="11" t="s">
        <v>11</v>
      </c>
      <c r="G7" s="110" t="s">
        <v>15</v>
      </c>
      <c r="H7" s="76">
        <v>0</v>
      </c>
      <c r="I7" s="76">
        <v>0</v>
      </c>
      <c r="J7" s="76">
        <v>0</v>
      </c>
      <c r="K7" s="76">
        <v>0</v>
      </c>
      <c r="L7" s="76">
        <v>0</v>
      </c>
      <c r="M7" s="76">
        <v>16.164000000000001</v>
      </c>
      <c r="N7" s="76">
        <v>23.053000000000001</v>
      </c>
      <c r="O7" s="76">
        <v>22</v>
      </c>
      <c r="P7" s="76">
        <v>23</v>
      </c>
      <c r="Q7" s="76">
        <v>32</v>
      </c>
      <c r="R7" s="76">
        <v>42</v>
      </c>
      <c r="S7" s="76">
        <v>43</v>
      </c>
    </row>
    <row r="8" spans="1:19" ht="12" x14ac:dyDescent="0.2">
      <c r="B8" s="2" t="s">
        <v>16</v>
      </c>
      <c r="C8" s="10" t="s">
        <v>17</v>
      </c>
      <c r="E8" s="11" t="s">
        <v>11</v>
      </c>
      <c r="G8" s="110" t="s">
        <v>18</v>
      </c>
      <c r="H8" s="76">
        <v>0</v>
      </c>
      <c r="I8" s="76">
        <v>0</v>
      </c>
      <c r="J8" s="76">
        <v>0</v>
      </c>
      <c r="K8" s="76">
        <v>0</v>
      </c>
      <c r="L8" s="76">
        <v>0</v>
      </c>
      <c r="M8" s="76">
        <v>0</v>
      </c>
      <c r="N8" s="76">
        <v>0</v>
      </c>
      <c r="O8" s="76">
        <v>0</v>
      </c>
      <c r="P8" s="76">
        <v>0</v>
      </c>
      <c r="Q8" s="76">
        <v>0</v>
      </c>
      <c r="R8" s="76">
        <v>0</v>
      </c>
      <c r="S8" s="76">
        <v>0</v>
      </c>
    </row>
    <row r="9" spans="1:19" x14ac:dyDescent="0.2">
      <c r="B9" s="2" t="s">
        <v>19</v>
      </c>
      <c r="C9" s="10">
        <v>108</v>
      </c>
      <c r="E9" s="12"/>
      <c r="G9" s="110" t="s">
        <v>20</v>
      </c>
      <c r="H9" s="76">
        <v>0</v>
      </c>
      <c r="I9" s="76">
        <v>0</v>
      </c>
      <c r="J9" s="76">
        <v>0</v>
      </c>
      <c r="K9" s="76">
        <v>0</v>
      </c>
      <c r="L9" s="76">
        <v>0</v>
      </c>
      <c r="M9" s="76">
        <v>0</v>
      </c>
      <c r="N9" s="76">
        <v>0</v>
      </c>
      <c r="O9" s="76">
        <v>0</v>
      </c>
      <c r="P9" s="76">
        <v>0</v>
      </c>
      <c r="Q9" s="76">
        <v>0</v>
      </c>
      <c r="R9" s="76">
        <v>0</v>
      </c>
      <c r="S9" s="76">
        <v>0</v>
      </c>
    </row>
    <row r="10" spans="1:19" x14ac:dyDescent="0.2">
      <c r="A10" s="13"/>
      <c r="B10" s="2" t="s">
        <v>21</v>
      </c>
      <c r="C10" s="14">
        <v>15</v>
      </c>
      <c r="D10" s="14"/>
      <c r="E10" s="12"/>
      <c r="F10" s="13"/>
      <c r="G10" s="110" t="s">
        <v>22</v>
      </c>
      <c r="H10" s="77">
        <f>SUM(H11:H16)</f>
        <v>0</v>
      </c>
      <c r="I10" s="77">
        <f t="shared" ref="I10:R10" si="2">SUM(I11:I16)</f>
        <v>0</v>
      </c>
      <c r="J10" s="77">
        <f t="shared" si="2"/>
        <v>0</v>
      </c>
      <c r="K10" s="77">
        <f t="shared" si="2"/>
        <v>0</v>
      </c>
      <c r="L10" s="77">
        <f t="shared" si="2"/>
        <v>0</v>
      </c>
      <c r="M10" s="77">
        <f t="shared" si="2"/>
        <v>55.048999999999999</v>
      </c>
      <c r="N10" s="77">
        <f t="shared" si="2"/>
        <v>44.947000000000003</v>
      </c>
      <c r="O10" s="77">
        <f t="shared" si="2"/>
        <v>35</v>
      </c>
      <c r="P10" s="77">
        <f t="shared" si="2"/>
        <v>25</v>
      </c>
      <c r="Q10" s="77">
        <f t="shared" si="2"/>
        <v>15</v>
      </c>
      <c r="R10" s="77">
        <f t="shared" si="2"/>
        <v>10</v>
      </c>
      <c r="S10" s="77">
        <f>SUM(S11:S16)</f>
        <v>10</v>
      </c>
    </row>
    <row r="11" spans="1:19" ht="12" x14ac:dyDescent="0.2">
      <c r="A11" s="13"/>
      <c r="B11" s="2" t="s">
        <v>23</v>
      </c>
      <c r="C11" s="14">
        <v>150</v>
      </c>
      <c r="D11" s="14"/>
      <c r="E11" s="11" t="s">
        <v>11</v>
      </c>
      <c r="F11" s="13"/>
      <c r="G11" s="110" t="s">
        <v>24</v>
      </c>
      <c r="H11" s="76">
        <v>0</v>
      </c>
      <c r="I11" s="76">
        <v>0</v>
      </c>
      <c r="J11" s="76">
        <v>0</v>
      </c>
      <c r="K11" s="76">
        <v>0</v>
      </c>
      <c r="L11" s="76">
        <v>0</v>
      </c>
      <c r="M11" s="76">
        <v>0</v>
      </c>
      <c r="N11" s="76">
        <v>0</v>
      </c>
      <c r="O11" s="76">
        <v>0</v>
      </c>
      <c r="P11" s="76">
        <v>0</v>
      </c>
      <c r="Q11" s="76">
        <v>0</v>
      </c>
      <c r="R11" s="76">
        <v>0</v>
      </c>
      <c r="S11" s="76">
        <v>0</v>
      </c>
    </row>
    <row r="12" spans="1:19" ht="12" x14ac:dyDescent="0.2">
      <c r="A12" s="13"/>
      <c r="B12" s="2" t="s">
        <v>25</v>
      </c>
      <c r="C12" s="14">
        <v>151</v>
      </c>
      <c r="D12" s="14"/>
      <c r="E12" s="11" t="s">
        <v>11</v>
      </c>
      <c r="F12" s="13"/>
      <c r="G12" s="110" t="s">
        <v>26</v>
      </c>
      <c r="H12" s="76">
        <v>0</v>
      </c>
      <c r="I12" s="76">
        <v>0</v>
      </c>
      <c r="J12" s="76">
        <v>0</v>
      </c>
      <c r="K12" s="76">
        <v>0</v>
      </c>
      <c r="L12" s="76">
        <v>0</v>
      </c>
      <c r="M12" s="76">
        <v>0</v>
      </c>
      <c r="N12" s="76">
        <v>0</v>
      </c>
      <c r="O12" s="76">
        <v>0</v>
      </c>
      <c r="P12" s="76">
        <v>0</v>
      </c>
      <c r="Q12" s="76">
        <v>0</v>
      </c>
      <c r="R12" s="76">
        <v>0</v>
      </c>
      <c r="S12" s="76">
        <v>0</v>
      </c>
    </row>
    <row r="13" spans="1:19" ht="12" x14ac:dyDescent="0.2">
      <c r="B13" s="2" t="s">
        <v>27</v>
      </c>
      <c r="C13" s="10" t="s">
        <v>28</v>
      </c>
      <c r="E13" s="11" t="s">
        <v>11</v>
      </c>
      <c r="G13" s="110" t="s">
        <v>29</v>
      </c>
      <c r="H13" s="76">
        <v>0</v>
      </c>
      <c r="I13" s="76">
        <v>0</v>
      </c>
      <c r="J13" s="76">
        <v>0</v>
      </c>
      <c r="K13" s="76">
        <v>0</v>
      </c>
      <c r="L13" s="76">
        <v>0</v>
      </c>
      <c r="M13" s="76">
        <v>0</v>
      </c>
      <c r="N13" s="76">
        <v>0</v>
      </c>
      <c r="O13" s="76">
        <v>0</v>
      </c>
      <c r="P13" s="76">
        <v>0</v>
      </c>
      <c r="Q13" s="76">
        <v>0</v>
      </c>
      <c r="R13" s="76">
        <v>0</v>
      </c>
      <c r="S13" s="76">
        <v>0</v>
      </c>
    </row>
    <row r="14" spans="1:19" ht="12" x14ac:dyDescent="0.2">
      <c r="B14" s="2" t="s">
        <v>30</v>
      </c>
      <c r="C14" s="10">
        <v>154</v>
      </c>
      <c r="E14" s="11" t="s">
        <v>11</v>
      </c>
      <c r="G14" s="110" t="s">
        <v>31</v>
      </c>
      <c r="H14" s="76">
        <v>0</v>
      </c>
      <c r="I14" s="76">
        <v>0</v>
      </c>
      <c r="J14" s="76">
        <v>0</v>
      </c>
      <c r="K14" s="76">
        <v>0</v>
      </c>
      <c r="L14" s="76">
        <v>0</v>
      </c>
      <c r="M14" s="76">
        <v>0</v>
      </c>
      <c r="N14" s="76">
        <v>0</v>
      </c>
      <c r="O14" s="76">
        <v>0</v>
      </c>
      <c r="P14" s="76">
        <v>0</v>
      </c>
      <c r="Q14" s="76">
        <v>0</v>
      </c>
      <c r="R14" s="76">
        <v>0</v>
      </c>
      <c r="S14" s="76"/>
    </row>
    <row r="15" spans="1:19" ht="12" x14ac:dyDescent="0.2">
      <c r="B15" s="2" t="s">
        <v>32</v>
      </c>
      <c r="C15" s="10" t="s">
        <v>33</v>
      </c>
      <c r="E15" s="11" t="s">
        <v>11</v>
      </c>
      <c r="G15" s="110" t="s">
        <v>34</v>
      </c>
      <c r="H15" s="76">
        <v>0</v>
      </c>
      <c r="I15" s="76">
        <v>0</v>
      </c>
      <c r="J15" s="76">
        <v>0</v>
      </c>
      <c r="K15" s="76">
        <v>0</v>
      </c>
      <c r="L15" s="76">
        <v>0</v>
      </c>
      <c r="M15" s="76">
        <v>55.048999999999999</v>
      </c>
      <c r="N15" s="76">
        <v>44.947000000000003</v>
      </c>
      <c r="O15" s="76">
        <v>35</v>
      </c>
      <c r="P15" s="76">
        <v>25</v>
      </c>
      <c r="Q15" s="76">
        <v>15</v>
      </c>
      <c r="R15" s="76">
        <v>10</v>
      </c>
      <c r="S15" s="76">
        <v>10</v>
      </c>
    </row>
    <row r="16" spans="1:19" ht="12" x14ac:dyDescent="0.2">
      <c r="B16" s="2" t="s">
        <v>35</v>
      </c>
      <c r="C16" s="10">
        <v>157</v>
      </c>
      <c r="E16" s="11" t="s">
        <v>11</v>
      </c>
      <c r="G16" s="110" t="s">
        <v>36</v>
      </c>
      <c r="H16" s="76">
        <v>0</v>
      </c>
      <c r="I16" s="76">
        <v>0</v>
      </c>
      <c r="J16" s="76">
        <v>0</v>
      </c>
      <c r="K16" s="76">
        <v>0</v>
      </c>
      <c r="L16" s="76">
        <v>0</v>
      </c>
      <c r="M16" s="76">
        <v>0</v>
      </c>
      <c r="N16" s="76">
        <v>0</v>
      </c>
      <c r="O16" s="76">
        <v>0</v>
      </c>
      <c r="P16" s="76">
        <v>0</v>
      </c>
      <c r="Q16" s="76">
        <v>0</v>
      </c>
      <c r="R16" s="76">
        <v>0</v>
      </c>
      <c r="S16" s="76">
        <v>0</v>
      </c>
    </row>
    <row r="17" spans="1:19" s="438" customFormat="1" ht="12" x14ac:dyDescent="0.2">
      <c r="A17" s="15"/>
      <c r="B17" s="2" t="s">
        <v>37</v>
      </c>
      <c r="C17" s="15" t="s">
        <v>38</v>
      </c>
      <c r="D17" s="15"/>
      <c r="E17" s="11" t="s">
        <v>11</v>
      </c>
      <c r="F17" s="16"/>
      <c r="G17" s="436" t="s">
        <v>39</v>
      </c>
      <c r="H17" s="80">
        <v>0</v>
      </c>
      <c r="I17" s="80">
        <v>0</v>
      </c>
      <c r="J17" s="80">
        <v>0</v>
      </c>
      <c r="K17" s="80">
        <v>0</v>
      </c>
      <c r="L17" s="80">
        <v>0</v>
      </c>
      <c r="M17" s="80">
        <v>0</v>
      </c>
      <c r="N17" s="80">
        <v>0</v>
      </c>
      <c r="O17" s="80">
        <v>0</v>
      </c>
      <c r="P17" s="80">
        <v>0</v>
      </c>
      <c r="Q17" s="80">
        <v>0</v>
      </c>
      <c r="R17" s="80">
        <v>0</v>
      </c>
      <c r="S17" s="80">
        <v>0</v>
      </c>
    </row>
    <row r="18" spans="1:19" x14ac:dyDescent="0.2">
      <c r="B18" s="2" t="s">
        <v>40</v>
      </c>
      <c r="C18" s="10">
        <v>2</v>
      </c>
      <c r="E18" s="12"/>
      <c r="G18" s="110" t="s">
        <v>41</v>
      </c>
      <c r="H18" s="77">
        <f>H19+H27</f>
        <v>0</v>
      </c>
      <c r="I18" s="77">
        <f t="shared" ref="I18:R18" si="3">I19+I27</f>
        <v>0</v>
      </c>
      <c r="J18" s="77">
        <f t="shared" si="3"/>
        <v>0</v>
      </c>
      <c r="K18" s="77">
        <f t="shared" si="3"/>
        <v>0</v>
      </c>
      <c r="L18" s="77">
        <f t="shared" si="3"/>
        <v>0</v>
      </c>
      <c r="M18" s="77">
        <f t="shared" si="3"/>
        <v>105.37199999999999</v>
      </c>
      <c r="N18" s="77">
        <f t="shared" si="3"/>
        <v>110.61799999999999</v>
      </c>
      <c r="O18" s="77">
        <f t="shared" si="3"/>
        <v>103</v>
      </c>
      <c r="P18" s="77">
        <f t="shared" si="3"/>
        <v>93</v>
      </c>
      <c r="Q18" s="77">
        <f t="shared" si="3"/>
        <v>102</v>
      </c>
      <c r="R18" s="77">
        <f t="shared" si="3"/>
        <v>112</v>
      </c>
      <c r="S18" s="77">
        <f>S19+S27</f>
        <v>118</v>
      </c>
    </row>
    <row r="19" spans="1:19" x14ac:dyDescent="0.2">
      <c r="B19" s="2" t="s">
        <v>42</v>
      </c>
      <c r="C19" s="10" t="s">
        <v>43</v>
      </c>
      <c r="E19" s="12"/>
      <c r="G19" s="110" t="s">
        <v>44</v>
      </c>
      <c r="H19" s="77">
        <f>SUM(H21:H26)</f>
        <v>0</v>
      </c>
      <c r="I19" s="77">
        <f t="shared" ref="I19:R19" si="4">SUM(I21:I26)</f>
        <v>0</v>
      </c>
      <c r="J19" s="77">
        <f t="shared" si="4"/>
        <v>0</v>
      </c>
      <c r="K19" s="77">
        <f t="shared" si="4"/>
        <v>0</v>
      </c>
      <c r="L19" s="77">
        <f t="shared" si="4"/>
        <v>0</v>
      </c>
      <c r="M19" s="77">
        <f t="shared" si="4"/>
        <v>17.164999999999999</v>
      </c>
      <c r="N19" s="77">
        <f t="shared" si="4"/>
        <v>33.557000000000002</v>
      </c>
      <c r="O19" s="77">
        <f t="shared" si="4"/>
        <v>25</v>
      </c>
      <c r="P19" s="77">
        <f t="shared" si="4"/>
        <v>15</v>
      </c>
      <c r="Q19" s="77">
        <f t="shared" si="4"/>
        <v>12</v>
      </c>
      <c r="R19" s="77">
        <f t="shared" si="4"/>
        <v>10</v>
      </c>
      <c r="S19" s="77">
        <f>SUM(S21:S26)</f>
        <v>10</v>
      </c>
    </row>
    <row r="20" spans="1:19" s="439" customFormat="1" ht="12" x14ac:dyDescent="0.2">
      <c r="A20" s="17"/>
      <c r="B20" s="2" t="s">
        <v>45</v>
      </c>
      <c r="C20" s="15" t="s">
        <v>46</v>
      </c>
      <c r="D20" s="15"/>
      <c r="E20" s="11" t="s">
        <v>11</v>
      </c>
      <c r="F20" s="17"/>
      <c r="G20" s="436" t="s">
        <v>47</v>
      </c>
      <c r="H20" s="82">
        <v>0</v>
      </c>
      <c r="I20" s="82">
        <v>0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82">
        <v>0</v>
      </c>
      <c r="P20" s="82">
        <v>0</v>
      </c>
      <c r="Q20" s="82">
        <v>0</v>
      </c>
      <c r="R20" s="82">
        <v>0</v>
      </c>
      <c r="S20" s="82">
        <v>0</v>
      </c>
    </row>
    <row r="21" spans="1:19" ht="12" x14ac:dyDescent="0.2">
      <c r="B21" s="2" t="s">
        <v>48</v>
      </c>
      <c r="C21" s="18" t="s">
        <v>49</v>
      </c>
      <c r="D21" s="18"/>
      <c r="E21" s="11" t="s">
        <v>11</v>
      </c>
      <c r="G21" s="110" t="s">
        <v>50</v>
      </c>
      <c r="H21" s="76">
        <v>0</v>
      </c>
      <c r="I21" s="76">
        <v>0</v>
      </c>
      <c r="J21" s="76">
        <v>0</v>
      </c>
      <c r="K21" s="76">
        <v>0</v>
      </c>
      <c r="L21" s="76">
        <v>0</v>
      </c>
      <c r="M21" s="76">
        <v>17.164999999999999</v>
      </c>
      <c r="N21" s="76">
        <v>27.556999999999999</v>
      </c>
      <c r="O21" s="76">
        <v>25</v>
      </c>
      <c r="P21" s="76">
        <v>15</v>
      </c>
      <c r="Q21" s="76">
        <v>12</v>
      </c>
      <c r="R21" s="76">
        <v>10</v>
      </c>
      <c r="S21" s="76">
        <v>10</v>
      </c>
    </row>
    <row r="22" spans="1:19" ht="12" x14ac:dyDescent="0.2">
      <c r="B22" s="2" t="s">
        <v>51</v>
      </c>
      <c r="C22" s="10" t="s">
        <v>52</v>
      </c>
      <c r="E22" s="11" t="s">
        <v>11</v>
      </c>
      <c r="G22" s="110" t="s">
        <v>53</v>
      </c>
      <c r="H22" s="76">
        <v>0</v>
      </c>
      <c r="I22" s="76">
        <v>0</v>
      </c>
      <c r="J22" s="76">
        <v>0</v>
      </c>
      <c r="K22" s="76">
        <v>0</v>
      </c>
      <c r="L22" s="76">
        <v>0</v>
      </c>
      <c r="M22" s="76">
        <v>0</v>
      </c>
      <c r="N22" s="76">
        <v>0</v>
      </c>
      <c r="O22" s="76">
        <v>0</v>
      </c>
      <c r="P22" s="76">
        <v>0</v>
      </c>
      <c r="Q22" s="76">
        <v>0</v>
      </c>
      <c r="R22" s="76">
        <v>0</v>
      </c>
      <c r="S22" s="76">
        <v>0</v>
      </c>
    </row>
    <row r="23" spans="1:19" ht="12" x14ac:dyDescent="0.2">
      <c r="B23" s="2" t="s">
        <v>54</v>
      </c>
      <c r="C23" s="10">
        <v>257</v>
      </c>
      <c r="E23" s="11" t="s">
        <v>11</v>
      </c>
      <c r="G23" s="110" t="s">
        <v>55</v>
      </c>
      <c r="H23" s="76">
        <v>0</v>
      </c>
      <c r="I23" s="76">
        <v>0</v>
      </c>
      <c r="J23" s="76">
        <v>0</v>
      </c>
      <c r="K23" s="76">
        <v>0</v>
      </c>
      <c r="L23" s="76">
        <v>0</v>
      </c>
      <c r="M23" s="76">
        <v>0</v>
      </c>
      <c r="N23" s="76">
        <v>6</v>
      </c>
      <c r="O23" s="76">
        <v>0</v>
      </c>
      <c r="P23" s="76">
        <v>0</v>
      </c>
      <c r="Q23" s="76">
        <v>0</v>
      </c>
      <c r="R23" s="76">
        <v>0</v>
      </c>
      <c r="S23" s="76">
        <v>0</v>
      </c>
    </row>
    <row r="24" spans="1:19" ht="12" x14ac:dyDescent="0.2">
      <c r="A24" s="19"/>
      <c r="B24" s="2" t="s">
        <v>56</v>
      </c>
      <c r="C24" s="10" t="s">
        <v>57</v>
      </c>
      <c r="E24" s="11" t="s">
        <v>11</v>
      </c>
      <c r="F24" s="19"/>
      <c r="G24" s="110" t="s">
        <v>58</v>
      </c>
      <c r="H24" s="76">
        <v>0</v>
      </c>
      <c r="I24" s="76">
        <v>0</v>
      </c>
      <c r="J24" s="76">
        <v>0</v>
      </c>
      <c r="K24" s="76">
        <v>0</v>
      </c>
      <c r="L24" s="76">
        <v>0</v>
      </c>
      <c r="M24" s="76">
        <v>0</v>
      </c>
      <c r="N24" s="76">
        <v>0</v>
      </c>
      <c r="O24" s="76">
        <v>0</v>
      </c>
      <c r="P24" s="76">
        <v>0</v>
      </c>
      <c r="Q24" s="76">
        <v>0</v>
      </c>
      <c r="R24" s="76">
        <v>0</v>
      </c>
      <c r="S24" s="76">
        <v>0</v>
      </c>
    </row>
    <row r="25" spans="1:19" ht="12" x14ac:dyDescent="0.2">
      <c r="A25" s="19"/>
      <c r="B25" s="2" t="s">
        <v>59</v>
      </c>
      <c r="C25" s="10" t="s">
        <v>60</v>
      </c>
      <c r="E25" s="11" t="s">
        <v>11</v>
      </c>
      <c r="F25" s="19"/>
      <c r="G25" s="110" t="s">
        <v>61</v>
      </c>
      <c r="H25" s="76">
        <v>0</v>
      </c>
      <c r="I25" s="76">
        <v>0</v>
      </c>
      <c r="J25" s="76">
        <v>0</v>
      </c>
      <c r="K25" s="76">
        <v>0</v>
      </c>
      <c r="L25" s="76">
        <v>0</v>
      </c>
      <c r="M25" s="76">
        <v>0</v>
      </c>
      <c r="N25" s="76">
        <v>0</v>
      </c>
      <c r="O25" s="76">
        <v>0</v>
      </c>
      <c r="P25" s="76">
        <v>0</v>
      </c>
      <c r="Q25" s="76">
        <v>0</v>
      </c>
      <c r="R25" s="76">
        <v>0</v>
      </c>
      <c r="S25" s="76">
        <v>0</v>
      </c>
    </row>
    <row r="26" spans="1:19" ht="12" x14ac:dyDescent="0.2">
      <c r="B26" s="2" t="s">
        <v>62</v>
      </c>
      <c r="C26" s="10">
        <v>28</v>
      </c>
      <c r="E26" s="11" t="s">
        <v>11</v>
      </c>
      <c r="G26" s="110" t="s">
        <v>63</v>
      </c>
      <c r="H26" s="76">
        <v>0</v>
      </c>
      <c r="I26" s="76">
        <v>0</v>
      </c>
      <c r="J26" s="76">
        <v>0</v>
      </c>
      <c r="K26" s="76">
        <v>0</v>
      </c>
      <c r="L26" s="76">
        <v>0</v>
      </c>
      <c r="M26" s="76">
        <v>0</v>
      </c>
      <c r="N26" s="76">
        <v>0</v>
      </c>
      <c r="O26" s="76">
        <v>0</v>
      </c>
      <c r="P26" s="76">
        <v>0</v>
      </c>
      <c r="Q26" s="76">
        <v>0</v>
      </c>
      <c r="R26" s="76">
        <v>0</v>
      </c>
      <c r="S26" s="76">
        <v>0</v>
      </c>
    </row>
    <row r="27" spans="1:19" x14ac:dyDescent="0.2">
      <c r="B27" s="2" t="s">
        <v>64</v>
      </c>
      <c r="C27" s="10">
        <v>29</v>
      </c>
      <c r="E27" s="12"/>
      <c r="G27" s="110" t="s">
        <v>65</v>
      </c>
      <c r="H27" s="77">
        <f>SUM(H28:H30)</f>
        <v>0</v>
      </c>
      <c r="I27" s="77">
        <f t="shared" ref="I27:R27" si="5">SUM(I28:I30)</f>
        <v>0</v>
      </c>
      <c r="J27" s="77">
        <f t="shared" si="5"/>
        <v>0</v>
      </c>
      <c r="K27" s="77">
        <f t="shared" si="5"/>
        <v>0</v>
      </c>
      <c r="L27" s="77">
        <f t="shared" si="5"/>
        <v>0</v>
      </c>
      <c r="M27" s="77">
        <f t="shared" si="5"/>
        <v>88.206999999999994</v>
      </c>
      <c r="N27" s="77">
        <f t="shared" si="5"/>
        <v>77.060999999999993</v>
      </c>
      <c r="O27" s="77">
        <f t="shared" si="5"/>
        <v>78</v>
      </c>
      <c r="P27" s="77">
        <f t="shared" si="5"/>
        <v>78</v>
      </c>
      <c r="Q27" s="77">
        <f t="shared" si="5"/>
        <v>90</v>
      </c>
      <c r="R27" s="77">
        <f t="shared" si="5"/>
        <v>102</v>
      </c>
      <c r="S27" s="77">
        <f>SUM(S28:S30)</f>
        <v>108</v>
      </c>
    </row>
    <row r="28" spans="1:19" ht="12" x14ac:dyDescent="0.2">
      <c r="B28" s="2" t="s">
        <v>66</v>
      </c>
      <c r="C28" s="8" t="s">
        <v>67</v>
      </c>
      <c r="D28" s="8"/>
      <c r="E28" s="11" t="s">
        <v>11</v>
      </c>
      <c r="G28" s="110" t="s">
        <v>68</v>
      </c>
      <c r="H28" s="76">
        <v>0</v>
      </c>
      <c r="I28" s="76">
        <v>0</v>
      </c>
      <c r="J28" s="76">
        <v>0</v>
      </c>
      <c r="K28" s="76">
        <v>0</v>
      </c>
      <c r="L28" s="76">
        <v>0</v>
      </c>
      <c r="M28" s="76">
        <v>39.671999999999997</v>
      </c>
      <c r="N28" s="76">
        <v>39.671999999999997</v>
      </c>
      <c r="O28" s="76">
        <v>40</v>
      </c>
      <c r="P28" s="76">
        <v>40</v>
      </c>
      <c r="Q28" s="76">
        <v>40</v>
      </c>
      <c r="R28" s="76">
        <v>40</v>
      </c>
      <c r="S28" s="76">
        <v>40</v>
      </c>
    </row>
    <row r="29" spans="1:19" ht="12" x14ac:dyDescent="0.2">
      <c r="B29" s="2" t="s">
        <v>69</v>
      </c>
      <c r="C29" s="10">
        <v>298</v>
      </c>
      <c r="E29" s="11" t="s">
        <v>11</v>
      </c>
      <c r="G29" s="110" t="s">
        <v>70</v>
      </c>
      <c r="H29" s="76">
        <v>0</v>
      </c>
      <c r="I29" s="76">
        <v>0</v>
      </c>
      <c r="J29" s="76">
        <v>0</v>
      </c>
      <c r="K29" s="76">
        <v>0</v>
      </c>
      <c r="L29" s="76">
        <v>0</v>
      </c>
      <c r="M29" s="76"/>
      <c r="N29" s="76">
        <v>48.534999999999997</v>
      </c>
      <c r="O29" s="76">
        <v>37</v>
      </c>
      <c r="P29" s="76">
        <v>38</v>
      </c>
      <c r="Q29" s="76">
        <v>38</v>
      </c>
      <c r="R29" s="76">
        <v>50</v>
      </c>
      <c r="S29" s="76">
        <v>62</v>
      </c>
    </row>
    <row r="30" spans="1:19" ht="12" x14ac:dyDescent="0.2">
      <c r="B30" s="2" t="s">
        <v>71</v>
      </c>
      <c r="C30" s="10">
        <v>299</v>
      </c>
      <c r="E30" s="11" t="s">
        <v>72</v>
      </c>
      <c r="G30" s="110" t="s">
        <v>73</v>
      </c>
      <c r="H30" s="76">
        <v>0</v>
      </c>
      <c r="I30" s="76">
        <v>0</v>
      </c>
      <c r="J30" s="76">
        <v>0</v>
      </c>
      <c r="K30" s="76">
        <v>0</v>
      </c>
      <c r="L30" s="76">
        <v>0</v>
      </c>
      <c r="M30" s="76">
        <v>48.534999999999997</v>
      </c>
      <c r="N30" s="76">
        <v>-11.146000000000001</v>
      </c>
      <c r="O30" s="76">
        <v>1</v>
      </c>
      <c r="P30" s="76">
        <v>0</v>
      </c>
      <c r="Q30" s="76">
        <v>12</v>
      </c>
      <c r="R30" s="76">
        <v>12</v>
      </c>
      <c r="S30" s="76">
        <v>6</v>
      </c>
    </row>
    <row r="31" spans="1:19" s="442" customFormat="1" x14ac:dyDescent="0.2">
      <c r="A31" s="20"/>
      <c r="B31" s="6"/>
      <c r="C31" s="21"/>
      <c r="D31" s="21"/>
      <c r="E31" s="22"/>
      <c r="F31" s="20"/>
      <c r="G31" s="440" t="s">
        <v>74</v>
      </c>
      <c r="H31" s="85">
        <f t="shared" ref="H31:R31" si="6">H4-H18</f>
        <v>0</v>
      </c>
      <c r="I31" s="85">
        <f t="shared" si="6"/>
        <v>0</v>
      </c>
      <c r="J31" s="85">
        <f t="shared" si="6"/>
        <v>0</v>
      </c>
      <c r="K31" s="85">
        <f t="shared" si="6"/>
        <v>0</v>
      </c>
      <c r="L31" s="85">
        <f t="shared" si="6"/>
        <v>0</v>
      </c>
      <c r="M31" s="85">
        <f t="shared" si="6"/>
        <v>0</v>
      </c>
      <c r="N31" s="85">
        <f t="shared" si="6"/>
        <v>0</v>
      </c>
      <c r="O31" s="85">
        <f t="shared" si="6"/>
        <v>0</v>
      </c>
      <c r="P31" s="85">
        <f t="shared" si="6"/>
        <v>0</v>
      </c>
      <c r="Q31" s="85">
        <f t="shared" si="6"/>
        <v>0</v>
      </c>
      <c r="R31" s="85">
        <f t="shared" si="6"/>
        <v>0</v>
      </c>
      <c r="S31" s="85">
        <f>S4-S18</f>
        <v>0</v>
      </c>
    </row>
    <row r="32" spans="1:19" x14ac:dyDescent="0.2">
      <c r="G32" s="94" t="s">
        <v>75</v>
      </c>
      <c r="H32" s="87">
        <v>2011</v>
      </c>
      <c r="I32" s="87">
        <f t="shared" ref="I32:S32" si="7">H32+1</f>
        <v>2012</v>
      </c>
      <c r="J32" s="87">
        <f t="shared" si="7"/>
        <v>2013</v>
      </c>
      <c r="K32" s="87">
        <f t="shared" si="7"/>
        <v>2014</v>
      </c>
      <c r="L32" s="87">
        <f t="shared" si="7"/>
        <v>2015</v>
      </c>
      <c r="M32" s="87">
        <f t="shared" si="7"/>
        <v>2016</v>
      </c>
      <c r="N32" s="87">
        <f t="shared" si="7"/>
        <v>2017</v>
      </c>
      <c r="O32" s="87">
        <f t="shared" si="7"/>
        <v>2018</v>
      </c>
      <c r="P32" s="87">
        <f t="shared" si="7"/>
        <v>2019</v>
      </c>
      <c r="Q32" s="87">
        <f t="shared" si="7"/>
        <v>2020</v>
      </c>
      <c r="R32" s="87">
        <f t="shared" si="7"/>
        <v>2021</v>
      </c>
      <c r="S32" s="87">
        <f t="shared" si="7"/>
        <v>2022</v>
      </c>
    </row>
    <row r="33" spans="1:19" x14ac:dyDescent="0.2">
      <c r="B33" s="2" t="s">
        <v>76</v>
      </c>
      <c r="C33" s="10">
        <v>3</v>
      </c>
      <c r="G33" s="103" t="s">
        <v>77</v>
      </c>
      <c r="H33" s="77">
        <f>SUM(H34:H37)</f>
        <v>0</v>
      </c>
      <c r="I33" s="77">
        <f t="shared" ref="I33:R33" si="8">SUM(I34:I37)</f>
        <v>0</v>
      </c>
      <c r="J33" s="77">
        <f t="shared" si="8"/>
        <v>0</v>
      </c>
      <c r="K33" s="77">
        <f t="shared" si="8"/>
        <v>0</v>
      </c>
      <c r="L33" s="77">
        <f t="shared" si="8"/>
        <v>0</v>
      </c>
      <c r="M33" s="77">
        <f t="shared" si="8"/>
        <v>372.69799999999998</v>
      </c>
      <c r="N33" s="77">
        <f t="shared" si="8"/>
        <v>789.49800000000005</v>
      </c>
      <c r="O33" s="77">
        <f t="shared" si="8"/>
        <v>847</v>
      </c>
      <c r="P33" s="77">
        <f t="shared" si="8"/>
        <v>846</v>
      </c>
      <c r="Q33" s="77">
        <f t="shared" si="8"/>
        <v>880</v>
      </c>
      <c r="R33" s="77">
        <f t="shared" si="8"/>
        <v>890</v>
      </c>
      <c r="S33" s="77">
        <f>SUM(S34:S37)</f>
        <v>900</v>
      </c>
    </row>
    <row r="34" spans="1:19" ht="12" x14ac:dyDescent="0.2">
      <c r="B34" s="2" t="s">
        <v>78</v>
      </c>
      <c r="C34" s="10">
        <v>30</v>
      </c>
      <c r="E34" s="11" t="s">
        <v>11</v>
      </c>
      <c r="G34" s="110" t="s">
        <v>79</v>
      </c>
      <c r="H34" s="76">
        <v>0</v>
      </c>
      <c r="I34" s="76">
        <v>0</v>
      </c>
      <c r="J34" s="76">
        <v>0</v>
      </c>
      <c r="K34" s="76">
        <v>0</v>
      </c>
      <c r="L34" s="76">
        <v>0</v>
      </c>
      <c r="M34" s="76">
        <v>0</v>
      </c>
      <c r="N34" s="76">
        <v>0</v>
      </c>
      <c r="O34" s="76"/>
      <c r="P34" s="76">
        <v>0</v>
      </c>
      <c r="Q34" s="76">
        <v>0</v>
      </c>
      <c r="R34" s="76">
        <v>0</v>
      </c>
      <c r="S34" s="76">
        <v>0</v>
      </c>
    </row>
    <row r="35" spans="1:19" ht="12" x14ac:dyDescent="0.2">
      <c r="B35" s="2" t="s">
        <v>80</v>
      </c>
      <c r="C35" s="10">
        <v>32</v>
      </c>
      <c r="E35" s="11" t="s">
        <v>11</v>
      </c>
      <c r="G35" s="110" t="s">
        <v>81</v>
      </c>
      <c r="H35" s="76">
        <v>0</v>
      </c>
      <c r="I35" s="76">
        <v>0</v>
      </c>
      <c r="J35" s="76">
        <v>0</v>
      </c>
      <c r="K35" s="76">
        <v>0</v>
      </c>
      <c r="L35" s="76">
        <v>0</v>
      </c>
      <c r="M35" s="76">
        <v>13.878</v>
      </c>
      <c r="N35" s="76">
        <v>52.064999999999998</v>
      </c>
      <c r="O35" s="76">
        <v>60</v>
      </c>
      <c r="P35" s="76">
        <v>70</v>
      </c>
      <c r="Q35" s="76">
        <v>80</v>
      </c>
      <c r="R35" s="76">
        <v>80</v>
      </c>
      <c r="S35" s="76">
        <v>80</v>
      </c>
    </row>
    <row r="36" spans="1:19" ht="12" x14ac:dyDescent="0.2">
      <c r="A36" s="13"/>
      <c r="B36" s="2" t="s">
        <v>82</v>
      </c>
      <c r="C36" s="10">
        <v>35</v>
      </c>
      <c r="E36" s="11" t="s">
        <v>11</v>
      </c>
      <c r="F36" s="13"/>
      <c r="G36" s="110" t="s">
        <v>83</v>
      </c>
      <c r="H36" s="76">
        <v>0</v>
      </c>
      <c r="I36" s="76">
        <v>0</v>
      </c>
      <c r="J36" s="76">
        <v>0</v>
      </c>
      <c r="K36" s="76">
        <v>0</v>
      </c>
      <c r="L36" s="76">
        <v>0</v>
      </c>
      <c r="M36" s="76">
        <v>358.815</v>
      </c>
      <c r="N36" s="76">
        <v>737.43299999999999</v>
      </c>
      <c r="O36" s="76">
        <v>787</v>
      </c>
      <c r="P36" s="76">
        <v>776</v>
      </c>
      <c r="Q36" s="76">
        <v>800</v>
      </c>
      <c r="R36" s="76">
        <v>810</v>
      </c>
      <c r="S36" s="76">
        <v>820</v>
      </c>
    </row>
    <row r="37" spans="1:19" ht="12" x14ac:dyDescent="0.2">
      <c r="B37" s="2" t="s">
        <v>84</v>
      </c>
      <c r="C37" s="10">
        <v>38</v>
      </c>
      <c r="E37" s="11" t="s">
        <v>11</v>
      </c>
      <c r="G37" s="110" t="s">
        <v>85</v>
      </c>
      <c r="H37" s="76">
        <v>0</v>
      </c>
      <c r="I37" s="76">
        <v>0</v>
      </c>
      <c r="J37" s="76">
        <v>0</v>
      </c>
      <c r="K37" s="76">
        <v>0</v>
      </c>
      <c r="L37" s="76">
        <v>0</v>
      </c>
      <c r="M37" s="76">
        <v>5.0000000000000001E-3</v>
      </c>
      <c r="N37" s="76">
        <v>0</v>
      </c>
      <c r="O37" s="76">
        <v>0</v>
      </c>
      <c r="P37" s="76">
        <v>0</v>
      </c>
      <c r="Q37" s="76">
        <v>0</v>
      </c>
      <c r="R37" s="76">
        <v>0</v>
      </c>
      <c r="S37" s="76">
        <v>0</v>
      </c>
    </row>
    <row r="38" spans="1:19" x14ac:dyDescent="0.2">
      <c r="B38" s="2" t="s">
        <v>86</v>
      </c>
      <c r="C38" s="10">
        <v>4</v>
      </c>
      <c r="E38" s="23"/>
      <c r="G38" s="110" t="s">
        <v>87</v>
      </c>
      <c r="H38" s="77">
        <f>H39+H40</f>
        <v>0</v>
      </c>
      <c r="I38" s="77">
        <f t="shared" ref="I38:R38" si="9">I39+I40</f>
        <v>0</v>
      </c>
      <c r="J38" s="77">
        <f t="shared" si="9"/>
        <v>0</v>
      </c>
      <c r="K38" s="77">
        <f t="shared" si="9"/>
        <v>0</v>
      </c>
      <c r="L38" s="77">
        <f t="shared" si="9"/>
        <v>0</v>
      </c>
      <c r="M38" s="77">
        <f t="shared" si="9"/>
        <v>0</v>
      </c>
      <c r="N38" s="77">
        <f t="shared" si="9"/>
        <v>0</v>
      </c>
      <c r="O38" s="77">
        <f t="shared" si="9"/>
        <v>0</v>
      </c>
      <c r="P38" s="77">
        <f t="shared" si="9"/>
        <v>0</v>
      </c>
      <c r="Q38" s="77">
        <f t="shared" si="9"/>
        <v>0</v>
      </c>
      <c r="R38" s="77">
        <f t="shared" si="9"/>
        <v>0</v>
      </c>
      <c r="S38" s="77">
        <f>S39+S40</f>
        <v>0</v>
      </c>
    </row>
    <row r="39" spans="1:19" ht="12" x14ac:dyDescent="0.2">
      <c r="B39" s="2" t="s">
        <v>88</v>
      </c>
      <c r="C39" s="10">
        <v>41</v>
      </c>
      <c r="E39" s="11" t="s">
        <v>89</v>
      </c>
      <c r="G39" s="110" t="s">
        <v>90</v>
      </c>
      <c r="H39" s="76">
        <v>0</v>
      </c>
      <c r="I39" s="76">
        <v>0</v>
      </c>
      <c r="J39" s="76">
        <v>0</v>
      </c>
      <c r="K39" s="76">
        <v>0</v>
      </c>
      <c r="L39" s="76">
        <v>0</v>
      </c>
      <c r="M39" s="76">
        <v>0</v>
      </c>
      <c r="N39" s="76">
        <v>0</v>
      </c>
      <c r="O39" s="76">
        <v>0</v>
      </c>
      <c r="P39" s="76">
        <v>0</v>
      </c>
      <c r="Q39" s="76">
        <v>0</v>
      </c>
      <c r="R39" s="76">
        <v>0</v>
      </c>
      <c r="S39" s="76">
        <v>0</v>
      </c>
    </row>
    <row r="40" spans="1:19" ht="12" x14ac:dyDescent="0.2">
      <c r="B40" s="2" t="s">
        <v>91</v>
      </c>
      <c r="C40" s="10">
        <v>45</v>
      </c>
      <c r="E40" s="11" t="s">
        <v>89</v>
      </c>
      <c r="G40" s="110" t="s">
        <v>92</v>
      </c>
      <c r="H40" s="76">
        <v>0</v>
      </c>
      <c r="I40" s="76">
        <v>0</v>
      </c>
      <c r="J40" s="76">
        <v>0</v>
      </c>
      <c r="K40" s="76">
        <v>0</v>
      </c>
      <c r="L40" s="76">
        <v>0</v>
      </c>
      <c r="M40" s="76">
        <v>0</v>
      </c>
      <c r="N40" s="76">
        <v>0</v>
      </c>
      <c r="O40" s="76">
        <v>0</v>
      </c>
      <c r="P40" s="76">
        <v>0</v>
      </c>
      <c r="Q40" s="76">
        <v>0</v>
      </c>
      <c r="R40" s="76">
        <v>0</v>
      </c>
      <c r="S40" s="76">
        <v>0</v>
      </c>
    </row>
    <row r="41" spans="1:19" x14ac:dyDescent="0.2">
      <c r="A41" s="13"/>
      <c r="B41" s="2" t="s">
        <v>93</v>
      </c>
      <c r="C41" s="10" t="s">
        <v>94</v>
      </c>
      <c r="E41" s="23"/>
      <c r="F41" s="13"/>
      <c r="G41" s="110" t="s">
        <v>95</v>
      </c>
      <c r="H41" s="77">
        <f>SUM(H42:H45)</f>
        <v>0</v>
      </c>
      <c r="I41" s="77">
        <f t="shared" ref="I41:R41" si="10">SUM(I42:I45)</f>
        <v>0</v>
      </c>
      <c r="J41" s="77">
        <f t="shared" si="10"/>
        <v>0</v>
      </c>
      <c r="K41" s="77">
        <f t="shared" si="10"/>
        <v>0</v>
      </c>
      <c r="L41" s="77">
        <f t="shared" si="10"/>
        <v>0</v>
      </c>
      <c r="M41" s="77">
        <f t="shared" si="10"/>
        <v>-324.02499999999992</v>
      </c>
      <c r="N41" s="77">
        <f t="shared" si="10"/>
        <v>-800.64400000000001</v>
      </c>
      <c r="O41" s="77">
        <f t="shared" si="10"/>
        <v>-846</v>
      </c>
      <c r="P41" s="77">
        <f t="shared" si="10"/>
        <v>-846</v>
      </c>
      <c r="Q41" s="77">
        <f t="shared" si="10"/>
        <v>-868</v>
      </c>
      <c r="R41" s="77">
        <f t="shared" si="10"/>
        <v>-878</v>
      </c>
      <c r="S41" s="77">
        <f>SUM(S42:S45)</f>
        <v>-894</v>
      </c>
    </row>
    <row r="42" spans="1:19" ht="12" x14ac:dyDescent="0.2">
      <c r="B42" s="2" t="s">
        <v>96</v>
      </c>
      <c r="C42" s="10">
        <v>50</v>
      </c>
      <c r="E42" s="11" t="s">
        <v>89</v>
      </c>
      <c r="G42" s="110" t="s">
        <v>97</v>
      </c>
      <c r="H42" s="76">
        <v>0</v>
      </c>
      <c r="I42" s="76">
        <v>0</v>
      </c>
      <c r="J42" s="76">
        <v>0</v>
      </c>
      <c r="K42" s="76">
        <v>0</v>
      </c>
      <c r="L42" s="76">
        <v>0</v>
      </c>
      <c r="M42" s="76">
        <v>-151.66999999999999</v>
      </c>
      <c r="N42" s="76">
        <v>-344.20600000000002</v>
      </c>
      <c r="O42" s="76">
        <v>-390</v>
      </c>
      <c r="P42" s="76">
        <v>-390</v>
      </c>
      <c r="Q42" s="76">
        <v>-400</v>
      </c>
      <c r="R42" s="76">
        <v>-410</v>
      </c>
      <c r="S42" s="76">
        <v>-430</v>
      </c>
    </row>
    <row r="43" spans="1:19" ht="12" x14ac:dyDescent="0.2">
      <c r="B43" s="2" t="s">
        <v>98</v>
      </c>
      <c r="C43" s="10">
        <v>55</v>
      </c>
      <c r="E43" s="11" t="s">
        <v>89</v>
      </c>
      <c r="G43" s="110" t="s">
        <v>99</v>
      </c>
      <c r="H43" s="76">
        <v>0</v>
      </c>
      <c r="I43" s="76">
        <v>0</v>
      </c>
      <c r="J43" s="76">
        <v>0</v>
      </c>
      <c r="K43" s="76">
        <v>0</v>
      </c>
      <c r="L43" s="76">
        <v>0</v>
      </c>
      <c r="M43" s="76">
        <v>-168.56299999999999</v>
      </c>
      <c r="N43" s="76">
        <v>-446.33600000000001</v>
      </c>
      <c r="O43" s="76">
        <v>-446</v>
      </c>
      <c r="P43" s="76">
        <v>-446</v>
      </c>
      <c r="Q43" s="76">
        <v>-458</v>
      </c>
      <c r="R43" s="76">
        <v>-458</v>
      </c>
      <c r="S43" s="76">
        <v>-460</v>
      </c>
    </row>
    <row r="44" spans="1:19" ht="12" x14ac:dyDescent="0.2">
      <c r="A44" s="13"/>
      <c r="B44" s="2" t="s">
        <v>100</v>
      </c>
      <c r="C44" s="10">
        <v>60</v>
      </c>
      <c r="E44" s="11" t="s">
        <v>89</v>
      </c>
      <c r="F44" s="13"/>
      <c r="G44" s="110" t="s">
        <v>101</v>
      </c>
      <c r="H44" s="76">
        <v>0</v>
      </c>
      <c r="I44" s="76">
        <v>0</v>
      </c>
      <c r="J44" s="76">
        <v>0</v>
      </c>
      <c r="K44" s="76">
        <v>0</v>
      </c>
      <c r="L44" s="76">
        <v>0</v>
      </c>
      <c r="M44" s="76">
        <v>0</v>
      </c>
      <c r="N44" s="76">
        <v>0</v>
      </c>
      <c r="O44" s="76">
        <v>0</v>
      </c>
      <c r="P44" s="76">
        <v>0</v>
      </c>
      <c r="Q44" s="76">
        <v>0</v>
      </c>
      <c r="R44" s="76">
        <v>0</v>
      </c>
      <c r="S44" s="76">
        <v>0</v>
      </c>
    </row>
    <row r="45" spans="1:19" ht="12" x14ac:dyDescent="0.2">
      <c r="B45" s="2" t="s">
        <v>102</v>
      </c>
      <c r="C45" s="10">
        <v>61</v>
      </c>
      <c r="E45" s="11" t="s">
        <v>89</v>
      </c>
      <c r="G45" s="110" t="s">
        <v>103</v>
      </c>
      <c r="H45" s="76">
        <v>0</v>
      </c>
      <c r="I45" s="76">
        <v>0</v>
      </c>
      <c r="J45" s="76">
        <v>0</v>
      </c>
      <c r="K45" s="76">
        <v>0</v>
      </c>
      <c r="L45" s="76">
        <v>0</v>
      </c>
      <c r="M45" s="76">
        <v>-3.7919999999999998</v>
      </c>
      <c r="N45" s="76">
        <v>-10.102</v>
      </c>
      <c r="O45" s="76">
        <v>-10</v>
      </c>
      <c r="P45" s="76">
        <v>-10</v>
      </c>
      <c r="Q45" s="76">
        <v>-10</v>
      </c>
      <c r="R45" s="76">
        <v>-10</v>
      </c>
      <c r="S45" s="76">
        <v>-4</v>
      </c>
    </row>
    <row r="46" spans="1:19" x14ac:dyDescent="0.2">
      <c r="B46" s="2" t="s">
        <v>104</v>
      </c>
      <c r="G46" s="110" t="s">
        <v>105</v>
      </c>
      <c r="H46" s="77">
        <f>H33+H38+H41</f>
        <v>0</v>
      </c>
      <c r="I46" s="77">
        <f t="shared" ref="I46:R46" si="11">I33+I38+I41</f>
        <v>0</v>
      </c>
      <c r="J46" s="77">
        <f t="shared" si="11"/>
        <v>0</v>
      </c>
      <c r="K46" s="77">
        <f t="shared" si="11"/>
        <v>0</v>
      </c>
      <c r="L46" s="77">
        <f t="shared" si="11"/>
        <v>0</v>
      </c>
      <c r="M46" s="77">
        <f t="shared" si="11"/>
        <v>48.673000000000059</v>
      </c>
      <c r="N46" s="77">
        <f t="shared" si="11"/>
        <v>-11.145999999999958</v>
      </c>
      <c r="O46" s="77">
        <f t="shared" si="11"/>
        <v>1</v>
      </c>
      <c r="P46" s="77">
        <f t="shared" si="11"/>
        <v>0</v>
      </c>
      <c r="Q46" s="77">
        <f t="shared" si="11"/>
        <v>12</v>
      </c>
      <c r="R46" s="77">
        <f t="shared" si="11"/>
        <v>12</v>
      </c>
      <c r="S46" s="77">
        <f>S33+S38+S41</f>
        <v>6</v>
      </c>
    </row>
    <row r="47" spans="1:19" ht="12" x14ac:dyDescent="0.2">
      <c r="B47" s="2" t="s">
        <v>106</v>
      </c>
      <c r="C47" s="10">
        <v>65</v>
      </c>
      <c r="E47" s="11" t="s">
        <v>72</v>
      </c>
      <c r="G47" s="110" t="s">
        <v>107</v>
      </c>
      <c r="H47" s="76">
        <v>0</v>
      </c>
      <c r="I47" s="76">
        <v>0</v>
      </c>
      <c r="J47" s="76">
        <v>0</v>
      </c>
      <c r="K47" s="76">
        <v>0</v>
      </c>
      <c r="L47" s="76">
        <v>0</v>
      </c>
      <c r="M47" s="76"/>
      <c r="N47" s="76">
        <v>0</v>
      </c>
      <c r="O47" s="76">
        <v>0</v>
      </c>
      <c r="P47" s="76">
        <v>0</v>
      </c>
      <c r="Q47" s="76">
        <v>0</v>
      </c>
      <c r="R47" s="76">
        <v>0</v>
      </c>
      <c r="S47" s="76">
        <v>0</v>
      </c>
    </row>
    <row r="48" spans="1:19" x14ac:dyDescent="0.2">
      <c r="B48" s="2" t="s">
        <v>108</v>
      </c>
      <c r="G48" s="110" t="s">
        <v>109</v>
      </c>
      <c r="H48" s="77">
        <f>H46+H47</f>
        <v>0</v>
      </c>
      <c r="I48" s="77">
        <f t="shared" ref="I48:R48" si="12">I46+I47</f>
        <v>0</v>
      </c>
      <c r="J48" s="77">
        <f t="shared" si="12"/>
        <v>0</v>
      </c>
      <c r="K48" s="77">
        <f t="shared" si="12"/>
        <v>0</v>
      </c>
      <c r="L48" s="77">
        <f t="shared" si="12"/>
        <v>0</v>
      </c>
      <c r="M48" s="77">
        <f t="shared" si="12"/>
        <v>48.673000000000059</v>
      </c>
      <c r="N48" s="77">
        <f t="shared" si="12"/>
        <v>-11.145999999999958</v>
      </c>
      <c r="O48" s="77">
        <f t="shared" si="12"/>
        <v>1</v>
      </c>
      <c r="P48" s="77">
        <f t="shared" si="12"/>
        <v>0</v>
      </c>
      <c r="Q48" s="77">
        <f t="shared" si="12"/>
        <v>12</v>
      </c>
      <c r="R48" s="77">
        <f t="shared" si="12"/>
        <v>12</v>
      </c>
      <c r="S48" s="77">
        <f>S46+S47</f>
        <v>6</v>
      </c>
    </row>
    <row r="49" spans="1:19" ht="12" x14ac:dyDescent="0.2">
      <c r="B49" s="2" t="s">
        <v>110</v>
      </c>
      <c r="C49" s="10">
        <v>68</v>
      </c>
      <c r="E49" s="11" t="s">
        <v>89</v>
      </c>
      <c r="G49" s="110" t="s">
        <v>111</v>
      </c>
      <c r="H49" s="76">
        <v>0</v>
      </c>
      <c r="I49" s="76">
        <v>0</v>
      </c>
      <c r="J49" s="76">
        <v>0</v>
      </c>
      <c r="K49" s="76">
        <v>0</v>
      </c>
      <c r="L49" s="76">
        <v>0</v>
      </c>
      <c r="M49" s="76">
        <v>0</v>
      </c>
      <c r="N49" s="76">
        <v>0</v>
      </c>
      <c r="O49" s="76">
        <v>0</v>
      </c>
      <c r="P49" s="76">
        <v>0</v>
      </c>
      <c r="Q49" s="76">
        <v>0</v>
      </c>
      <c r="R49" s="76">
        <v>0</v>
      </c>
      <c r="S49" s="76">
        <v>0</v>
      </c>
    </row>
    <row r="50" spans="1:19" ht="12" x14ac:dyDescent="0.2">
      <c r="B50" s="2" t="s">
        <v>112</v>
      </c>
      <c r="C50" s="10">
        <v>69</v>
      </c>
      <c r="E50" s="11" t="s">
        <v>11</v>
      </c>
      <c r="G50" s="110" t="s">
        <v>113</v>
      </c>
      <c r="H50" s="76">
        <v>0</v>
      </c>
      <c r="I50" s="76">
        <v>0</v>
      </c>
      <c r="J50" s="76">
        <v>0</v>
      </c>
      <c r="K50" s="76">
        <v>0</v>
      </c>
      <c r="L50" s="76">
        <v>0</v>
      </c>
      <c r="M50" s="76">
        <v>0</v>
      </c>
      <c r="N50" s="76">
        <v>0</v>
      </c>
      <c r="O50" s="76">
        <v>0</v>
      </c>
      <c r="P50" s="76">
        <v>0</v>
      </c>
      <c r="Q50" s="76">
        <v>0</v>
      </c>
      <c r="R50" s="76">
        <v>0</v>
      </c>
      <c r="S50" s="76">
        <v>0</v>
      </c>
    </row>
    <row r="51" spans="1:19" x14ac:dyDescent="0.2">
      <c r="B51" s="2" t="s">
        <v>114</v>
      </c>
      <c r="G51" s="110" t="s">
        <v>115</v>
      </c>
      <c r="H51" s="77">
        <f>H48+H49+H50</f>
        <v>0</v>
      </c>
      <c r="I51" s="77">
        <f t="shared" ref="I51:R51" si="13">I48+I49+I50</f>
        <v>0</v>
      </c>
      <c r="J51" s="77">
        <f t="shared" si="13"/>
        <v>0</v>
      </c>
      <c r="K51" s="77">
        <f t="shared" si="13"/>
        <v>0</v>
      </c>
      <c r="L51" s="77">
        <f t="shared" si="13"/>
        <v>0</v>
      </c>
      <c r="M51" s="77">
        <f t="shared" si="13"/>
        <v>48.673000000000059</v>
      </c>
      <c r="N51" s="77">
        <f t="shared" si="13"/>
        <v>-11.145999999999958</v>
      </c>
      <c r="O51" s="77">
        <f t="shared" si="13"/>
        <v>1</v>
      </c>
      <c r="P51" s="77">
        <f t="shared" si="13"/>
        <v>0</v>
      </c>
      <c r="Q51" s="77">
        <f t="shared" si="13"/>
        <v>12</v>
      </c>
      <c r="R51" s="77">
        <f t="shared" si="13"/>
        <v>12</v>
      </c>
      <c r="S51" s="77">
        <f>S48+S49+S50</f>
        <v>6</v>
      </c>
    </row>
    <row r="52" spans="1:19" x14ac:dyDescent="0.2">
      <c r="A52" s="24"/>
      <c r="C52" s="25"/>
      <c r="D52" s="25"/>
      <c r="E52" s="26"/>
      <c r="F52" s="24"/>
      <c r="G52" s="440" t="s">
        <v>116</v>
      </c>
      <c r="H52" s="85">
        <f>H30-H51</f>
        <v>0</v>
      </c>
      <c r="I52" s="85">
        <f t="shared" ref="I52:R52" si="14">I30-I51</f>
        <v>0</v>
      </c>
      <c r="J52" s="85">
        <f t="shared" si="14"/>
        <v>0</v>
      </c>
      <c r="K52" s="85">
        <f t="shared" si="14"/>
        <v>0</v>
      </c>
      <c r="L52" s="85">
        <f t="shared" si="14"/>
        <v>0</v>
      </c>
      <c r="M52" s="85">
        <f t="shared" si="14"/>
        <v>-0.13800000000006207</v>
      </c>
      <c r="N52" s="85">
        <f t="shared" si="14"/>
        <v>-4.2632564145606011E-14</v>
      </c>
      <c r="O52" s="85">
        <f t="shared" si="14"/>
        <v>0</v>
      </c>
      <c r="P52" s="85">
        <f t="shared" si="14"/>
        <v>0</v>
      </c>
      <c r="Q52" s="85">
        <f t="shared" si="14"/>
        <v>0</v>
      </c>
      <c r="R52" s="85">
        <f t="shared" si="14"/>
        <v>0</v>
      </c>
      <c r="S52" s="85">
        <f>S30-S51</f>
        <v>0</v>
      </c>
    </row>
    <row r="53" spans="1:19" x14ac:dyDescent="0.2">
      <c r="G53" s="27" t="s">
        <v>117</v>
      </c>
    </row>
    <row r="54" spans="1:19" ht="12" x14ac:dyDescent="0.2">
      <c r="C54" s="10">
        <v>90</v>
      </c>
      <c r="E54" s="11" t="s">
        <v>11</v>
      </c>
      <c r="G54" s="27" t="s">
        <v>118</v>
      </c>
      <c r="H54" s="76">
        <v>0</v>
      </c>
      <c r="I54" s="76">
        <v>0</v>
      </c>
      <c r="J54" s="76">
        <v>0</v>
      </c>
      <c r="K54" s="76">
        <v>0</v>
      </c>
      <c r="L54" s="76">
        <v>0</v>
      </c>
      <c r="M54" s="76">
        <v>23.8</v>
      </c>
      <c r="N54" s="76">
        <v>25.09</v>
      </c>
      <c r="O54" s="76">
        <v>24</v>
      </c>
      <c r="P54" s="76">
        <v>24</v>
      </c>
      <c r="Q54" s="76">
        <v>24</v>
      </c>
      <c r="R54" s="76">
        <v>24</v>
      </c>
      <c r="S54" s="76">
        <v>24</v>
      </c>
    </row>
    <row r="55" spans="1:19" ht="12" x14ac:dyDescent="0.2">
      <c r="E55" s="11" t="s">
        <v>11</v>
      </c>
      <c r="G55" s="27" t="s">
        <v>119</v>
      </c>
      <c r="H55" s="76"/>
      <c r="I55" s="76"/>
      <c r="J55" s="76"/>
      <c r="K55" s="76"/>
      <c r="L55" s="88"/>
      <c r="M55" s="88"/>
      <c r="N55" s="88"/>
      <c r="O55" s="88"/>
      <c r="P55" s="88"/>
      <c r="Q55" s="88"/>
      <c r="R55" s="88"/>
      <c r="S55" s="88"/>
    </row>
    <row r="57" spans="1:19" x14ac:dyDescent="0.2">
      <c r="D57" s="29" t="s">
        <v>120</v>
      </c>
      <c r="E57" s="30" t="s">
        <v>3</v>
      </c>
      <c r="F57" s="9"/>
      <c r="G57" s="94" t="s">
        <v>121</v>
      </c>
      <c r="H57" s="87">
        <f>H32</f>
        <v>2011</v>
      </c>
      <c r="I57" s="87">
        <f t="shared" ref="I57:R57" si="15">I32</f>
        <v>2012</v>
      </c>
      <c r="J57" s="87">
        <f t="shared" si="15"/>
        <v>2013</v>
      </c>
      <c r="K57" s="87">
        <f t="shared" si="15"/>
        <v>2014</v>
      </c>
      <c r="L57" s="87">
        <f t="shared" si="15"/>
        <v>2015</v>
      </c>
      <c r="M57" s="87">
        <f t="shared" si="15"/>
        <v>2016</v>
      </c>
      <c r="N57" s="87">
        <f t="shared" si="15"/>
        <v>2017</v>
      </c>
      <c r="O57" s="87">
        <f t="shared" si="15"/>
        <v>2018</v>
      </c>
      <c r="P57" s="87">
        <f t="shared" si="15"/>
        <v>2019</v>
      </c>
      <c r="Q57" s="87">
        <f t="shared" si="15"/>
        <v>2020</v>
      </c>
      <c r="R57" s="87">
        <f t="shared" si="15"/>
        <v>2021</v>
      </c>
      <c r="S57" s="87">
        <f>S32</f>
        <v>2022</v>
      </c>
    </row>
    <row r="58" spans="1:19" ht="11.25" customHeight="1" x14ac:dyDescent="0.2">
      <c r="B58" s="31" t="s">
        <v>122</v>
      </c>
      <c r="C58" s="8" t="s">
        <v>123</v>
      </c>
      <c r="D58" s="32" t="s">
        <v>124</v>
      </c>
      <c r="E58" s="11" t="s">
        <v>89</v>
      </c>
      <c r="F58" s="12"/>
      <c r="G58" s="103" t="s">
        <v>125</v>
      </c>
      <c r="H58" s="76">
        <v>0</v>
      </c>
      <c r="I58" s="76">
        <v>0</v>
      </c>
      <c r="J58" s="76">
        <v>0</v>
      </c>
      <c r="K58" s="76">
        <v>0</v>
      </c>
      <c r="L58" s="76">
        <v>0</v>
      </c>
      <c r="M58" s="76">
        <v>-6.25</v>
      </c>
      <c r="N58" s="76">
        <v>0</v>
      </c>
      <c r="O58" s="76">
        <v>0</v>
      </c>
      <c r="P58" s="76">
        <v>0</v>
      </c>
      <c r="Q58" s="76">
        <v>0</v>
      </c>
      <c r="R58" s="76">
        <v>0</v>
      </c>
      <c r="S58" s="76">
        <v>0</v>
      </c>
    </row>
    <row r="59" spans="1:19" ht="12" x14ac:dyDescent="0.2">
      <c r="B59" s="31" t="s">
        <v>126</v>
      </c>
      <c r="C59" s="33" t="s">
        <v>127</v>
      </c>
      <c r="D59" s="32" t="s">
        <v>128</v>
      </c>
      <c r="E59" s="11" t="s">
        <v>11</v>
      </c>
      <c r="F59" s="12"/>
      <c r="G59" s="158" t="s">
        <v>129</v>
      </c>
      <c r="H59" s="76">
        <v>0</v>
      </c>
      <c r="I59" s="76">
        <v>0</v>
      </c>
      <c r="J59" s="76">
        <v>0</v>
      </c>
      <c r="K59" s="76">
        <v>0</v>
      </c>
      <c r="L59" s="76">
        <v>0</v>
      </c>
      <c r="M59" s="76">
        <v>0</v>
      </c>
      <c r="N59" s="76">
        <v>0</v>
      </c>
      <c r="O59" s="76">
        <v>0</v>
      </c>
      <c r="P59" s="76">
        <v>0</v>
      </c>
      <c r="Q59" s="76">
        <v>0</v>
      </c>
      <c r="R59" s="76">
        <v>0</v>
      </c>
      <c r="S59" s="76">
        <v>0</v>
      </c>
    </row>
    <row r="60" spans="1:19" ht="12" x14ac:dyDescent="0.2">
      <c r="B60" s="31" t="s">
        <v>130</v>
      </c>
      <c r="C60" s="34" t="s">
        <v>492</v>
      </c>
      <c r="D60" s="32" t="s">
        <v>131</v>
      </c>
      <c r="E60" s="11" t="s">
        <v>11</v>
      </c>
      <c r="F60" s="12"/>
      <c r="G60" s="110" t="s">
        <v>132</v>
      </c>
      <c r="H60" s="76">
        <v>0</v>
      </c>
      <c r="I60" s="76">
        <v>0</v>
      </c>
      <c r="J60" s="76">
        <v>0</v>
      </c>
      <c r="K60" s="76">
        <v>0</v>
      </c>
      <c r="L60" s="76">
        <v>0</v>
      </c>
      <c r="M60" s="76">
        <v>0</v>
      </c>
      <c r="N60" s="76">
        <v>0</v>
      </c>
      <c r="O60" s="76">
        <v>0</v>
      </c>
      <c r="P60" s="76">
        <v>0</v>
      </c>
      <c r="Q60" s="76">
        <v>0</v>
      </c>
      <c r="R60" s="76">
        <v>0</v>
      </c>
      <c r="S60" s="76">
        <v>0</v>
      </c>
    </row>
    <row r="61" spans="1:19" ht="12" x14ac:dyDescent="0.2">
      <c r="B61" s="31" t="s">
        <v>133</v>
      </c>
      <c r="C61" s="34" t="s">
        <v>134</v>
      </c>
      <c r="D61" s="34" t="s">
        <v>135</v>
      </c>
      <c r="E61" s="11" t="s">
        <v>89</v>
      </c>
      <c r="F61" s="12"/>
      <c r="G61" s="110" t="s">
        <v>136</v>
      </c>
      <c r="H61" s="76">
        <v>0</v>
      </c>
      <c r="I61" s="76">
        <v>0</v>
      </c>
      <c r="J61" s="76">
        <v>0</v>
      </c>
      <c r="K61" s="76">
        <v>0</v>
      </c>
      <c r="L61" s="76">
        <v>0</v>
      </c>
      <c r="M61" s="76">
        <v>0</v>
      </c>
      <c r="N61" s="76">
        <v>0</v>
      </c>
      <c r="O61" s="76">
        <v>0</v>
      </c>
      <c r="P61" s="76">
        <v>0</v>
      </c>
      <c r="Q61" s="76">
        <v>0</v>
      </c>
      <c r="R61" s="76">
        <v>0</v>
      </c>
      <c r="S61" s="76">
        <v>0</v>
      </c>
    </row>
    <row r="62" spans="1:19" ht="12" x14ac:dyDescent="0.2">
      <c r="B62" s="31" t="s">
        <v>137</v>
      </c>
      <c r="C62" s="10">
        <v>253800</v>
      </c>
      <c r="D62" s="34" t="s">
        <v>131</v>
      </c>
      <c r="E62" s="11" t="s">
        <v>11</v>
      </c>
      <c r="F62" s="12"/>
      <c r="G62" s="110" t="s">
        <v>138</v>
      </c>
      <c r="H62" s="76">
        <v>0</v>
      </c>
      <c r="I62" s="76">
        <v>0</v>
      </c>
      <c r="J62" s="76">
        <v>0</v>
      </c>
      <c r="K62" s="76">
        <v>0</v>
      </c>
      <c r="L62" s="76">
        <v>0</v>
      </c>
      <c r="M62" s="76">
        <v>0</v>
      </c>
      <c r="N62" s="76">
        <v>0</v>
      </c>
      <c r="O62" s="76">
        <v>0</v>
      </c>
      <c r="P62" s="76">
        <v>0</v>
      </c>
      <c r="Q62" s="76">
        <v>0</v>
      </c>
      <c r="R62" s="76">
        <v>0</v>
      </c>
      <c r="S62" s="76">
        <v>0</v>
      </c>
    </row>
    <row r="63" spans="1:19" ht="12" x14ac:dyDescent="0.2">
      <c r="B63" s="31" t="s">
        <v>139</v>
      </c>
      <c r="C63" s="10">
        <v>150</v>
      </c>
      <c r="D63" s="34" t="s">
        <v>135</v>
      </c>
      <c r="E63" s="11" t="s">
        <v>89</v>
      </c>
      <c r="F63" s="12"/>
      <c r="G63" s="110" t="s">
        <v>140</v>
      </c>
      <c r="H63" s="76">
        <v>0</v>
      </c>
      <c r="I63" s="76">
        <v>0</v>
      </c>
      <c r="J63" s="76">
        <v>0</v>
      </c>
      <c r="K63" s="76">
        <v>0</v>
      </c>
      <c r="L63" s="76">
        <v>0</v>
      </c>
      <c r="M63" s="76">
        <v>0</v>
      </c>
      <c r="N63" s="76">
        <v>0</v>
      </c>
      <c r="O63" s="76">
        <v>0</v>
      </c>
      <c r="P63" s="76">
        <v>0</v>
      </c>
      <c r="Q63" s="76">
        <v>0</v>
      </c>
      <c r="R63" s="76">
        <v>0</v>
      </c>
      <c r="S63" s="76">
        <v>0</v>
      </c>
    </row>
    <row r="64" spans="1:19" ht="12" x14ac:dyDescent="0.2">
      <c r="B64" s="31" t="s">
        <v>141</v>
      </c>
      <c r="C64" s="34" t="s">
        <v>142</v>
      </c>
      <c r="D64" s="34" t="s">
        <v>131</v>
      </c>
      <c r="E64" s="11" t="s">
        <v>11</v>
      </c>
      <c r="F64" s="12"/>
      <c r="G64" s="110" t="s">
        <v>143</v>
      </c>
      <c r="H64" s="76">
        <v>0</v>
      </c>
      <c r="I64" s="76">
        <v>0</v>
      </c>
      <c r="J64" s="76">
        <v>0</v>
      </c>
      <c r="K64" s="76">
        <v>0</v>
      </c>
      <c r="L64" s="76">
        <v>0</v>
      </c>
      <c r="M64" s="76">
        <v>0</v>
      </c>
      <c r="N64" s="76">
        <v>0</v>
      </c>
      <c r="O64" s="76">
        <v>0</v>
      </c>
      <c r="P64" s="76">
        <v>0</v>
      </c>
      <c r="Q64" s="76">
        <v>0</v>
      </c>
      <c r="R64" s="76">
        <v>0</v>
      </c>
      <c r="S64" s="76">
        <v>0</v>
      </c>
    </row>
    <row r="65" spans="2:19" ht="12" x14ac:dyDescent="0.2">
      <c r="B65" s="31" t="s">
        <v>144</v>
      </c>
      <c r="C65" s="8" t="s">
        <v>493</v>
      </c>
      <c r="D65" s="34" t="s">
        <v>135</v>
      </c>
      <c r="E65" s="11" t="s">
        <v>89</v>
      </c>
      <c r="F65" s="12"/>
      <c r="G65" s="110" t="s">
        <v>145</v>
      </c>
      <c r="H65" s="76">
        <v>0</v>
      </c>
      <c r="I65" s="76">
        <v>0</v>
      </c>
      <c r="J65" s="76">
        <v>0</v>
      </c>
      <c r="K65" s="76">
        <v>0</v>
      </c>
      <c r="L65" s="76">
        <v>0</v>
      </c>
      <c r="M65" s="76">
        <v>0</v>
      </c>
      <c r="N65" s="76">
        <v>0</v>
      </c>
      <c r="O65" s="76">
        <v>0</v>
      </c>
      <c r="P65" s="76">
        <v>0</v>
      </c>
      <c r="Q65" s="76">
        <v>0</v>
      </c>
      <c r="R65" s="76">
        <v>0</v>
      </c>
      <c r="S65" s="76">
        <v>0</v>
      </c>
    </row>
    <row r="66" spans="2:19" ht="12" x14ac:dyDescent="0.2">
      <c r="B66" s="31" t="s">
        <v>146</v>
      </c>
      <c r="C66" s="8" t="s">
        <v>493</v>
      </c>
      <c r="D66" s="34" t="s">
        <v>131</v>
      </c>
      <c r="E66" s="11" t="s">
        <v>11</v>
      </c>
      <c r="F66" s="12"/>
      <c r="G66" s="110" t="s">
        <v>147</v>
      </c>
      <c r="H66" s="76">
        <v>0</v>
      </c>
      <c r="I66" s="76">
        <v>0</v>
      </c>
      <c r="J66" s="76">
        <v>0</v>
      </c>
      <c r="K66" s="76">
        <v>0</v>
      </c>
      <c r="L66" s="76">
        <v>0</v>
      </c>
      <c r="M66" s="76">
        <v>0</v>
      </c>
      <c r="N66" s="76">
        <v>0</v>
      </c>
      <c r="O66" s="76">
        <v>0</v>
      </c>
      <c r="P66" s="76">
        <v>0</v>
      </c>
      <c r="Q66" s="76">
        <v>0</v>
      </c>
      <c r="R66" s="76">
        <v>0</v>
      </c>
      <c r="S66" s="76">
        <v>0</v>
      </c>
    </row>
    <row r="67" spans="2:19" ht="12" x14ac:dyDescent="0.2">
      <c r="B67" s="31" t="s">
        <v>148</v>
      </c>
      <c r="C67" s="8" t="s">
        <v>149</v>
      </c>
      <c r="D67" s="34" t="s">
        <v>135</v>
      </c>
      <c r="E67" s="11" t="s">
        <v>89</v>
      </c>
      <c r="F67" s="12"/>
      <c r="G67" s="110" t="s">
        <v>150</v>
      </c>
      <c r="H67" s="76">
        <v>0</v>
      </c>
      <c r="I67" s="76">
        <v>0</v>
      </c>
      <c r="J67" s="76">
        <v>0</v>
      </c>
      <c r="K67" s="76">
        <v>0</v>
      </c>
      <c r="L67" s="76">
        <v>0</v>
      </c>
      <c r="M67" s="76">
        <v>0</v>
      </c>
      <c r="N67" s="76">
        <v>0</v>
      </c>
      <c r="O67" s="76">
        <v>0</v>
      </c>
      <c r="P67" s="76">
        <v>0</v>
      </c>
      <c r="Q67" s="76">
        <v>0</v>
      </c>
      <c r="R67" s="76">
        <v>0</v>
      </c>
      <c r="S67" s="76">
        <v>0</v>
      </c>
    </row>
    <row r="68" spans="2:19" ht="12" x14ac:dyDescent="0.2">
      <c r="B68" s="31" t="s">
        <v>151</v>
      </c>
      <c r="C68" s="8" t="s">
        <v>149</v>
      </c>
      <c r="D68" s="34" t="s">
        <v>131</v>
      </c>
      <c r="E68" s="11" t="s">
        <v>11</v>
      </c>
      <c r="F68" s="12"/>
      <c r="G68" s="110" t="s">
        <v>152</v>
      </c>
      <c r="H68" s="76">
        <v>0</v>
      </c>
      <c r="I68" s="76">
        <v>0</v>
      </c>
      <c r="J68" s="76">
        <v>0</v>
      </c>
      <c r="K68" s="76">
        <v>0</v>
      </c>
      <c r="L68" s="76">
        <v>0</v>
      </c>
      <c r="M68" s="76">
        <v>0</v>
      </c>
      <c r="N68" s="76">
        <v>0</v>
      </c>
      <c r="O68" s="76">
        <v>0</v>
      </c>
      <c r="P68" s="76">
        <v>0</v>
      </c>
      <c r="Q68" s="76">
        <v>0</v>
      </c>
      <c r="R68" s="76">
        <v>0</v>
      </c>
      <c r="S68" s="76">
        <v>0</v>
      </c>
    </row>
    <row r="69" spans="2:19" ht="12" x14ac:dyDescent="0.2">
      <c r="B69" s="31" t="s">
        <v>153</v>
      </c>
      <c r="C69" s="34" t="s">
        <v>142</v>
      </c>
      <c r="D69" s="34" t="s">
        <v>131</v>
      </c>
      <c r="E69" s="11" t="s">
        <v>11</v>
      </c>
      <c r="F69" s="12"/>
      <c r="G69" s="110" t="s">
        <v>154</v>
      </c>
      <c r="H69" s="76">
        <v>0</v>
      </c>
      <c r="I69" s="76">
        <v>0</v>
      </c>
      <c r="J69" s="76">
        <v>0</v>
      </c>
      <c r="K69" s="76">
        <v>0</v>
      </c>
      <c r="L69" s="76">
        <v>0</v>
      </c>
      <c r="M69" s="76">
        <v>0</v>
      </c>
      <c r="N69" s="76">
        <v>0</v>
      </c>
      <c r="O69" s="76">
        <v>0</v>
      </c>
      <c r="P69" s="76">
        <v>0</v>
      </c>
      <c r="Q69" s="76">
        <v>0</v>
      </c>
      <c r="R69" s="76">
        <v>0</v>
      </c>
      <c r="S69" s="76">
        <v>0</v>
      </c>
    </row>
    <row r="70" spans="2:19" ht="12" x14ac:dyDescent="0.2">
      <c r="B70" s="31" t="s">
        <v>155</v>
      </c>
      <c r="C70" s="35" t="s">
        <v>156</v>
      </c>
      <c r="D70" s="8"/>
      <c r="E70" s="11" t="s">
        <v>72</v>
      </c>
      <c r="F70" s="12"/>
      <c r="G70" s="110" t="s">
        <v>107</v>
      </c>
      <c r="H70" s="76">
        <v>0</v>
      </c>
      <c r="I70" s="76">
        <v>0</v>
      </c>
      <c r="J70" s="76">
        <v>0</v>
      </c>
      <c r="K70" s="76">
        <v>0</v>
      </c>
      <c r="L70" s="76">
        <v>0</v>
      </c>
      <c r="M70" s="76">
        <v>0</v>
      </c>
      <c r="N70" s="76">
        <v>0</v>
      </c>
      <c r="O70" s="76">
        <v>0</v>
      </c>
      <c r="P70" s="76">
        <v>0</v>
      </c>
      <c r="Q70" s="76">
        <v>0</v>
      </c>
      <c r="R70" s="76">
        <v>0</v>
      </c>
      <c r="S70" s="76">
        <v>0</v>
      </c>
    </row>
    <row r="71" spans="2:19" x14ac:dyDescent="0.2">
      <c r="B71" s="31" t="s">
        <v>157</v>
      </c>
      <c r="D71" s="8"/>
      <c r="E71" s="12"/>
      <c r="F71" s="12"/>
      <c r="G71" s="100" t="s">
        <v>158</v>
      </c>
      <c r="H71" s="77">
        <f t="shared" ref="H71:R71" si="16">SUM(H58:H70)</f>
        <v>0</v>
      </c>
      <c r="I71" s="77">
        <f t="shared" si="16"/>
        <v>0</v>
      </c>
      <c r="J71" s="77">
        <f t="shared" si="16"/>
        <v>0</v>
      </c>
      <c r="K71" s="77">
        <f t="shared" si="16"/>
        <v>0</v>
      </c>
      <c r="L71" s="77">
        <f t="shared" si="16"/>
        <v>0</v>
      </c>
      <c r="M71" s="77">
        <f t="shared" si="16"/>
        <v>-6.25</v>
      </c>
      <c r="N71" s="77">
        <f t="shared" si="16"/>
        <v>0</v>
      </c>
      <c r="O71" s="77">
        <f t="shared" si="16"/>
        <v>0</v>
      </c>
      <c r="P71" s="77">
        <f t="shared" si="16"/>
        <v>0</v>
      </c>
      <c r="Q71" s="77">
        <f t="shared" si="16"/>
        <v>0</v>
      </c>
      <c r="R71" s="77">
        <f t="shared" si="16"/>
        <v>0</v>
      </c>
      <c r="S71" s="77">
        <f>SUM(S58:S70)</f>
        <v>0</v>
      </c>
    </row>
    <row r="72" spans="2:19" x14ac:dyDescent="0.2">
      <c r="D72" s="8"/>
    </row>
    <row r="73" spans="2:19" x14ac:dyDescent="0.2">
      <c r="D73" s="29" t="s">
        <v>120</v>
      </c>
      <c r="E73" s="30" t="s">
        <v>3</v>
      </c>
      <c r="F73" s="9"/>
      <c r="G73" s="94" t="s">
        <v>159</v>
      </c>
      <c r="H73" s="87">
        <f t="shared" ref="H73:R73" si="17">H57</f>
        <v>2011</v>
      </c>
      <c r="I73" s="87">
        <f t="shared" si="17"/>
        <v>2012</v>
      </c>
      <c r="J73" s="87">
        <f t="shared" si="17"/>
        <v>2013</v>
      </c>
      <c r="K73" s="87">
        <f t="shared" si="17"/>
        <v>2014</v>
      </c>
      <c r="L73" s="87">
        <f t="shared" si="17"/>
        <v>2015</v>
      </c>
      <c r="M73" s="87">
        <f t="shared" si="17"/>
        <v>2016</v>
      </c>
      <c r="N73" s="87">
        <f t="shared" si="17"/>
        <v>2017</v>
      </c>
      <c r="O73" s="87">
        <f t="shared" si="17"/>
        <v>2018</v>
      </c>
      <c r="P73" s="87">
        <f t="shared" si="17"/>
        <v>2019</v>
      </c>
      <c r="Q73" s="87">
        <f t="shared" si="17"/>
        <v>2020</v>
      </c>
      <c r="R73" s="87">
        <f t="shared" si="17"/>
        <v>2021</v>
      </c>
      <c r="S73" s="87">
        <f>S57</f>
        <v>2022</v>
      </c>
    </row>
    <row r="74" spans="2:19" ht="12" x14ac:dyDescent="0.2">
      <c r="B74" s="2" t="s">
        <v>160</v>
      </c>
      <c r="C74" s="34" t="s">
        <v>161</v>
      </c>
      <c r="D74" s="34" t="s">
        <v>128</v>
      </c>
      <c r="E74" s="11" t="s">
        <v>11</v>
      </c>
      <c r="G74" s="103" t="s">
        <v>162</v>
      </c>
      <c r="H74" s="76">
        <v>0</v>
      </c>
      <c r="I74" s="76">
        <v>0</v>
      </c>
      <c r="J74" s="76">
        <v>0</v>
      </c>
      <c r="K74" s="76">
        <v>0</v>
      </c>
      <c r="L74" s="76">
        <v>0</v>
      </c>
      <c r="M74" s="76">
        <v>0</v>
      </c>
      <c r="N74" s="76">
        <v>0</v>
      </c>
      <c r="O74" s="76">
        <v>0</v>
      </c>
      <c r="P74" s="76">
        <v>0</v>
      </c>
      <c r="Q74" s="76">
        <v>0</v>
      </c>
      <c r="R74" s="76">
        <v>0</v>
      </c>
      <c r="S74" s="76">
        <v>0</v>
      </c>
    </row>
    <row r="75" spans="2:19" ht="12" x14ac:dyDescent="0.2">
      <c r="B75" s="2" t="s">
        <v>163</v>
      </c>
      <c r="C75" s="34" t="s">
        <v>161</v>
      </c>
      <c r="D75" s="34" t="s">
        <v>124</v>
      </c>
      <c r="E75" s="11" t="s">
        <v>89</v>
      </c>
      <c r="F75" s="12"/>
      <c r="G75" s="110" t="s">
        <v>164</v>
      </c>
      <c r="H75" s="76">
        <v>0</v>
      </c>
      <c r="I75" s="76">
        <v>0</v>
      </c>
      <c r="J75" s="76">
        <v>0</v>
      </c>
      <c r="K75" s="76">
        <v>0</v>
      </c>
      <c r="L75" s="76">
        <v>0</v>
      </c>
      <c r="M75" s="76">
        <v>0</v>
      </c>
      <c r="N75" s="76">
        <v>0</v>
      </c>
      <c r="O75" s="76">
        <v>0</v>
      </c>
      <c r="P75" s="76">
        <v>0</v>
      </c>
      <c r="Q75" s="76">
        <v>0</v>
      </c>
      <c r="R75" s="76">
        <v>0</v>
      </c>
      <c r="S75" s="76">
        <v>0</v>
      </c>
    </row>
    <row r="76" spans="2:19" ht="12" x14ac:dyDescent="0.2">
      <c r="B76" s="2" t="s">
        <v>165</v>
      </c>
      <c r="C76" s="34" t="s">
        <v>166</v>
      </c>
      <c r="D76" s="34" t="s">
        <v>131</v>
      </c>
      <c r="E76" s="11" t="s">
        <v>11</v>
      </c>
      <c r="G76" s="110" t="s">
        <v>167</v>
      </c>
      <c r="H76" s="76">
        <v>0</v>
      </c>
      <c r="I76" s="76">
        <v>0</v>
      </c>
      <c r="J76" s="76">
        <v>0</v>
      </c>
      <c r="K76" s="76">
        <v>0</v>
      </c>
      <c r="L76" s="76">
        <v>0</v>
      </c>
      <c r="M76" s="76">
        <v>0</v>
      </c>
      <c r="N76" s="76">
        <v>0</v>
      </c>
      <c r="O76" s="76">
        <v>0</v>
      </c>
      <c r="P76" s="76">
        <v>0</v>
      </c>
      <c r="Q76" s="76">
        <v>0</v>
      </c>
      <c r="R76" s="76">
        <v>0</v>
      </c>
      <c r="S76" s="76">
        <v>0</v>
      </c>
    </row>
    <row r="77" spans="2:19" ht="12" x14ac:dyDescent="0.2">
      <c r="B77" s="2" t="s">
        <v>168</v>
      </c>
      <c r="C77" s="34" t="s">
        <v>166</v>
      </c>
      <c r="D77" s="34" t="s">
        <v>135</v>
      </c>
      <c r="E77" s="11" t="s">
        <v>89</v>
      </c>
      <c r="F77" s="12"/>
      <c r="G77" s="110" t="s">
        <v>169</v>
      </c>
      <c r="H77" s="76">
        <v>0</v>
      </c>
      <c r="I77" s="76">
        <v>0</v>
      </c>
      <c r="J77" s="76">
        <v>0</v>
      </c>
      <c r="K77" s="76">
        <v>0</v>
      </c>
      <c r="L77" s="76">
        <v>0</v>
      </c>
      <c r="M77" s="76">
        <v>0</v>
      </c>
      <c r="N77" s="76">
        <v>0</v>
      </c>
      <c r="O77" s="76">
        <v>0</v>
      </c>
      <c r="P77" s="76">
        <v>0</v>
      </c>
      <c r="Q77" s="76">
        <v>0</v>
      </c>
      <c r="R77" s="76">
        <v>0</v>
      </c>
      <c r="S77" s="76">
        <v>0</v>
      </c>
    </row>
    <row r="78" spans="2:19" ht="12" x14ac:dyDescent="0.2">
      <c r="B78" s="2" t="s">
        <v>170</v>
      </c>
      <c r="C78" s="34" t="s">
        <v>171</v>
      </c>
      <c r="D78" s="34" t="s">
        <v>135</v>
      </c>
      <c r="E78" s="11" t="s">
        <v>89</v>
      </c>
      <c r="F78" s="12"/>
      <c r="G78" s="110" t="s">
        <v>172</v>
      </c>
      <c r="H78" s="76">
        <v>0</v>
      </c>
      <c r="I78" s="76">
        <v>0</v>
      </c>
      <c r="J78" s="76">
        <v>0</v>
      </c>
      <c r="K78" s="76">
        <v>0</v>
      </c>
      <c r="L78" s="76">
        <v>0</v>
      </c>
      <c r="M78" s="76">
        <v>0</v>
      </c>
      <c r="N78" s="76">
        <v>0</v>
      </c>
      <c r="O78" s="76">
        <v>0</v>
      </c>
      <c r="P78" s="76">
        <v>0</v>
      </c>
      <c r="Q78" s="76">
        <v>0</v>
      </c>
      <c r="R78" s="76">
        <v>0</v>
      </c>
      <c r="S78" s="76">
        <v>0</v>
      </c>
    </row>
    <row r="79" spans="2:19" ht="12" x14ac:dyDescent="0.2">
      <c r="B79" s="2" t="s">
        <v>173</v>
      </c>
      <c r="C79" s="34" t="s">
        <v>174</v>
      </c>
      <c r="D79" s="34" t="s">
        <v>135</v>
      </c>
      <c r="E79" s="11" t="s">
        <v>89</v>
      </c>
      <c r="F79" s="12"/>
      <c r="G79" s="110" t="s">
        <v>175</v>
      </c>
      <c r="H79" s="76">
        <v>0</v>
      </c>
      <c r="I79" s="76">
        <v>0</v>
      </c>
      <c r="J79" s="76">
        <v>0</v>
      </c>
      <c r="K79" s="76">
        <v>0</v>
      </c>
      <c r="L79" s="76">
        <v>0</v>
      </c>
      <c r="M79" s="76">
        <v>0</v>
      </c>
      <c r="N79" s="76">
        <v>0</v>
      </c>
      <c r="O79" s="76">
        <v>0</v>
      </c>
      <c r="P79" s="76">
        <v>0</v>
      </c>
      <c r="Q79" s="76">
        <v>0</v>
      </c>
      <c r="R79" s="76">
        <v>0</v>
      </c>
      <c r="S79" s="76">
        <v>0</v>
      </c>
    </row>
    <row r="80" spans="2:19" ht="12" x14ac:dyDescent="0.2">
      <c r="B80" s="2" t="s">
        <v>176</v>
      </c>
      <c r="C80" s="34" t="s">
        <v>177</v>
      </c>
      <c r="D80" s="34" t="s">
        <v>135</v>
      </c>
      <c r="E80" s="11" t="s">
        <v>89</v>
      </c>
      <c r="F80" s="12"/>
      <c r="G80" s="110" t="s">
        <v>178</v>
      </c>
      <c r="H80" s="76">
        <v>0</v>
      </c>
      <c r="I80" s="76">
        <v>0</v>
      </c>
      <c r="J80" s="76">
        <v>0</v>
      </c>
      <c r="K80" s="76">
        <v>0</v>
      </c>
      <c r="L80" s="76">
        <v>0</v>
      </c>
      <c r="M80" s="76">
        <v>0</v>
      </c>
      <c r="N80" s="76">
        <v>0</v>
      </c>
      <c r="O80" s="76">
        <v>0</v>
      </c>
      <c r="P80" s="76">
        <v>0</v>
      </c>
      <c r="Q80" s="76">
        <v>0</v>
      </c>
      <c r="R80" s="76">
        <v>0</v>
      </c>
      <c r="S80" s="76">
        <v>0</v>
      </c>
    </row>
    <row r="81" spans="1:19" ht="12" x14ac:dyDescent="0.2">
      <c r="B81" s="2" t="s">
        <v>179</v>
      </c>
      <c r="C81" s="34" t="s">
        <v>52</v>
      </c>
      <c r="D81" s="34" t="s">
        <v>135</v>
      </c>
      <c r="E81" s="11" t="s">
        <v>89</v>
      </c>
      <c r="F81" s="12"/>
      <c r="G81" s="110" t="s">
        <v>180</v>
      </c>
      <c r="H81" s="76">
        <v>0</v>
      </c>
      <c r="I81" s="76">
        <v>0</v>
      </c>
      <c r="J81" s="76">
        <v>0</v>
      </c>
      <c r="K81" s="76">
        <v>0</v>
      </c>
      <c r="L81" s="76">
        <v>0</v>
      </c>
      <c r="M81" s="76">
        <v>0</v>
      </c>
      <c r="N81" s="76">
        <v>0</v>
      </c>
      <c r="O81" s="76">
        <v>0</v>
      </c>
      <c r="P81" s="76">
        <v>0</v>
      </c>
      <c r="Q81" s="76">
        <v>0</v>
      </c>
      <c r="R81" s="76">
        <v>0</v>
      </c>
      <c r="S81" s="76">
        <v>0</v>
      </c>
    </row>
    <row r="82" spans="1:19" ht="12" x14ac:dyDescent="0.2">
      <c r="B82" s="2" t="s">
        <v>181</v>
      </c>
      <c r="C82" s="34" t="s">
        <v>182</v>
      </c>
      <c r="D82" s="34" t="s">
        <v>131</v>
      </c>
      <c r="E82" s="11" t="s">
        <v>11</v>
      </c>
      <c r="G82" s="110" t="s">
        <v>183</v>
      </c>
      <c r="H82" s="76">
        <v>0</v>
      </c>
      <c r="I82" s="76">
        <v>0</v>
      </c>
      <c r="J82" s="76">
        <v>0</v>
      </c>
      <c r="K82" s="76">
        <v>0</v>
      </c>
      <c r="L82" s="76">
        <v>0</v>
      </c>
      <c r="M82" s="76">
        <v>40.308999999999997</v>
      </c>
      <c r="N82" s="76">
        <v>0</v>
      </c>
      <c r="O82" s="76">
        <v>0</v>
      </c>
      <c r="P82" s="76">
        <v>0</v>
      </c>
      <c r="Q82" s="76">
        <v>0</v>
      </c>
      <c r="R82" s="76">
        <v>0</v>
      </c>
      <c r="S82" s="76">
        <v>0</v>
      </c>
    </row>
    <row r="83" spans="1:19" ht="12" x14ac:dyDescent="0.2">
      <c r="B83" s="2" t="s">
        <v>184</v>
      </c>
      <c r="C83" s="34" t="s">
        <v>182</v>
      </c>
      <c r="D83" s="34" t="s">
        <v>135</v>
      </c>
      <c r="E83" s="11" t="s">
        <v>89</v>
      </c>
      <c r="F83" s="12"/>
      <c r="G83" s="110" t="s">
        <v>494</v>
      </c>
      <c r="H83" s="76">
        <v>0</v>
      </c>
      <c r="I83" s="76">
        <v>0</v>
      </c>
      <c r="J83" s="76">
        <v>0</v>
      </c>
      <c r="K83" s="76">
        <v>0</v>
      </c>
      <c r="L83" s="76">
        <v>0</v>
      </c>
      <c r="M83" s="76">
        <v>0</v>
      </c>
      <c r="N83" s="76">
        <v>0</v>
      </c>
      <c r="O83" s="76">
        <v>0</v>
      </c>
      <c r="P83" s="76">
        <v>0</v>
      </c>
      <c r="Q83" s="76">
        <v>0</v>
      </c>
      <c r="R83" s="76">
        <v>0</v>
      </c>
      <c r="S83" s="76">
        <v>0</v>
      </c>
    </row>
    <row r="84" spans="1:19" ht="12" x14ac:dyDescent="0.2">
      <c r="B84" s="2" t="s">
        <v>185</v>
      </c>
      <c r="C84" s="36">
        <v>68</v>
      </c>
      <c r="D84" s="34" t="s">
        <v>135</v>
      </c>
      <c r="E84" s="11" t="s">
        <v>89</v>
      </c>
      <c r="F84" s="12"/>
      <c r="G84" s="46" t="s">
        <v>111</v>
      </c>
      <c r="H84" s="76">
        <v>0</v>
      </c>
      <c r="I84" s="76">
        <v>0</v>
      </c>
      <c r="J84" s="76">
        <v>0</v>
      </c>
      <c r="K84" s="76">
        <v>0</v>
      </c>
      <c r="L84" s="76">
        <v>0</v>
      </c>
      <c r="M84" s="76">
        <v>0</v>
      </c>
      <c r="N84" s="76">
        <v>0</v>
      </c>
      <c r="O84" s="76">
        <v>0</v>
      </c>
      <c r="P84" s="76">
        <v>0</v>
      </c>
      <c r="Q84" s="76">
        <v>0</v>
      </c>
      <c r="R84" s="76">
        <v>0</v>
      </c>
      <c r="S84" s="76">
        <v>0</v>
      </c>
    </row>
    <row r="85" spans="1:19" x14ac:dyDescent="0.2">
      <c r="B85" s="2" t="s">
        <v>186</v>
      </c>
      <c r="G85" s="46" t="s">
        <v>158</v>
      </c>
      <c r="H85" s="77">
        <f t="shared" ref="H85:R85" si="18">SUM(H74:H84)</f>
        <v>0</v>
      </c>
      <c r="I85" s="77">
        <f t="shared" si="18"/>
        <v>0</v>
      </c>
      <c r="J85" s="77">
        <f t="shared" si="18"/>
        <v>0</v>
      </c>
      <c r="K85" s="77">
        <f t="shared" si="18"/>
        <v>0</v>
      </c>
      <c r="L85" s="77">
        <f t="shared" si="18"/>
        <v>0</v>
      </c>
      <c r="M85" s="77">
        <f t="shared" si="18"/>
        <v>40.308999999999997</v>
      </c>
      <c r="N85" s="77">
        <f t="shared" si="18"/>
        <v>0</v>
      </c>
      <c r="O85" s="77">
        <f t="shared" si="18"/>
        <v>0</v>
      </c>
      <c r="P85" s="77">
        <f t="shared" si="18"/>
        <v>0</v>
      </c>
      <c r="Q85" s="77">
        <f t="shared" si="18"/>
        <v>0</v>
      </c>
      <c r="R85" s="77">
        <f t="shared" si="18"/>
        <v>0</v>
      </c>
      <c r="S85" s="77">
        <f>SUM(S74:S84)</f>
        <v>0</v>
      </c>
    </row>
    <row r="87" spans="1:19" x14ac:dyDescent="0.2">
      <c r="A87" s="13" t="s">
        <v>0</v>
      </c>
      <c r="D87" s="753" t="s">
        <v>187</v>
      </c>
      <c r="E87" s="754"/>
      <c r="G87" s="94" t="s">
        <v>495</v>
      </c>
      <c r="H87" s="87">
        <f t="shared" ref="H87:R87" si="19">H32</f>
        <v>2011</v>
      </c>
      <c r="I87" s="87">
        <f t="shared" si="19"/>
        <v>2012</v>
      </c>
      <c r="J87" s="87">
        <f t="shared" si="19"/>
        <v>2013</v>
      </c>
      <c r="K87" s="87">
        <f t="shared" si="19"/>
        <v>2014</v>
      </c>
      <c r="L87" s="87">
        <f t="shared" si="19"/>
        <v>2015</v>
      </c>
      <c r="M87" s="87">
        <f t="shared" si="19"/>
        <v>2016</v>
      </c>
      <c r="N87" s="87">
        <f t="shared" si="19"/>
        <v>2017</v>
      </c>
      <c r="O87" s="87">
        <f t="shared" si="19"/>
        <v>2018</v>
      </c>
      <c r="P87" s="87">
        <f t="shared" si="19"/>
        <v>2019</v>
      </c>
      <c r="Q87" s="87">
        <f t="shared" si="19"/>
        <v>2020</v>
      </c>
      <c r="R87" s="87">
        <f t="shared" si="19"/>
        <v>2021</v>
      </c>
      <c r="S87" s="87">
        <f>S32</f>
        <v>2022</v>
      </c>
    </row>
    <row r="88" spans="1:19" x14ac:dyDescent="0.2">
      <c r="A88" s="8" t="s">
        <v>496</v>
      </c>
      <c r="B88" s="2" t="s">
        <v>188</v>
      </c>
      <c r="C88" s="8" t="s">
        <v>497</v>
      </c>
      <c r="E88" s="109"/>
      <c r="G88" s="103" t="s">
        <v>498</v>
      </c>
      <c r="H88" s="77">
        <f>H46+H71</f>
        <v>0</v>
      </c>
      <c r="I88" s="77">
        <f t="shared" ref="I88:R88" si="20">I46+I71</f>
        <v>0</v>
      </c>
      <c r="J88" s="77">
        <f t="shared" si="20"/>
        <v>0</v>
      </c>
      <c r="K88" s="77">
        <f t="shared" si="20"/>
        <v>0</v>
      </c>
      <c r="L88" s="77">
        <f t="shared" si="20"/>
        <v>0</v>
      </c>
      <c r="M88" s="77">
        <f t="shared" si="20"/>
        <v>42.423000000000059</v>
      </c>
      <c r="N88" s="77">
        <f t="shared" si="20"/>
        <v>-11.145999999999958</v>
      </c>
      <c r="O88" s="77">
        <f t="shared" si="20"/>
        <v>1</v>
      </c>
      <c r="P88" s="77">
        <f t="shared" si="20"/>
        <v>0</v>
      </c>
      <c r="Q88" s="77">
        <f t="shared" si="20"/>
        <v>12</v>
      </c>
      <c r="R88" s="77">
        <f t="shared" si="20"/>
        <v>12</v>
      </c>
      <c r="S88" s="77">
        <f>S46+S71</f>
        <v>6</v>
      </c>
    </row>
    <row r="89" spans="1:19" x14ac:dyDescent="0.2">
      <c r="A89" s="8" t="s">
        <v>499</v>
      </c>
      <c r="B89" s="2" t="s">
        <v>189</v>
      </c>
      <c r="C89" s="34" t="s">
        <v>190</v>
      </c>
      <c r="E89" s="109"/>
      <c r="G89" s="103" t="s">
        <v>191</v>
      </c>
      <c r="H89" s="105">
        <f t="shared" ref="H89:R89" si="21">H33+H38+H41-H45</f>
        <v>0</v>
      </c>
      <c r="I89" s="77">
        <f t="shared" si="21"/>
        <v>0</v>
      </c>
      <c r="J89" s="77">
        <f t="shared" si="21"/>
        <v>0</v>
      </c>
      <c r="K89" s="77">
        <f t="shared" si="21"/>
        <v>0</v>
      </c>
      <c r="L89" s="77">
        <f t="shared" si="21"/>
        <v>0</v>
      </c>
      <c r="M89" s="77">
        <f t="shared" si="21"/>
        <v>52.46500000000006</v>
      </c>
      <c r="N89" s="77">
        <f t="shared" si="21"/>
        <v>-1.0439999999999579</v>
      </c>
      <c r="O89" s="77">
        <f t="shared" si="21"/>
        <v>11</v>
      </c>
      <c r="P89" s="77">
        <f t="shared" si="21"/>
        <v>10</v>
      </c>
      <c r="Q89" s="77">
        <f t="shared" si="21"/>
        <v>22</v>
      </c>
      <c r="R89" s="77">
        <f t="shared" si="21"/>
        <v>22</v>
      </c>
      <c r="S89" s="77">
        <f>S33+S38+S41-S45</f>
        <v>10</v>
      </c>
    </row>
    <row r="90" spans="1:19" x14ac:dyDescent="0.2">
      <c r="A90" s="8" t="s">
        <v>500</v>
      </c>
      <c r="B90" s="2" t="s">
        <v>192</v>
      </c>
      <c r="C90" s="8" t="s">
        <v>501</v>
      </c>
      <c r="E90" s="106">
        <v>0</v>
      </c>
      <c r="G90" s="46" t="s">
        <v>193</v>
      </c>
      <c r="H90" s="107" t="e">
        <f t="shared" ref="H90:R90" si="22">H89/H33</f>
        <v>#DIV/0!</v>
      </c>
      <c r="I90" s="108" t="e">
        <f t="shared" si="22"/>
        <v>#DIV/0!</v>
      </c>
      <c r="J90" s="108" t="e">
        <f t="shared" si="22"/>
        <v>#DIV/0!</v>
      </c>
      <c r="K90" s="108" t="e">
        <f t="shared" si="22"/>
        <v>#DIV/0!</v>
      </c>
      <c r="L90" s="108" t="e">
        <f t="shared" si="22"/>
        <v>#DIV/0!</v>
      </c>
      <c r="M90" s="108">
        <f t="shared" si="22"/>
        <v>0.14077081175643569</v>
      </c>
      <c r="N90" s="108">
        <f t="shared" si="22"/>
        <v>-1.3223592713343894E-3</v>
      </c>
      <c r="O90" s="108">
        <f t="shared" si="22"/>
        <v>1.2987012987012988E-2</v>
      </c>
      <c r="P90" s="108">
        <f t="shared" si="22"/>
        <v>1.1820330969267139E-2</v>
      </c>
      <c r="Q90" s="108">
        <f t="shared" si="22"/>
        <v>2.5000000000000001E-2</v>
      </c>
      <c r="R90" s="108">
        <f t="shared" si="22"/>
        <v>2.4719101123595506E-2</v>
      </c>
      <c r="S90" s="108">
        <f>S89/S33</f>
        <v>1.1111111111111112E-2</v>
      </c>
    </row>
    <row r="91" spans="1:19" x14ac:dyDescent="0.2">
      <c r="A91" s="8" t="s">
        <v>502</v>
      </c>
      <c r="B91" s="2" t="s">
        <v>194</v>
      </c>
      <c r="C91" s="34" t="s">
        <v>195</v>
      </c>
      <c r="E91" s="109"/>
      <c r="G91" s="110" t="s">
        <v>196</v>
      </c>
      <c r="H91" s="111" t="e">
        <f t="shared" ref="H91:R91" si="23">-H33/(H38+H41)</f>
        <v>#DIV/0!</v>
      </c>
      <c r="I91" s="111" t="e">
        <f t="shared" si="23"/>
        <v>#DIV/0!</v>
      </c>
      <c r="J91" s="111" t="e">
        <f t="shared" si="23"/>
        <v>#DIV/0!</v>
      </c>
      <c r="K91" s="111" t="e">
        <f t="shared" si="23"/>
        <v>#DIV/0!</v>
      </c>
      <c r="L91" s="111" t="e">
        <f t="shared" si="23"/>
        <v>#DIV/0!</v>
      </c>
      <c r="M91" s="111">
        <f t="shared" si="23"/>
        <v>1.1502137180773091</v>
      </c>
      <c r="N91" s="111">
        <f t="shared" si="23"/>
        <v>0.98607870664115393</v>
      </c>
      <c r="O91" s="111">
        <f t="shared" si="23"/>
        <v>1.0011820330969268</v>
      </c>
      <c r="P91" s="111">
        <f t="shared" si="23"/>
        <v>1</v>
      </c>
      <c r="Q91" s="111">
        <f t="shared" si="23"/>
        <v>1.0138248847926268</v>
      </c>
      <c r="R91" s="111">
        <f t="shared" si="23"/>
        <v>1.0136674259681093</v>
      </c>
      <c r="S91" s="111">
        <f>-S33/(S38+S41)</f>
        <v>1.0067114093959733</v>
      </c>
    </row>
    <row r="92" spans="1:19" x14ac:dyDescent="0.2">
      <c r="A92" s="8" t="s">
        <v>503</v>
      </c>
      <c r="B92" s="2" t="s">
        <v>197</v>
      </c>
      <c r="C92" s="8" t="s">
        <v>198</v>
      </c>
      <c r="E92" s="109"/>
      <c r="G92" s="103" t="s">
        <v>199</v>
      </c>
      <c r="H92" s="105">
        <f>H46</f>
        <v>0</v>
      </c>
      <c r="I92" s="105">
        <f t="shared" ref="I92:R92" si="24">I46</f>
        <v>0</v>
      </c>
      <c r="J92" s="105">
        <f t="shared" si="24"/>
        <v>0</v>
      </c>
      <c r="K92" s="105">
        <f t="shared" si="24"/>
        <v>0</v>
      </c>
      <c r="L92" s="105">
        <f t="shared" si="24"/>
        <v>0</v>
      </c>
      <c r="M92" s="105">
        <f t="shared" si="24"/>
        <v>48.673000000000059</v>
      </c>
      <c r="N92" s="105">
        <f t="shared" si="24"/>
        <v>-11.145999999999958</v>
      </c>
      <c r="O92" s="105">
        <f t="shared" si="24"/>
        <v>1</v>
      </c>
      <c r="P92" s="105">
        <f t="shared" si="24"/>
        <v>0</v>
      </c>
      <c r="Q92" s="105">
        <f t="shared" si="24"/>
        <v>12</v>
      </c>
      <c r="R92" s="105">
        <f t="shared" si="24"/>
        <v>12</v>
      </c>
      <c r="S92" s="105">
        <f>S46</f>
        <v>6</v>
      </c>
    </row>
    <row r="93" spans="1:19" x14ac:dyDescent="0.2">
      <c r="A93" s="8" t="s">
        <v>504</v>
      </c>
      <c r="B93" s="2" t="s">
        <v>200</v>
      </c>
      <c r="C93" s="8" t="s">
        <v>201</v>
      </c>
      <c r="D93" s="106">
        <v>-0.3</v>
      </c>
      <c r="E93" s="106">
        <v>0</v>
      </c>
      <c r="G93" s="110" t="s">
        <v>202</v>
      </c>
      <c r="H93" s="112" t="e">
        <f>H46/H33</f>
        <v>#DIV/0!</v>
      </c>
      <c r="I93" s="113" t="e">
        <f t="shared" ref="I93:R93" si="25">I46/I33</f>
        <v>#DIV/0!</v>
      </c>
      <c r="J93" s="113" t="e">
        <f t="shared" si="25"/>
        <v>#DIV/0!</v>
      </c>
      <c r="K93" s="113" t="e">
        <f t="shared" si="25"/>
        <v>#DIV/0!</v>
      </c>
      <c r="L93" s="113" t="e">
        <f t="shared" si="25"/>
        <v>#DIV/0!</v>
      </c>
      <c r="M93" s="113">
        <f t="shared" si="25"/>
        <v>0.13059635415269216</v>
      </c>
      <c r="N93" s="113">
        <f t="shared" si="25"/>
        <v>-1.411783183744602E-2</v>
      </c>
      <c r="O93" s="113">
        <f t="shared" si="25"/>
        <v>1.1806375442739079E-3</v>
      </c>
      <c r="P93" s="113">
        <f t="shared" si="25"/>
        <v>0</v>
      </c>
      <c r="Q93" s="113">
        <f t="shared" si="25"/>
        <v>1.3636363636363636E-2</v>
      </c>
      <c r="R93" s="113">
        <f t="shared" si="25"/>
        <v>1.3483146067415731E-2</v>
      </c>
      <c r="S93" s="113">
        <f>S46/S33</f>
        <v>6.6666666666666671E-3</v>
      </c>
    </row>
    <row r="94" spans="1:19" x14ac:dyDescent="0.2">
      <c r="A94" s="8" t="s">
        <v>505</v>
      </c>
      <c r="B94" s="2" t="s">
        <v>203</v>
      </c>
      <c r="C94" s="8" t="s">
        <v>204</v>
      </c>
      <c r="E94" s="109"/>
      <c r="G94" s="46" t="s">
        <v>205</v>
      </c>
      <c r="H94" s="105">
        <f>H29+H30</f>
        <v>0</v>
      </c>
      <c r="I94" s="105">
        <f t="shared" ref="I94:R94" si="26">I29+I30</f>
        <v>0</v>
      </c>
      <c r="J94" s="105">
        <f t="shared" si="26"/>
        <v>0</v>
      </c>
      <c r="K94" s="105">
        <f t="shared" si="26"/>
        <v>0</v>
      </c>
      <c r="L94" s="105">
        <f t="shared" si="26"/>
        <v>0</v>
      </c>
      <c r="M94" s="105">
        <f t="shared" si="26"/>
        <v>48.534999999999997</v>
      </c>
      <c r="N94" s="105">
        <f t="shared" si="26"/>
        <v>37.388999999999996</v>
      </c>
      <c r="O94" s="105">
        <f t="shared" si="26"/>
        <v>38</v>
      </c>
      <c r="P94" s="105">
        <f t="shared" si="26"/>
        <v>38</v>
      </c>
      <c r="Q94" s="105">
        <f t="shared" si="26"/>
        <v>50</v>
      </c>
      <c r="R94" s="105">
        <f t="shared" si="26"/>
        <v>62</v>
      </c>
      <c r="S94" s="105">
        <f>S29+S30</f>
        <v>68</v>
      </c>
    </row>
    <row r="95" spans="1:19" x14ac:dyDescent="0.2">
      <c r="G95" s="451" t="s">
        <v>206</v>
      </c>
      <c r="H95" s="87">
        <f t="shared" ref="H95:R95" si="27">H87</f>
        <v>2011</v>
      </c>
      <c r="I95" s="87">
        <f t="shared" si="27"/>
        <v>2012</v>
      </c>
      <c r="J95" s="87">
        <f t="shared" si="27"/>
        <v>2013</v>
      </c>
      <c r="K95" s="87">
        <f t="shared" si="27"/>
        <v>2014</v>
      </c>
      <c r="L95" s="87">
        <f t="shared" si="27"/>
        <v>2015</v>
      </c>
      <c r="M95" s="87">
        <f t="shared" si="27"/>
        <v>2016</v>
      </c>
      <c r="N95" s="87">
        <f t="shared" si="27"/>
        <v>2017</v>
      </c>
      <c r="O95" s="87">
        <f t="shared" si="27"/>
        <v>2018</v>
      </c>
      <c r="P95" s="87">
        <f t="shared" si="27"/>
        <v>2019</v>
      </c>
      <c r="Q95" s="87">
        <f t="shared" si="27"/>
        <v>2020</v>
      </c>
      <c r="R95" s="87">
        <f t="shared" si="27"/>
        <v>2021</v>
      </c>
      <c r="S95" s="87">
        <f>S87</f>
        <v>2022</v>
      </c>
    </row>
    <row r="96" spans="1:19" x14ac:dyDescent="0.2">
      <c r="A96" s="34" t="s">
        <v>506</v>
      </c>
      <c r="B96" s="2" t="s">
        <v>207</v>
      </c>
      <c r="C96" s="10" t="s">
        <v>208</v>
      </c>
      <c r="E96" s="109"/>
      <c r="F96" s="37"/>
      <c r="G96" s="103" t="s">
        <v>209</v>
      </c>
      <c r="H96" s="105">
        <f t="shared" ref="H96:R96" si="28">H6+H12</f>
        <v>0</v>
      </c>
      <c r="I96" s="77">
        <f t="shared" si="28"/>
        <v>0</v>
      </c>
      <c r="J96" s="77">
        <f t="shared" si="28"/>
        <v>0</v>
      </c>
      <c r="K96" s="77">
        <f t="shared" si="28"/>
        <v>0</v>
      </c>
      <c r="L96" s="77">
        <f t="shared" si="28"/>
        <v>0</v>
      </c>
      <c r="M96" s="77">
        <f t="shared" si="28"/>
        <v>34.158999999999999</v>
      </c>
      <c r="N96" s="77">
        <f t="shared" si="28"/>
        <v>42.618000000000002</v>
      </c>
      <c r="O96" s="77">
        <f t="shared" si="28"/>
        <v>46</v>
      </c>
      <c r="P96" s="77">
        <f t="shared" si="28"/>
        <v>45</v>
      </c>
      <c r="Q96" s="77">
        <f t="shared" si="28"/>
        <v>55</v>
      </c>
      <c r="R96" s="77">
        <f t="shared" si="28"/>
        <v>60</v>
      </c>
      <c r="S96" s="77">
        <f>S6+S12</f>
        <v>65</v>
      </c>
    </row>
    <row r="97" spans="1:19" x14ac:dyDescent="0.2">
      <c r="A97" s="8" t="s">
        <v>507</v>
      </c>
      <c r="B97" s="2" t="s">
        <v>210</v>
      </c>
      <c r="C97" s="8" t="s">
        <v>42</v>
      </c>
      <c r="E97" s="109"/>
      <c r="F97" s="37"/>
      <c r="G97" s="110" t="s">
        <v>211</v>
      </c>
      <c r="H97" s="105">
        <f>H19</f>
        <v>0</v>
      </c>
      <c r="I97" s="105">
        <f t="shared" ref="I97:R97" si="29">I19</f>
        <v>0</v>
      </c>
      <c r="J97" s="105">
        <f t="shared" si="29"/>
        <v>0</v>
      </c>
      <c r="K97" s="105">
        <f t="shared" si="29"/>
        <v>0</v>
      </c>
      <c r="L97" s="105">
        <f t="shared" si="29"/>
        <v>0</v>
      </c>
      <c r="M97" s="105">
        <f t="shared" si="29"/>
        <v>17.164999999999999</v>
      </c>
      <c r="N97" s="105">
        <f t="shared" si="29"/>
        <v>33.557000000000002</v>
      </c>
      <c r="O97" s="105">
        <f t="shared" si="29"/>
        <v>25</v>
      </c>
      <c r="P97" s="105">
        <f t="shared" si="29"/>
        <v>15</v>
      </c>
      <c r="Q97" s="105">
        <f t="shared" si="29"/>
        <v>12</v>
      </c>
      <c r="R97" s="105">
        <f t="shared" si="29"/>
        <v>10</v>
      </c>
      <c r="S97" s="105">
        <f>S19</f>
        <v>10</v>
      </c>
    </row>
    <row r="98" spans="1:19" x14ac:dyDescent="0.2">
      <c r="A98" s="8" t="s">
        <v>508</v>
      </c>
      <c r="B98" s="2" t="s">
        <v>509</v>
      </c>
      <c r="C98" s="8" t="s">
        <v>510</v>
      </c>
      <c r="E98" s="109"/>
      <c r="F98" s="37"/>
      <c r="G98" s="110" t="s">
        <v>212</v>
      </c>
      <c r="H98" s="105">
        <f t="shared" ref="H98:R98" si="30">H97-H96</f>
        <v>0</v>
      </c>
      <c r="I98" s="77">
        <f t="shared" si="30"/>
        <v>0</v>
      </c>
      <c r="J98" s="77">
        <f t="shared" si="30"/>
        <v>0</v>
      </c>
      <c r="K98" s="77">
        <f t="shared" si="30"/>
        <v>0</v>
      </c>
      <c r="L98" s="77">
        <f t="shared" si="30"/>
        <v>0</v>
      </c>
      <c r="M98" s="77">
        <f t="shared" si="30"/>
        <v>-16.994</v>
      </c>
      <c r="N98" s="77">
        <f t="shared" si="30"/>
        <v>-9.0609999999999999</v>
      </c>
      <c r="O98" s="77">
        <f t="shared" si="30"/>
        <v>-21</v>
      </c>
      <c r="P98" s="77">
        <f t="shared" si="30"/>
        <v>-30</v>
      </c>
      <c r="Q98" s="77">
        <f t="shared" si="30"/>
        <v>-43</v>
      </c>
      <c r="R98" s="77">
        <f t="shared" si="30"/>
        <v>-50</v>
      </c>
      <c r="S98" s="77">
        <f>S97-S96</f>
        <v>-55</v>
      </c>
    </row>
    <row r="99" spans="1:19" x14ac:dyDescent="0.2">
      <c r="A99" s="34" t="s">
        <v>511</v>
      </c>
      <c r="B99" s="2" t="s">
        <v>512</v>
      </c>
      <c r="C99" s="8" t="s">
        <v>513</v>
      </c>
      <c r="E99" s="106">
        <v>0.4</v>
      </c>
      <c r="F99" s="37"/>
      <c r="G99" s="110" t="s">
        <v>213</v>
      </c>
      <c r="H99" s="115" t="e">
        <f t="shared" ref="H99:R99" si="31">H98/H33</f>
        <v>#DIV/0!</v>
      </c>
      <c r="I99" s="108" t="e">
        <f t="shared" si="31"/>
        <v>#DIV/0!</v>
      </c>
      <c r="J99" s="108" t="e">
        <f t="shared" si="31"/>
        <v>#DIV/0!</v>
      </c>
      <c r="K99" s="108" t="e">
        <f t="shared" si="31"/>
        <v>#DIV/0!</v>
      </c>
      <c r="L99" s="108" t="e">
        <f t="shared" si="31"/>
        <v>#DIV/0!</v>
      </c>
      <c r="M99" s="108">
        <f t="shared" si="31"/>
        <v>-4.5597239588084724E-2</v>
      </c>
      <c r="N99" s="108">
        <f t="shared" si="31"/>
        <v>-1.1476913177740791E-2</v>
      </c>
      <c r="O99" s="108">
        <f t="shared" si="31"/>
        <v>-2.4793388429752067E-2</v>
      </c>
      <c r="P99" s="108">
        <f t="shared" si="31"/>
        <v>-3.5460992907801421E-2</v>
      </c>
      <c r="Q99" s="108">
        <f t="shared" si="31"/>
        <v>-4.8863636363636366E-2</v>
      </c>
      <c r="R99" s="108">
        <f t="shared" si="31"/>
        <v>-5.6179775280898875E-2</v>
      </c>
      <c r="S99" s="108">
        <f>S98/S33</f>
        <v>-6.1111111111111109E-2</v>
      </c>
    </row>
    <row r="100" spans="1:19" x14ac:dyDescent="0.2">
      <c r="A100" s="8" t="s">
        <v>514</v>
      </c>
      <c r="B100" s="2" t="s">
        <v>214</v>
      </c>
      <c r="C100" s="8" t="s">
        <v>515</v>
      </c>
      <c r="D100" s="116">
        <v>0</v>
      </c>
      <c r="E100" s="116">
        <v>5</v>
      </c>
      <c r="F100" s="37"/>
      <c r="G100" s="110" t="s">
        <v>215</v>
      </c>
      <c r="H100" s="111" t="e">
        <f t="shared" ref="H100:R100" si="32">H98/H89</f>
        <v>#DIV/0!</v>
      </c>
      <c r="I100" s="111" t="e">
        <f t="shared" si="32"/>
        <v>#DIV/0!</v>
      </c>
      <c r="J100" s="111" t="e">
        <f t="shared" si="32"/>
        <v>#DIV/0!</v>
      </c>
      <c r="K100" s="111" t="e">
        <f t="shared" si="32"/>
        <v>#DIV/0!</v>
      </c>
      <c r="L100" s="111" t="e">
        <f t="shared" si="32"/>
        <v>#DIV/0!</v>
      </c>
      <c r="M100" s="111">
        <f t="shared" si="32"/>
        <v>-0.3239111788811585</v>
      </c>
      <c r="N100" s="111">
        <f t="shared" si="32"/>
        <v>8.6791187739467102</v>
      </c>
      <c r="O100" s="111">
        <f t="shared" si="32"/>
        <v>-1.9090909090909092</v>
      </c>
      <c r="P100" s="111">
        <f t="shared" si="32"/>
        <v>-3</v>
      </c>
      <c r="Q100" s="111">
        <f t="shared" si="32"/>
        <v>-1.9545454545454546</v>
      </c>
      <c r="R100" s="111">
        <f t="shared" si="32"/>
        <v>-2.2727272727272729</v>
      </c>
      <c r="S100" s="111">
        <f>S98/S89</f>
        <v>-5.5</v>
      </c>
    </row>
    <row r="101" spans="1:19" x14ac:dyDescent="0.2">
      <c r="A101" s="8" t="s">
        <v>516</v>
      </c>
      <c r="B101" s="2" t="s">
        <v>216</v>
      </c>
      <c r="C101" s="8" t="s">
        <v>217</v>
      </c>
      <c r="E101" s="109"/>
      <c r="F101" s="37"/>
      <c r="G101" s="110" t="s">
        <v>218</v>
      </c>
      <c r="H101" s="105">
        <f t="shared" ref="H101:R101" si="33">-(H75+H77+H78+H79+H80+H81)</f>
        <v>0</v>
      </c>
      <c r="I101" s="105">
        <f t="shared" si="33"/>
        <v>0</v>
      </c>
      <c r="J101" s="105">
        <f t="shared" si="33"/>
        <v>0</v>
      </c>
      <c r="K101" s="105">
        <f t="shared" si="33"/>
        <v>0</v>
      </c>
      <c r="L101" s="105">
        <f t="shared" si="33"/>
        <v>0</v>
      </c>
      <c r="M101" s="105">
        <f t="shared" si="33"/>
        <v>0</v>
      </c>
      <c r="N101" s="105">
        <f t="shared" si="33"/>
        <v>0</v>
      </c>
      <c r="O101" s="105">
        <f t="shared" si="33"/>
        <v>0</v>
      </c>
      <c r="P101" s="105">
        <f t="shared" si="33"/>
        <v>0</v>
      </c>
      <c r="Q101" s="105">
        <f t="shared" si="33"/>
        <v>0</v>
      </c>
      <c r="R101" s="105">
        <f t="shared" si="33"/>
        <v>0</v>
      </c>
      <c r="S101" s="105">
        <f>-(S75+S77+S78+S79+S80+S81)</f>
        <v>0</v>
      </c>
    </row>
    <row r="102" spans="1:19" x14ac:dyDescent="0.2">
      <c r="A102" s="8" t="s">
        <v>517</v>
      </c>
      <c r="B102" s="2" t="s">
        <v>219</v>
      </c>
      <c r="C102" s="8" t="s">
        <v>518</v>
      </c>
      <c r="E102" s="116">
        <v>1.2</v>
      </c>
      <c r="F102" s="37"/>
      <c r="G102" s="110" t="s">
        <v>220</v>
      </c>
      <c r="H102" s="117" t="e">
        <f t="shared" ref="H102:R102" si="34">H89/H101</f>
        <v>#DIV/0!</v>
      </c>
      <c r="I102" s="111" t="e">
        <f t="shared" si="34"/>
        <v>#DIV/0!</v>
      </c>
      <c r="J102" s="111" t="e">
        <f t="shared" si="34"/>
        <v>#DIV/0!</v>
      </c>
      <c r="K102" s="111" t="e">
        <f t="shared" si="34"/>
        <v>#DIV/0!</v>
      </c>
      <c r="L102" s="111" t="e">
        <f t="shared" si="34"/>
        <v>#DIV/0!</v>
      </c>
      <c r="M102" s="111" t="e">
        <f t="shared" si="34"/>
        <v>#DIV/0!</v>
      </c>
      <c r="N102" s="111" t="e">
        <f t="shared" si="34"/>
        <v>#DIV/0!</v>
      </c>
      <c r="O102" s="111" t="e">
        <f t="shared" si="34"/>
        <v>#DIV/0!</v>
      </c>
      <c r="P102" s="111" t="e">
        <f t="shared" si="34"/>
        <v>#DIV/0!</v>
      </c>
      <c r="Q102" s="111" t="e">
        <f t="shared" si="34"/>
        <v>#DIV/0!</v>
      </c>
      <c r="R102" s="111" t="e">
        <f t="shared" si="34"/>
        <v>#DIV/0!</v>
      </c>
      <c r="S102" s="111" t="e">
        <f>S89/S101</f>
        <v>#DIV/0!</v>
      </c>
    </row>
    <row r="103" spans="1:19" x14ac:dyDescent="0.2">
      <c r="A103" s="38" t="s">
        <v>519</v>
      </c>
      <c r="B103" s="2" t="s">
        <v>221</v>
      </c>
      <c r="C103" s="8" t="s">
        <v>222</v>
      </c>
      <c r="E103" s="116">
        <v>0</v>
      </c>
      <c r="F103" s="37"/>
      <c r="G103" s="103" t="s">
        <v>223</v>
      </c>
      <c r="H103" s="105">
        <f t="shared" ref="H103:R103" si="35">H5-H20</f>
        <v>0</v>
      </c>
      <c r="I103" s="105">
        <f t="shared" si="35"/>
        <v>0</v>
      </c>
      <c r="J103" s="105">
        <f t="shared" si="35"/>
        <v>0</v>
      </c>
      <c r="K103" s="105">
        <f t="shared" si="35"/>
        <v>0</v>
      </c>
      <c r="L103" s="105">
        <f t="shared" si="35"/>
        <v>0</v>
      </c>
      <c r="M103" s="105">
        <f t="shared" si="35"/>
        <v>50.323</v>
      </c>
      <c r="N103" s="105">
        <f t="shared" si="35"/>
        <v>65.671000000000006</v>
      </c>
      <c r="O103" s="105">
        <f t="shared" si="35"/>
        <v>68</v>
      </c>
      <c r="P103" s="105">
        <f t="shared" si="35"/>
        <v>68</v>
      </c>
      <c r="Q103" s="105">
        <f t="shared" si="35"/>
        <v>87</v>
      </c>
      <c r="R103" s="105">
        <f t="shared" si="35"/>
        <v>102</v>
      </c>
      <c r="S103" s="105">
        <f>S5-S20</f>
        <v>108</v>
      </c>
    </row>
    <row r="104" spans="1:19" x14ac:dyDescent="0.2">
      <c r="A104" s="34" t="s">
        <v>520</v>
      </c>
      <c r="B104" s="2" t="s">
        <v>224</v>
      </c>
      <c r="C104" s="8" t="s">
        <v>225</v>
      </c>
      <c r="E104" s="116">
        <v>1</v>
      </c>
      <c r="F104" s="37"/>
      <c r="G104" s="110" t="s">
        <v>226</v>
      </c>
      <c r="H104" s="117" t="e">
        <f t="shared" ref="H104:R104" si="36">H5/H20</f>
        <v>#DIV/0!</v>
      </c>
      <c r="I104" s="117" t="e">
        <f t="shared" si="36"/>
        <v>#DIV/0!</v>
      </c>
      <c r="J104" s="117" t="e">
        <f t="shared" si="36"/>
        <v>#DIV/0!</v>
      </c>
      <c r="K104" s="117" t="e">
        <f t="shared" si="36"/>
        <v>#DIV/0!</v>
      </c>
      <c r="L104" s="117" t="e">
        <f t="shared" si="36"/>
        <v>#DIV/0!</v>
      </c>
      <c r="M104" s="117" t="e">
        <f t="shared" si="36"/>
        <v>#DIV/0!</v>
      </c>
      <c r="N104" s="117" t="e">
        <f t="shared" si="36"/>
        <v>#DIV/0!</v>
      </c>
      <c r="O104" s="117" t="e">
        <f t="shared" si="36"/>
        <v>#DIV/0!</v>
      </c>
      <c r="P104" s="117" t="e">
        <f t="shared" si="36"/>
        <v>#DIV/0!</v>
      </c>
      <c r="Q104" s="117" t="e">
        <f t="shared" si="36"/>
        <v>#DIV/0!</v>
      </c>
      <c r="R104" s="117" t="e">
        <f t="shared" si="36"/>
        <v>#DIV/0!</v>
      </c>
      <c r="S104" s="117" t="e">
        <f>S5/S20</f>
        <v>#DIV/0!</v>
      </c>
    </row>
    <row r="105" spans="1:19" x14ac:dyDescent="0.2">
      <c r="A105" s="34" t="s">
        <v>521</v>
      </c>
      <c r="B105" s="2" t="s">
        <v>227</v>
      </c>
      <c r="C105" s="34" t="s">
        <v>228</v>
      </c>
      <c r="E105" s="116">
        <v>1</v>
      </c>
      <c r="F105" s="37"/>
      <c r="G105" s="46" t="s">
        <v>229</v>
      </c>
      <c r="H105" s="117" t="e">
        <f t="shared" ref="H105:R105" si="37">-H6/((H38+H41-H45+H47)/12)</f>
        <v>#DIV/0!</v>
      </c>
      <c r="I105" s="117" t="e">
        <f t="shared" si="37"/>
        <v>#DIV/0!</v>
      </c>
      <c r="J105" s="117" t="e">
        <f t="shared" si="37"/>
        <v>#DIV/0!</v>
      </c>
      <c r="K105" s="117" t="e">
        <f t="shared" si="37"/>
        <v>#DIV/0!</v>
      </c>
      <c r="L105" s="117" t="e">
        <f t="shared" si="37"/>
        <v>#DIV/0!</v>
      </c>
      <c r="M105" s="117">
        <f t="shared" si="37"/>
        <v>1.280030477808346</v>
      </c>
      <c r="N105" s="117">
        <f t="shared" si="37"/>
        <v>0.6469181903048794</v>
      </c>
      <c r="O105" s="117">
        <f t="shared" si="37"/>
        <v>0.66028708133971292</v>
      </c>
      <c r="P105" s="117">
        <f t="shared" si="37"/>
        <v>0.64593301435406691</v>
      </c>
      <c r="Q105" s="117">
        <f t="shared" si="37"/>
        <v>0.76923076923076927</v>
      </c>
      <c r="R105" s="117">
        <f t="shared" si="37"/>
        <v>0.82949308755760376</v>
      </c>
      <c r="S105" s="117">
        <f>-S6/((S38+S41-S45+S47)/12)</f>
        <v>0.87640449438202239</v>
      </c>
    </row>
    <row r="106" spans="1:19" x14ac:dyDescent="0.2">
      <c r="C106" s="8"/>
      <c r="F106" s="37"/>
      <c r="G106" s="451" t="s">
        <v>230</v>
      </c>
      <c r="H106" s="87">
        <f t="shared" ref="H106:R106" si="38">H95</f>
        <v>2011</v>
      </c>
      <c r="I106" s="87">
        <f t="shared" si="38"/>
        <v>2012</v>
      </c>
      <c r="J106" s="87">
        <f t="shared" si="38"/>
        <v>2013</v>
      </c>
      <c r="K106" s="87">
        <f t="shared" si="38"/>
        <v>2014</v>
      </c>
      <c r="L106" s="87">
        <f t="shared" si="38"/>
        <v>2015</v>
      </c>
      <c r="M106" s="87">
        <f t="shared" si="38"/>
        <v>2016</v>
      </c>
      <c r="N106" s="87">
        <f t="shared" si="38"/>
        <v>2017</v>
      </c>
      <c r="O106" s="87">
        <f t="shared" si="38"/>
        <v>2018</v>
      </c>
      <c r="P106" s="87">
        <f t="shared" si="38"/>
        <v>2019</v>
      </c>
      <c r="Q106" s="87">
        <f t="shared" si="38"/>
        <v>2020</v>
      </c>
      <c r="R106" s="87">
        <f t="shared" si="38"/>
        <v>2021</v>
      </c>
      <c r="S106" s="87">
        <f>S95</f>
        <v>2022</v>
      </c>
    </row>
    <row r="107" spans="1:19" x14ac:dyDescent="0.2">
      <c r="A107" s="34" t="s">
        <v>522</v>
      </c>
      <c r="B107" s="2" t="s">
        <v>231</v>
      </c>
      <c r="C107" s="34" t="s">
        <v>232</v>
      </c>
      <c r="E107" s="106">
        <v>0.6</v>
      </c>
      <c r="F107" s="37"/>
      <c r="G107" s="103" t="s">
        <v>233</v>
      </c>
      <c r="H107" s="115" t="e">
        <f t="shared" ref="H107:R107" si="39">H17/H4</f>
        <v>#DIV/0!</v>
      </c>
      <c r="I107" s="115" t="e">
        <f t="shared" si="39"/>
        <v>#DIV/0!</v>
      </c>
      <c r="J107" s="115" t="e">
        <f t="shared" si="39"/>
        <v>#DIV/0!</v>
      </c>
      <c r="K107" s="115" t="e">
        <f t="shared" si="39"/>
        <v>#DIV/0!</v>
      </c>
      <c r="L107" s="115" t="e">
        <f t="shared" si="39"/>
        <v>#DIV/0!</v>
      </c>
      <c r="M107" s="115">
        <f t="shared" si="39"/>
        <v>0</v>
      </c>
      <c r="N107" s="115">
        <f t="shared" si="39"/>
        <v>0</v>
      </c>
      <c r="O107" s="115">
        <f t="shared" si="39"/>
        <v>0</v>
      </c>
      <c r="P107" s="115">
        <f t="shared" si="39"/>
        <v>0</v>
      </c>
      <c r="Q107" s="115">
        <f t="shared" si="39"/>
        <v>0</v>
      </c>
      <c r="R107" s="115">
        <f t="shared" si="39"/>
        <v>0</v>
      </c>
      <c r="S107" s="115">
        <f>S17/S4</f>
        <v>0</v>
      </c>
    </row>
    <row r="108" spans="1:19" x14ac:dyDescent="0.2">
      <c r="A108" s="34" t="s">
        <v>523</v>
      </c>
      <c r="B108" s="2" t="s">
        <v>234</v>
      </c>
      <c r="C108" s="34" t="s">
        <v>235</v>
      </c>
      <c r="E108" s="106">
        <v>0.4</v>
      </c>
      <c r="F108" s="37"/>
      <c r="G108" s="46" t="s">
        <v>236</v>
      </c>
      <c r="H108" s="115" t="e">
        <f t="shared" ref="H108:R108" si="40">H27/H17</f>
        <v>#DIV/0!</v>
      </c>
      <c r="I108" s="115" t="e">
        <f t="shared" si="40"/>
        <v>#DIV/0!</v>
      </c>
      <c r="J108" s="115" t="e">
        <f t="shared" si="40"/>
        <v>#DIV/0!</v>
      </c>
      <c r="K108" s="115" t="e">
        <f t="shared" si="40"/>
        <v>#DIV/0!</v>
      </c>
      <c r="L108" s="115" t="e">
        <f t="shared" si="40"/>
        <v>#DIV/0!</v>
      </c>
      <c r="M108" s="115" t="e">
        <f t="shared" si="40"/>
        <v>#DIV/0!</v>
      </c>
      <c r="N108" s="115" t="e">
        <f t="shared" si="40"/>
        <v>#DIV/0!</v>
      </c>
      <c r="O108" s="115" t="e">
        <f t="shared" si="40"/>
        <v>#DIV/0!</v>
      </c>
      <c r="P108" s="115" t="e">
        <f t="shared" si="40"/>
        <v>#DIV/0!</v>
      </c>
      <c r="Q108" s="115" t="e">
        <f t="shared" si="40"/>
        <v>#DIV/0!</v>
      </c>
      <c r="R108" s="115" t="e">
        <f t="shared" si="40"/>
        <v>#DIV/0!</v>
      </c>
      <c r="S108" s="115" t="e">
        <f>S27/S17</f>
        <v>#DIV/0!</v>
      </c>
    </row>
    <row r="109" spans="1:19" x14ac:dyDescent="0.2">
      <c r="C109" s="8"/>
      <c r="F109" s="37"/>
      <c r="G109" s="455" t="s">
        <v>237</v>
      </c>
      <c r="H109" s="87">
        <f t="shared" ref="H109:R109" si="41">H95</f>
        <v>2011</v>
      </c>
      <c r="I109" s="87">
        <f t="shared" si="41"/>
        <v>2012</v>
      </c>
      <c r="J109" s="87">
        <f t="shared" si="41"/>
        <v>2013</v>
      </c>
      <c r="K109" s="87">
        <f t="shared" si="41"/>
        <v>2014</v>
      </c>
      <c r="L109" s="87">
        <f t="shared" si="41"/>
        <v>2015</v>
      </c>
      <c r="M109" s="87">
        <f t="shared" si="41"/>
        <v>2016</v>
      </c>
      <c r="N109" s="87">
        <f t="shared" si="41"/>
        <v>2017</v>
      </c>
      <c r="O109" s="87">
        <f t="shared" si="41"/>
        <v>2018</v>
      </c>
      <c r="P109" s="87">
        <f t="shared" si="41"/>
        <v>2019</v>
      </c>
      <c r="Q109" s="87">
        <f t="shared" si="41"/>
        <v>2020</v>
      </c>
      <c r="R109" s="87">
        <f t="shared" si="41"/>
        <v>2021</v>
      </c>
      <c r="S109" s="87">
        <f>S95</f>
        <v>2022</v>
      </c>
    </row>
    <row r="110" spans="1:19" x14ac:dyDescent="0.2">
      <c r="A110" s="34" t="s">
        <v>524</v>
      </c>
      <c r="B110" s="2" t="s">
        <v>238</v>
      </c>
      <c r="C110" s="39" t="s">
        <v>239</v>
      </c>
      <c r="E110" s="109"/>
      <c r="F110" s="37"/>
      <c r="G110" s="110" t="s">
        <v>240</v>
      </c>
      <c r="H110" s="118" t="e">
        <f t="shared" ref="H110:R110" si="42">H10/H4</f>
        <v>#DIV/0!</v>
      </c>
      <c r="I110" s="118" t="e">
        <f t="shared" si="42"/>
        <v>#DIV/0!</v>
      </c>
      <c r="J110" s="118" t="e">
        <f t="shared" si="42"/>
        <v>#DIV/0!</v>
      </c>
      <c r="K110" s="118" t="e">
        <f t="shared" si="42"/>
        <v>#DIV/0!</v>
      </c>
      <c r="L110" s="118" t="e">
        <f t="shared" si="42"/>
        <v>#DIV/0!</v>
      </c>
      <c r="M110" s="118">
        <f t="shared" si="42"/>
        <v>0.52242531222715716</v>
      </c>
      <c r="N110" s="118">
        <f t="shared" si="42"/>
        <v>0.40632627601294546</v>
      </c>
      <c r="O110" s="118">
        <f t="shared" si="42"/>
        <v>0.33980582524271846</v>
      </c>
      <c r="P110" s="118">
        <f t="shared" si="42"/>
        <v>0.26881720430107525</v>
      </c>
      <c r="Q110" s="118">
        <f t="shared" si="42"/>
        <v>0.14705882352941177</v>
      </c>
      <c r="R110" s="118">
        <f t="shared" si="42"/>
        <v>8.9285714285714288E-2</v>
      </c>
      <c r="S110" s="118">
        <f>S10/S4</f>
        <v>8.4745762711864403E-2</v>
      </c>
    </row>
    <row r="111" spans="1:19" x14ac:dyDescent="0.2">
      <c r="A111" s="34" t="s">
        <v>525</v>
      </c>
      <c r="B111" s="2" t="s">
        <v>241</v>
      </c>
      <c r="C111" s="39" t="s">
        <v>242</v>
      </c>
      <c r="E111" s="109"/>
      <c r="F111" s="37"/>
      <c r="G111" s="110" t="s">
        <v>243</v>
      </c>
      <c r="H111" s="118" t="e">
        <f t="shared" ref="H111:R111" si="43">-(H58)/H15</f>
        <v>#DIV/0!</v>
      </c>
      <c r="I111" s="118" t="e">
        <f t="shared" si="43"/>
        <v>#DIV/0!</v>
      </c>
      <c r="J111" s="118" t="e">
        <f t="shared" si="43"/>
        <v>#DIV/0!</v>
      </c>
      <c r="K111" s="118" t="e">
        <f t="shared" si="43"/>
        <v>#DIV/0!</v>
      </c>
      <c r="L111" s="118" t="e">
        <f t="shared" si="43"/>
        <v>#DIV/0!</v>
      </c>
      <c r="M111" s="118">
        <f t="shared" si="43"/>
        <v>0.11353521408199968</v>
      </c>
      <c r="N111" s="118">
        <f t="shared" si="43"/>
        <v>0</v>
      </c>
      <c r="O111" s="118">
        <f t="shared" si="43"/>
        <v>0</v>
      </c>
      <c r="P111" s="118">
        <f t="shared" si="43"/>
        <v>0</v>
      </c>
      <c r="Q111" s="118">
        <f t="shared" si="43"/>
        <v>0</v>
      </c>
      <c r="R111" s="118">
        <f t="shared" si="43"/>
        <v>0</v>
      </c>
      <c r="S111" s="118">
        <f>-(S58)/S15</f>
        <v>0</v>
      </c>
    </row>
    <row r="112" spans="1:19" x14ac:dyDescent="0.2">
      <c r="A112" s="34" t="s">
        <v>526</v>
      </c>
      <c r="B112" s="2" t="s">
        <v>244</v>
      </c>
      <c r="C112" s="8" t="s">
        <v>245</v>
      </c>
      <c r="E112" s="109"/>
      <c r="F112" s="37"/>
      <c r="G112" s="103" t="s">
        <v>246</v>
      </c>
      <c r="H112" s="111" t="e">
        <f t="shared" ref="H112:R112" si="44">H33/H4</f>
        <v>#DIV/0!</v>
      </c>
      <c r="I112" s="111" t="e">
        <f t="shared" si="44"/>
        <v>#DIV/0!</v>
      </c>
      <c r="J112" s="111" t="e">
        <f t="shared" si="44"/>
        <v>#DIV/0!</v>
      </c>
      <c r="K112" s="111" t="e">
        <f t="shared" si="44"/>
        <v>#DIV/0!</v>
      </c>
      <c r="L112" s="111" t="e">
        <f t="shared" si="44"/>
        <v>#DIV/0!</v>
      </c>
      <c r="M112" s="111">
        <f t="shared" si="44"/>
        <v>3.536973769122727</v>
      </c>
      <c r="N112" s="111">
        <f t="shared" si="44"/>
        <v>7.1371567014409951</v>
      </c>
      <c r="O112" s="111">
        <f t="shared" si="44"/>
        <v>8.2233009708737868</v>
      </c>
      <c r="P112" s="111">
        <f t="shared" si="44"/>
        <v>9.0967741935483879</v>
      </c>
      <c r="Q112" s="111">
        <f t="shared" si="44"/>
        <v>8.6274509803921564</v>
      </c>
      <c r="R112" s="111">
        <f t="shared" si="44"/>
        <v>7.9464285714285712</v>
      </c>
      <c r="S112" s="111">
        <f>S33/S4</f>
        <v>7.6271186440677967</v>
      </c>
    </row>
    <row r="113" spans="1:19" x14ac:dyDescent="0.2">
      <c r="A113" s="34" t="s">
        <v>527</v>
      </c>
      <c r="B113" s="2" t="s">
        <v>247</v>
      </c>
      <c r="C113" s="39" t="s">
        <v>248</v>
      </c>
      <c r="E113" s="109"/>
      <c r="F113" s="37"/>
      <c r="G113" s="46" t="s">
        <v>249</v>
      </c>
      <c r="H113" s="111" t="e">
        <f t="shared" ref="H113:R113" si="45">H33/H15</f>
        <v>#DIV/0!</v>
      </c>
      <c r="I113" s="111" t="e">
        <f t="shared" si="45"/>
        <v>#DIV/0!</v>
      </c>
      <c r="J113" s="111" t="e">
        <f t="shared" si="45"/>
        <v>#DIV/0!</v>
      </c>
      <c r="K113" s="111" t="e">
        <f t="shared" si="45"/>
        <v>#DIV/0!</v>
      </c>
      <c r="L113" s="111" t="e">
        <f t="shared" si="45"/>
        <v>#DIV/0!</v>
      </c>
      <c r="M113" s="111">
        <f t="shared" si="45"/>
        <v>6.770295554869298</v>
      </c>
      <c r="N113" s="111">
        <f t="shared" si="45"/>
        <v>17.565087770040268</v>
      </c>
      <c r="O113" s="111">
        <f t="shared" si="45"/>
        <v>24.2</v>
      </c>
      <c r="P113" s="111">
        <f t="shared" si="45"/>
        <v>33.840000000000003</v>
      </c>
      <c r="Q113" s="111">
        <f t="shared" si="45"/>
        <v>58.666666666666664</v>
      </c>
      <c r="R113" s="111">
        <f t="shared" si="45"/>
        <v>89</v>
      </c>
      <c r="S113" s="111">
        <f>S33/S15</f>
        <v>90</v>
      </c>
    </row>
    <row r="114" spans="1:19" x14ac:dyDescent="0.2">
      <c r="A114" s="8" t="s">
        <v>528</v>
      </c>
      <c r="B114" s="2" t="s">
        <v>250</v>
      </c>
      <c r="C114" s="39" t="s">
        <v>251</v>
      </c>
      <c r="D114" s="106">
        <v>0.5</v>
      </c>
      <c r="E114" s="106">
        <f>1/3</f>
        <v>0.33333333333333331</v>
      </c>
      <c r="F114" s="37"/>
      <c r="G114" s="110" t="s">
        <v>252</v>
      </c>
      <c r="H114" s="118" t="e">
        <f t="shared" ref="H114:R114" si="46">H27/H4</f>
        <v>#DIV/0!</v>
      </c>
      <c r="I114" s="118" t="e">
        <f t="shared" si="46"/>
        <v>#DIV/0!</v>
      </c>
      <c r="J114" s="118" t="e">
        <f t="shared" si="46"/>
        <v>#DIV/0!</v>
      </c>
      <c r="K114" s="118" t="e">
        <f t="shared" si="46"/>
        <v>#DIV/0!</v>
      </c>
      <c r="L114" s="118" t="e">
        <f t="shared" si="46"/>
        <v>#DIV/0!</v>
      </c>
      <c r="M114" s="118">
        <f t="shared" si="46"/>
        <v>0.83710093763048998</v>
      </c>
      <c r="N114" s="118">
        <f t="shared" si="46"/>
        <v>0.69664069138838147</v>
      </c>
      <c r="O114" s="118">
        <f t="shared" si="46"/>
        <v>0.75728155339805825</v>
      </c>
      <c r="P114" s="118">
        <f t="shared" si="46"/>
        <v>0.83870967741935487</v>
      </c>
      <c r="Q114" s="118">
        <f t="shared" si="46"/>
        <v>0.88235294117647056</v>
      </c>
      <c r="R114" s="118">
        <f t="shared" si="46"/>
        <v>0.9107142857142857</v>
      </c>
      <c r="S114" s="118">
        <f>S27/S4</f>
        <v>0.9152542372881356</v>
      </c>
    </row>
    <row r="115" spans="1:19" x14ac:dyDescent="0.2">
      <c r="A115" s="40"/>
      <c r="C115" s="40"/>
      <c r="D115" s="41"/>
      <c r="E115" s="42"/>
      <c r="F115" s="37"/>
      <c r="G115" s="94" t="s">
        <v>253</v>
      </c>
      <c r="H115" s="87">
        <f t="shared" ref="H115:R115" si="47">H109</f>
        <v>2011</v>
      </c>
      <c r="I115" s="87">
        <f t="shared" si="47"/>
        <v>2012</v>
      </c>
      <c r="J115" s="87">
        <f t="shared" si="47"/>
        <v>2013</v>
      </c>
      <c r="K115" s="87">
        <f t="shared" si="47"/>
        <v>2014</v>
      </c>
      <c r="L115" s="87">
        <f t="shared" si="47"/>
        <v>2015</v>
      </c>
      <c r="M115" s="87">
        <f t="shared" si="47"/>
        <v>2016</v>
      </c>
      <c r="N115" s="87">
        <f t="shared" si="47"/>
        <v>2017</v>
      </c>
      <c r="O115" s="87">
        <f t="shared" si="47"/>
        <v>2018</v>
      </c>
      <c r="P115" s="87">
        <f t="shared" si="47"/>
        <v>2019</v>
      </c>
      <c r="Q115" s="87">
        <f t="shared" si="47"/>
        <v>2020</v>
      </c>
      <c r="R115" s="87">
        <f t="shared" si="47"/>
        <v>2021</v>
      </c>
      <c r="S115" s="87">
        <f>S109</f>
        <v>2022</v>
      </c>
    </row>
    <row r="116" spans="1:19" x14ac:dyDescent="0.2">
      <c r="A116" s="8" t="s">
        <v>529</v>
      </c>
      <c r="B116" s="2" t="s">
        <v>254</v>
      </c>
      <c r="C116" s="8" t="s">
        <v>255</v>
      </c>
      <c r="D116" s="43"/>
      <c r="E116" s="106">
        <v>0.05</v>
      </c>
      <c r="G116" s="103" t="s">
        <v>256</v>
      </c>
      <c r="H116" s="108" t="e">
        <f t="shared" ref="H116:R116" si="48">H35/H33</f>
        <v>#DIV/0!</v>
      </c>
      <c r="I116" s="108" t="e">
        <f t="shared" si="48"/>
        <v>#DIV/0!</v>
      </c>
      <c r="J116" s="108" t="e">
        <f t="shared" si="48"/>
        <v>#DIV/0!</v>
      </c>
      <c r="K116" s="108" t="e">
        <f t="shared" si="48"/>
        <v>#DIV/0!</v>
      </c>
      <c r="L116" s="108" t="e">
        <f t="shared" si="48"/>
        <v>#DIV/0!</v>
      </c>
      <c r="M116" s="108">
        <f t="shared" si="48"/>
        <v>3.7236582970662575E-2</v>
      </c>
      <c r="N116" s="108">
        <f t="shared" si="48"/>
        <v>6.5946968833359931E-2</v>
      </c>
      <c r="O116" s="108">
        <f t="shared" si="48"/>
        <v>7.0838252656434481E-2</v>
      </c>
      <c r="P116" s="108">
        <f t="shared" si="48"/>
        <v>8.2742316784869971E-2</v>
      </c>
      <c r="Q116" s="108">
        <f t="shared" si="48"/>
        <v>9.0909090909090912E-2</v>
      </c>
      <c r="R116" s="108">
        <f t="shared" si="48"/>
        <v>8.98876404494382E-2</v>
      </c>
      <c r="S116" s="108">
        <f>S35/S33</f>
        <v>8.8888888888888892E-2</v>
      </c>
    </row>
    <row r="117" spans="1:19" x14ac:dyDescent="0.2">
      <c r="A117" s="8" t="s">
        <v>530</v>
      </c>
      <c r="B117" s="2" t="s">
        <v>257</v>
      </c>
      <c r="C117" s="8" t="s">
        <v>258</v>
      </c>
      <c r="E117" s="106">
        <v>0.95</v>
      </c>
      <c r="G117" s="110" t="s">
        <v>259</v>
      </c>
      <c r="H117" s="118" t="e">
        <f t="shared" ref="H117:R117" si="49">(H36+H34)/H33</f>
        <v>#DIV/0!</v>
      </c>
      <c r="I117" s="118" t="e">
        <f t="shared" si="49"/>
        <v>#DIV/0!</v>
      </c>
      <c r="J117" s="118" t="e">
        <f t="shared" si="49"/>
        <v>#DIV/0!</v>
      </c>
      <c r="K117" s="118" t="e">
        <f t="shared" si="49"/>
        <v>#DIV/0!</v>
      </c>
      <c r="L117" s="118" t="e">
        <f t="shared" si="49"/>
        <v>#DIV/0!</v>
      </c>
      <c r="M117" s="118">
        <f t="shared" si="49"/>
        <v>0.96275000134156885</v>
      </c>
      <c r="N117" s="118">
        <f t="shared" si="49"/>
        <v>0.93405303116663996</v>
      </c>
      <c r="O117" s="118">
        <f t="shared" si="49"/>
        <v>0.92916174734356549</v>
      </c>
      <c r="P117" s="118">
        <f t="shared" si="49"/>
        <v>0.91725768321513002</v>
      </c>
      <c r="Q117" s="118">
        <f t="shared" si="49"/>
        <v>0.90909090909090906</v>
      </c>
      <c r="R117" s="118">
        <f t="shared" si="49"/>
        <v>0.9101123595505618</v>
      </c>
      <c r="S117" s="118">
        <f>(S36+S34)/S33</f>
        <v>0.91111111111111109</v>
      </c>
    </row>
    <row r="118" spans="1:19" x14ac:dyDescent="0.2">
      <c r="A118" s="8" t="s">
        <v>531</v>
      </c>
      <c r="B118" s="2" t="s">
        <v>260</v>
      </c>
      <c r="C118" s="8" t="s">
        <v>261</v>
      </c>
      <c r="E118" s="106">
        <v>0.95</v>
      </c>
      <c r="G118" s="46" t="s">
        <v>262</v>
      </c>
      <c r="H118" s="108" t="e">
        <f t="shared" ref="H118:R118" si="50">H38/(H38+H41)</f>
        <v>#DIV/0!</v>
      </c>
      <c r="I118" s="108" t="e">
        <f t="shared" si="50"/>
        <v>#DIV/0!</v>
      </c>
      <c r="J118" s="108" t="e">
        <f t="shared" si="50"/>
        <v>#DIV/0!</v>
      </c>
      <c r="K118" s="108" t="e">
        <f t="shared" si="50"/>
        <v>#DIV/0!</v>
      </c>
      <c r="L118" s="108" t="e">
        <f t="shared" si="50"/>
        <v>#DIV/0!</v>
      </c>
      <c r="M118" s="108">
        <f t="shared" si="50"/>
        <v>0</v>
      </c>
      <c r="N118" s="108">
        <f t="shared" si="50"/>
        <v>0</v>
      </c>
      <c r="O118" s="108">
        <f t="shared" si="50"/>
        <v>0</v>
      </c>
      <c r="P118" s="108">
        <f t="shared" si="50"/>
        <v>0</v>
      </c>
      <c r="Q118" s="108">
        <f t="shared" si="50"/>
        <v>0</v>
      </c>
      <c r="R118" s="108">
        <f t="shared" si="50"/>
        <v>0</v>
      </c>
      <c r="S118" s="108">
        <f>S38/(S38+S41)</f>
        <v>0</v>
      </c>
    </row>
    <row r="119" spans="1:19" x14ac:dyDescent="0.2">
      <c r="A119" s="40"/>
      <c r="C119" s="41"/>
      <c r="D119" s="41"/>
      <c r="E119" s="42"/>
      <c r="F119" s="37"/>
      <c r="G119" s="94" t="s">
        <v>532</v>
      </c>
      <c r="H119" s="87">
        <f>H115</f>
        <v>2011</v>
      </c>
      <c r="I119" s="87">
        <f t="shared" ref="I119:R119" si="51">I115</f>
        <v>2012</v>
      </c>
      <c r="J119" s="87">
        <f t="shared" si="51"/>
        <v>2013</v>
      </c>
      <c r="K119" s="87">
        <f t="shared" si="51"/>
        <v>2014</v>
      </c>
      <c r="L119" s="87">
        <f t="shared" si="51"/>
        <v>2015</v>
      </c>
      <c r="M119" s="87">
        <f t="shared" si="51"/>
        <v>2016</v>
      </c>
      <c r="N119" s="87">
        <f t="shared" si="51"/>
        <v>2017</v>
      </c>
      <c r="O119" s="87">
        <f t="shared" si="51"/>
        <v>2018</v>
      </c>
      <c r="P119" s="87">
        <f t="shared" si="51"/>
        <v>2019</v>
      </c>
      <c r="Q119" s="87">
        <f t="shared" si="51"/>
        <v>2020</v>
      </c>
      <c r="R119" s="87">
        <f t="shared" si="51"/>
        <v>2021</v>
      </c>
      <c r="S119" s="87">
        <f>S115</f>
        <v>2022</v>
      </c>
    </row>
    <row r="120" spans="1:19" x14ac:dyDescent="0.2">
      <c r="A120" s="4" t="s">
        <v>533</v>
      </c>
      <c r="B120" s="2" t="s">
        <v>263</v>
      </c>
      <c r="C120" s="8" t="s">
        <v>264</v>
      </c>
      <c r="D120" s="120">
        <v>0.5</v>
      </c>
      <c r="E120" s="121" t="s">
        <v>265</v>
      </c>
      <c r="F120" s="4"/>
      <c r="G120" s="103" t="s">
        <v>266</v>
      </c>
      <c r="H120" s="111" t="e">
        <f t="shared" ref="H120:R120" si="52">IF(H116&lt;$D$120,$E$120,H35/H4)</f>
        <v>#DIV/0!</v>
      </c>
      <c r="I120" s="111" t="e">
        <f t="shared" si="52"/>
        <v>#DIV/0!</v>
      </c>
      <c r="J120" s="111" t="e">
        <f t="shared" si="52"/>
        <v>#DIV/0!</v>
      </c>
      <c r="K120" s="111" t="e">
        <f t="shared" si="52"/>
        <v>#DIV/0!</v>
      </c>
      <c r="L120" s="111" t="e">
        <f t="shared" si="52"/>
        <v>#DIV/0!</v>
      </c>
      <c r="M120" s="111" t="str">
        <f t="shared" si="52"/>
        <v>N/A</v>
      </c>
      <c r="N120" s="111" t="str">
        <f t="shared" si="52"/>
        <v>N/A</v>
      </c>
      <c r="O120" s="111" t="str">
        <f t="shared" si="52"/>
        <v>N/A</v>
      </c>
      <c r="P120" s="111" t="str">
        <f t="shared" si="52"/>
        <v>N/A</v>
      </c>
      <c r="Q120" s="111" t="str">
        <f t="shared" si="52"/>
        <v>N/A</v>
      </c>
      <c r="R120" s="111" t="str">
        <f t="shared" si="52"/>
        <v>N/A</v>
      </c>
      <c r="S120" s="111" t="str">
        <f>IF(S116&lt;$D$120,$E$120,S35/S4)</f>
        <v>N/A</v>
      </c>
    </row>
    <row r="121" spans="1:19" x14ac:dyDescent="0.2">
      <c r="A121" s="4" t="s">
        <v>534</v>
      </c>
      <c r="B121" s="2" t="s">
        <v>535</v>
      </c>
      <c r="C121" s="8" t="s">
        <v>267</v>
      </c>
      <c r="D121" s="120">
        <v>0.5</v>
      </c>
      <c r="E121" s="121" t="s">
        <v>265</v>
      </c>
      <c r="F121" s="4"/>
      <c r="G121" s="110" t="s">
        <v>268</v>
      </c>
      <c r="H121" s="111" t="e">
        <f t="shared" ref="H121:R121" si="53">IF(H116&lt;$D$121,$E$121,H35/H15)</f>
        <v>#DIV/0!</v>
      </c>
      <c r="I121" s="111" t="e">
        <f t="shared" si="53"/>
        <v>#DIV/0!</v>
      </c>
      <c r="J121" s="111" t="e">
        <f t="shared" si="53"/>
        <v>#DIV/0!</v>
      </c>
      <c r="K121" s="111" t="e">
        <f t="shared" si="53"/>
        <v>#DIV/0!</v>
      </c>
      <c r="L121" s="111" t="e">
        <f t="shared" si="53"/>
        <v>#DIV/0!</v>
      </c>
      <c r="M121" s="111" t="str">
        <f t="shared" si="53"/>
        <v>N/A</v>
      </c>
      <c r="N121" s="111" t="str">
        <f t="shared" si="53"/>
        <v>N/A</v>
      </c>
      <c r="O121" s="111" t="str">
        <f t="shared" si="53"/>
        <v>N/A</v>
      </c>
      <c r="P121" s="111" t="str">
        <f t="shared" si="53"/>
        <v>N/A</v>
      </c>
      <c r="Q121" s="111" t="str">
        <f t="shared" si="53"/>
        <v>N/A</v>
      </c>
      <c r="R121" s="111" t="str">
        <f t="shared" si="53"/>
        <v>N/A</v>
      </c>
      <c r="S121" s="111" t="str">
        <f>IF(S116&lt;$D$121,$E$121,S35/S15)</f>
        <v>N/A</v>
      </c>
    </row>
    <row r="122" spans="1:19" x14ac:dyDescent="0.2">
      <c r="A122" s="4" t="s">
        <v>536</v>
      </c>
      <c r="B122" s="2" t="s">
        <v>537</v>
      </c>
      <c r="C122" s="8" t="s">
        <v>201</v>
      </c>
      <c r="D122" s="120">
        <v>0.5</v>
      </c>
      <c r="E122" s="121" t="s">
        <v>265</v>
      </c>
      <c r="F122" s="4"/>
      <c r="G122" s="103" t="s">
        <v>269</v>
      </c>
      <c r="H122" s="118" t="e">
        <f t="shared" ref="H122:R122" si="54">IF(H116&lt;$D$122,$E$122,H46/H33)</f>
        <v>#DIV/0!</v>
      </c>
      <c r="I122" s="118" t="e">
        <f t="shared" si="54"/>
        <v>#DIV/0!</v>
      </c>
      <c r="J122" s="118" t="e">
        <f t="shared" si="54"/>
        <v>#DIV/0!</v>
      </c>
      <c r="K122" s="118" t="e">
        <f t="shared" si="54"/>
        <v>#DIV/0!</v>
      </c>
      <c r="L122" s="118" t="e">
        <f t="shared" si="54"/>
        <v>#DIV/0!</v>
      </c>
      <c r="M122" s="118" t="str">
        <f t="shared" si="54"/>
        <v>N/A</v>
      </c>
      <c r="N122" s="118" t="str">
        <f t="shared" si="54"/>
        <v>N/A</v>
      </c>
      <c r="O122" s="118" t="str">
        <f t="shared" si="54"/>
        <v>N/A</v>
      </c>
      <c r="P122" s="118" t="str">
        <f t="shared" si="54"/>
        <v>N/A</v>
      </c>
      <c r="Q122" s="118" t="str">
        <f t="shared" si="54"/>
        <v>N/A</v>
      </c>
      <c r="R122" s="118" t="str">
        <f t="shared" si="54"/>
        <v>N/A</v>
      </c>
      <c r="S122" s="118" t="str">
        <f>IF(S116&lt;$D$122,$E$122,S46/S33)</f>
        <v>N/A</v>
      </c>
    </row>
    <row r="123" spans="1:19" x14ac:dyDescent="0.2">
      <c r="A123" s="4" t="s">
        <v>538</v>
      </c>
      <c r="B123" s="2" t="s">
        <v>539</v>
      </c>
      <c r="C123" s="8" t="s">
        <v>270</v>
      </c>
      <c r="D123" s="120">
        <v>0.5</v>
      </c>
      <c r="E123" s="121" t="s">
        <v>265</v>
      </c>
      <c r="F123" s="4"/>
      <c r="G123" s="110" t="s">
        <v>271</v>
      </c>
      <c r="H123" s="118" t="e">
        <f t="shared" ref="H123:R123" si="55">IF(H116&lt;$D$122,$E$123,H51/H33)</f>
        <v>#DIV/0!</v>
      </c>
      <c r="I123" s="118" t="e">
        <f t="shared" si="55"/>
        <v>#DIV/0!</v>
      </c>
      <c r="J123" s="118" t="e">
        <f t="shared" si="55"/>
        <v>#DIV/0!</v>
      </c>
      <c r="K123" s="118" t="e">
        <f t="shared" si="55"/>
        <v>#DIV/0!</v>
      </c>
      <c r="L123" s="118" t="e">
        <f t="shared" si="55"/>
        <v>#DIV/0!</v>
      </c>
      <c r="M123" s="118" t="str">
        <f t="shared" si="55"/>
        <v>N/A</v>
      </c>
      <c r="N123" s="118" t="str">
        <f t="shared" si="55"/>
        <v>N/A</v>
      </c>
      <c r="O123" s="118" t="str">
        <f t="shared" si="55"/>
        <v>N/A</v>
      </c>
      <c r="P123" s="118" t="str">
        <f t="shared" si="55"/>
        <v>N/A</v>
      </c>
      <c r="Q123" s="118" t="str">
        <f t="shared" si="55"/>
        <v>N/A</v>
      </c>
      <c r="R123" s="118" t="str">
        <f t="shared" si="55"/>
        <v>N/A</v>
      </c>
      <c r="S123" s="118" t="str">
        <f>IF(S116&lt;$D$122,$E$123,S51/S33)</f>
        <v>N/A</v>
      </c>
    </row>
    <row r="124" spans="1:19" x14ac:dyDescent="0.2">
      <c r="A124" s="4" t="s">
        <v>540</v>
      </c>
      <c r="B124" s="2" t="s">
        <v>541</v>
      </c>
      <c r="C124" s="8" t="s">
        <v>272</v>
      </c>
      <c r="D124" s="120">
        <v>0.5</v>
      </c>
      <c r="E124" s="121" t="s">
        <v>265</v>
      </c>
      <c r="F124" s="4"/>
      <c r="G124" s="110" t="s">
        <v>273</v>
      </c>
      <c r="H124" s="118" t="e">
        <f t="shared" ref="H124:R124" si="56">IF(H116&lt;$D$124,$E$124,H51/H4)</f>
        <v>#DIV/0!</v>
      </c>
      <c r="I124" s="118" t="e">
        <f t="shared" si="56"/>
        <v>#DIV/0!</v>
      </c>
      <c r="J124" s="118" t="e">
        <f t="shared" si="56"/>
        <v>#DIV/0!</v>
      </c>
      <c r="K124" s="118" t="e">
        <f t="shared" si="56"/>
        <v>#DIV/0!</v>
      </c>
      <c r="L124" s="118" t="e">
        <f t="shared" si="56"/>
        <v>#DIV/0!</v>
      </c>
      <c r="M124" s="118" t="str">
        <f t="shared" si="56"/>
        <v>N/A</v>
      </c>
      <c r="N124" s="118" t="str">
        <f t="shared" si="56"/>
        <v>N/A</v>
      </c>
      <c r="O124" s="118" t="str">
        <f t="shared" si="56"/>
        <v>N/A</v>
      </c>
      <c r="P124" s="118" t="str">
        <f t="shared" si="56"/>
        <v>N/A</v>
      </c>
      <c r="Q124" s="118" t="str">
        <f t="shared" si="56"/>
        <v>N/A</v>
      </c>
      <c r="R124" s="118" t="str">
        <f t="shared" si="56"/>
        <v>N/A</v>
      </c>
      <c r="S124" s="118" t="str">
        <f>IF(S116&lt;$D$124,$E$124,S51/S4)</f>
        <v>N/A</v>
      </c>
    </row>
    <row r="125" spans="1:19" x14ac:dyDescent="0.2">
      <c r="A125" s="4" t="s">
        <v>542</v>
      </c>
      <c r="B125" s="2" t="s">
        <v>543</v>
      </c>
      <c r="C125" s="8" t="s">
        <v>274</v>
      </c>
      <c r="D125" s="120">
        <v>0.5</v>
      </c>
      <c r="E125" s="121" t="s">
        <v>265</v>
      </c>
      <c r="F125" s="4"/>
      <c r="G125" s="46" t="s">
        <v>275</v>
      </c>
      <c r="H125" s="118" t="e">
        <f t="shared" ref="H125:R125" si="57">IF(H116&lt;$D$125,$E$125,H51/H27)</f>
        <v>#DIV/0!</v>
      </c>
      <c r="I125" s="118" t="e">
        <f t="shared" si="57"/>
        <v>#DIV/0!</v>
      </c>
      <c r="J125" s="118" t="e">
        <f t="shared" si="57"/>
        <v>#DIV/0!</v>
      </c>
      <c r="K125" s="118" t="e">
        <f t="shared" si="57"/>
        <v>#DIV/0!</v>
      </c>
      <c r="L125" s="118" t="e">
        <f t="shared" si="57"/>
        <v>#DIV/0!</v>
      </c>
      <c r="M125" s="118" t="str">
        <f t="shared" si="57"/>
        <v>N/A</v>
      </c>
      <c r="N125" s="118" t="str">
        <f t="shared" si="57"/>
        <v>N/A</v>
      </c>
      <c r="O125" s="118" t="str">
        <f t="shared" si="57"/>
        <v>N/A</v>
      </c>
      <c r="P125" s="118" t="str">
        <f t="shared" si="57"/>
        <v>N/A</v>
      </c>
      <c r="Q125" s="118" t="str">
        <f t="shared" si="57"/>
        <v>N/A</v>
      </c>
      <c r="R125" s="118" t="str">
        <f t="shared" si="57"/>
        <v>N/A</v>
      </c>
      <c r="S125" s="118" t="str">
        <f>IF(S116&lt;$D$125,$E$125,S51/S27)</f>
        <v>N/A</v>
      </c>
    </row>
    <row r="126" spans="1:19" x14ac:dyDescent="0.2">
      <c r="C126" s="41"/>
      <c r="D126" s="41"/>
      <c r="E126" s="42"/>
      <c r="F126" s="4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</row>
    <row r="127" spans="1:19" x14ac:dyDescent="0.2">
      <c r="F127" s="4"/>
      <c r="H127" s="87">
        <f>H119</f>
        <v>2011</v>
      </c>
      <c r="I127" s="87">
        <f t="shared" ref="I127:R127" si="58">I119</f>
        <v>2012</v>
      </c>
      <c r="J127" s="87">
        <f t="shared" si="58"/>
        <v>2013</v>
      </c>
      <c r="K127" s="87">
        <f t="shared" si="58"/>
        <v>2014</v>
      </c>
      <c r="L127" s="87">
        <f t="shared" si="58"/>
        <v>2015</v>
      </c>
      <c r="M127" s="87">
        <f t="shared" si="58"/>
        <v>2016</v>
      </c>
      <c r="N127" s="87">
        <f t="shared" si="58"/>
        <v>2017</v>
      </c>
      <c r="O127" s="87">
        <f t="shared" si="58"/>
        <v>2018</v>
      </c>
      <c r="P127" s="87">
        <f t="shared" si="58"/>
        <v>2019</v>
      </c>
      <c r="Q127" s="87">
        <f t="shared" si="58"/>
        <v>2020</v>
      </c>
      <c r="R127" s="87">
        <f t="shared" si="58"/>
        <v>2021</v>
      </c>
      <c r="S127" s="87">
        <f>S119</f>
        <v>2022</v>
      </c>
    </row>
    <row r="128" spans="1:19" x14ac:dyDescent="0.2">
      <c r="G128" s="95" t="s">
        <v>276</v>
      </c>
      <c r="H128" s="96">
        <f t="shared" ref="H128:R128" si="59">H33</f>
        <v>0</v>
      </c>
      <c r="I128" s="96">
        <f t="shared" si="59"/>
        <v>0</v>
      </c>
      <c r="J128" s="96">
        <f t="shared" si="59"/>
        <v>0</v>
      </c>
      <c r="K128" s="96">
        <f t="shared" si="59"/>
        <v>0</v>
      </c>
      <c r="L128" s="96">
        <f t="shared" si="59"/>
        <v>0</v>
      </c>
      <c r="M128" s="96">
        <f t="shared" si="59"/>
        <v>372.69799999999998</v>
      </c>
      <c r="N128" s="96">
        <f t="shared" si="59"/>
        <v>789.49800000000005</v>
      </c>
      <c r="O128" s="96">
        <f t="shared" si="59"/>
        <v>847</v>
      </c>
      <c r="P128" s="96">
        <f t="shared" si="59"/>
        <v>846</v>
      </c>
      <c r="Q128" s="96">
        <f t="shared" si="59"/>
        <v>880</v>
      </c>
      <c r="R128" s="96">
        <f t="shared" si="59"/>
        <v>890</v>
      </c>
      <c r="S128" s="96">
        <f>S33</f>
        <v>900</v>
      </c>
    </row>
    <row r="129" spans="3:19" x14ac:dyDescent="0.2">
      <c r="G129" s="95" t="s">
        <v>277</v>
      </c>
      <c r="H129" s="96">
        <f t="shared" ref="H129:R130" si="60">H35</f>
        <v>0</v>
      </c>
      <c r="I129" s="96">
        <f t="shared" si="60"/>
        <v>0</v>
      </c>
      <c r="J129" s="96">
        <f t="shared" si="60"/>
        <v>0</v>
      </c>
      <c r="K129" s="96">
        <f t="shared" si="60"/>
        <v>0</v>
      </c>
      <c r="L129" s="96">
        <f t="shared" si="60"/>
        <v>0</v>
      </c>
      <c r="M129" s="96">
        <f t="shared" si="60"/>
        <v>13.878</v>
      </c>
      <c r="N129" s="96">
        <f t="shared" si="60"/>
        <v>52.064999999999998</v>
      </c>
      <c r="O129" s="96">
        <f t="shared" si="60"/>
        <v>60</v>
      </c>
      <c r="P129" s="96">
        <f t="shared" si="60"/>
        <v>70</v>
      </c>
      <c r="Q129" s="96">
        <f t="shared" si="60"/>
        <v>80</v>
      </c>
      <c r="R129" s="96">
        <f t="shared" si="60"/>
        <v>80</v>
      </c>
      <c r="S129" s="96">
        <f>S35</f>
        <v>80</v>
      </c>
    </row>
    <row r="130" spans="3:19" x14ac:dyDescent="0.2">
      <c r="G130" s="95" t="s">
        <v>278</v>
      </c>
      <c r="H130" s="96">
        <f t="shared" si="60"/>
        <v>0</v>
      </c>
      <c r="I130" s="96">
        <f t="shared" si="60"/>
        <v>0</v>
      </c>
      <c r="J130" s="96">
        <f t="shared" si="60"/>
        <v>0</v>
      </c>
      <c r="K130" s="96">
        <f t="shared" si="60"/>
        <v>0</v>
      </c>
      <c r="L130" s="96">
        <f t="shared" si="60"/>
        <v>0</v>
      </c>
      <c r="M130" s="96">
        <f t="shared" si="60"/>
        <v>358.815</v>
      </c>
      <c r="N130" s="96">
        <f t="shared" si="60"/>
        <v>737.43299999999999</v>
      </c>
      <c r="O130" s="96">
        <f t="shared" si="60"/>
        <v>787</v>
      </c>
      <c r="P130" s="96">
        <f t="shared" si="60"/>
        <v>776</v>
      </c>
      <c r="Q130" s="96">
        <f t="shared" si="60"/>
        <v>800</v>
      </c>
      <c r="R130" s="96">
        <f t="shared" si="60"/>
        <v>810</v>
      </c>
      <c r="S130" s="96">
        <f>S36</f>
        <v>820</v>
      </c>
    </row>
    <row r="131" spans="3:19" x14ac:dyDescent="0.2">
      <c r="G131" s="95" t="s">
        <v>279</v>
      </c>
      <c r="H131" s="96">
        <f t="shared" ref="H131:R131" si="61">H38+H41</f>
        <v>0</v>
      </c>
      <c r="I131" s="96">
        <f t="shared" si="61"/>
        <v>0</v>
      </c>
      <c r="J131" s="96">
        <f t="shared" si="61"/>
        <v>0</v>
      </c>
      <c r="K131" s="96">
        <f t="shared" si="61"/>
        <v>0</v>
      </c>
      <c r="L131" s="96">
        <f t="shared" si="61"/>
        <v>0</v>
      </c>
      <c r="M131" s="96">
        <f t="shared" si="61"/>
        <v>-324.02499999999992</v>
      </c>
      <c r="N131" s="96">
        <f t="shared" si="61"/>
        <v>-800.64400000000001</v>
      </c>
      <c r="O131" s="96">
        <f t="shared" si="61"/>
        <v>-846</v>
      </c>
      <c r="P131" s="96">
        <f t="shared" si="61"/>
        <v>-846</v>
      </c>
      <c r="Q131" s="96">
        <f t="shared" si="61"/>
        <v>-868</v>
      </c>
      <c r="R131" s="96">
        <f t="shared" si="61"/>
        <v>-878</v>
      </c>
      <c r="S131" s="96">
        <f>S38+S41</f>
        <v>-894</v>
      </c>
    </row>
    <row r="132" spans="3:19" x14ac:dyDescent="0.2">
      <c r="G132" s="95" t="s">
        <v>280</v>
      </c>
      <c r="H132" s="96">
        <f t="shared" ref="H132:R132" si="62">H41</f>
        <v>0</v>
      </c>
      <c r="I132" s="96">
        <f t="shared" si="62"/>
        <v>0</v>
      </c>
      <c r="J132" s="96">
        <f t="shared" si="62"/>
        <v>0</v>
      </c>
      <c r="K132" s="96">
        <f t="shared" si="62"/>
        <v>0</v>
      </c>
      <c r="L132" s="96">
        <f t="shared" si="62"/>
        <v>0</v>
      </c>
      <c r="M132" s="96">
        <f t="shared" si="62"/>
        <v>-324.02499999999992</v>
      </c>
      <c r="N132" s="96">
        <f t="shared" si="62"/>
        <v>-800.64400000000001</v>
      </c>
      <c r="O132" s="96">
        <f t="shared" si="62"/>
        <v>-846</v>
      </c>
      <c r="P132" s="96">
        <f t="shared" si="62"/>
        <v>-846</v>
      </c>
      <c r="Q132" s="96">
        <f t="shared" si="62"/>
        <v>-868</v>
      </c>
      <c r="R132" s="96">
        <f t="shared" si="62"/>
        <v>-878</v>
      </c>
      <c r="S132" s="96">
        <f>S41</f>
        <v>-894</v>
      </c>
    </row>
    <row r="133" spans="3:19" x14ac:dyDescent="0.2">
      <c r="G133" s="95" t="s">
        <v>281</v>
      </c>
      <c r="H133" s="96">
        <f t="shared" ref="H133:R133" si="63">H38</f>
        <v>0</v>
      </c>
      <c r="I133" s="96">
        <f t="shared" si="63"/>
        <v>0</v>
      </c>
      <c r="J133" s="96">
        <f t="shared" si="63"/>
        <v>0</v>
      </c>
      <c r="K133" s="96">
        <f t="shared" si="63"/>
        <v>0</v>
      </c>
      <c r="L133" s="96">
        <f t="shared" si="63"/>
        <v>0</v>
      </c>
      <c r="M133" s="96">
        <f t="shared" si="63"/>
        <v>0</v>
      </c>
      <c r="N133" s="96">
        <f t="shared" si="63"/>
        <v>0</v>
      </c>
      <c r="O133" s="96">
        <f t="shared" si="63"/>
        <v>0</v>
      </c>
      <c r="P133" s="96">
        <f t="shared" si="63"/>
        <v>0</v>
      </c>
      <c r="Q133" s="96">
        <f t="shared" si="63"/>
        <v>0</v>
      </c>
      <c r="R133" s="96">
        <f t="shared" si="63"/>
        <v>0</v>
      </c>
      <c r="S133" s="96">
        <f>S38</f>
        <v>0</v>
      </c>
    </row>
    <row r="134" spans="3:19" x14ac:dyDescent="0.2">
      <c r="G134" s="95" t="s">
        <v>282</v>
      </c>
      <c r="H134" s="96">
        <f t="shared" ref="H134:R134" si="64">H46</f>
        <v>0</v>
      </c>
      <c r="I134" s="96">
        <f t="shared" si="64"/>
        <v>0</v>
      </c>
      <c r="J134" s="96">
        <f t="shared" si="64"/>
        <v>0</v>
      </c>
      <c r="K134" s="96">
        <f t="shared" si="64"/>
        <v>0</v>
      </c>
      <c r="L134" s="96">
        <f t="shared" si="64"/>
        <v>0</v>
      </c>
      <c r="M134" s="96">
        <f t="shared" si="64"/>
        <v>48.673000000000059</v>
      </c>
      <c r="N134" s="96">
        <f t="shared" si="64"/>
        <v>-11.145999999999958</v>
      </c>
      <c r="O134" s="96">
        <f t="shared" si="64"/>
        <v>1</v>
      </c>
      <c r="P134" s="96">
        <f t="shared" si="64"/>
        <v>0</v>
      </c>
      <c r="Q134" s="96">
        <f t="shared" si="64"/>
        <v>12</v>
      </c>
      <c r="R134" s="96">
        <f t="shared" si="64"/>
        <v>12</v>
      </c>
      <c r="S134" s="96">
        <f>S46</f>
        <v>6</v>
      </c>
    </row>
    <row r="135" spans="3:19" x14ac:dyDescent="0.2">
      <c r="G135" s="95" t="s">
        <v>283</v>
      </c>
      <c r="H135" s="96">
        <f t="shared" ref="H135:R135" si="65">H51</f>
        <v>0</v>
      </c>
      <c r="I135" s="96">
        <f t="shared" si="65"/>
        <v>0</v>
      </c>
      <c r="J135" s="96">
        <f t="shared" si="65"/>
        <v>0</v>
      </c>
      <c r="K135" s="96">
        <f t="shared" si="65"/>
        <v>0</v>
      </c>
      <c r="L135" s="96">
        <f t="shared" si="65"/>
        <v>0</v>
      </c>
      <c r="M135" s="96">
        <f t="shared" si="65"/>
        <v>48.673000000000059</v>
      </c>
      <c r="N135" s="96">
        <f t="shared" si="65"/>
        <v>-11.145999999999958</v>
      </c>
      <c r="O135" s="96">
        <f t="shared" si="65"/>
        <v>1</v>
      </c>
      <c r="P135" s="96">
        <f t="shared" si="65"/>
        <v>0</v>
      </c>
      <c r="Q135" s="96">
        <f t="shared" si="65"/>
        <v>12</v>
      </c>
      <c r="R135" s="96">
        <f t="shared" si="65"/>
        <v>12</v>
      </c>
      <c r="S135" s="96">
        <f>S51</f>
        <v>6</v>
      </c>
    </row>
    <row r="136" spans="3:19" x14ac:dyDescent="0.2">
      <c r="G136" s="95" t="s">
        <v>284</v>
      </c>
      <c r="H136" s="96">
        <f t="shared" ref="H136:R137" si="66">H4</f>
        <v>0</v>
      </c>
      <c r="I136" s="96">
        <f t="shared" si="66"/>
        <v>0</v>
      </c>
      <c r="J136" s="96">
        <f t="shared" si="66"/>
        <v>0</v>
      </c>
      <c r="K136" s="96">
        <f t="shared" si="66"/>
        <v>0</v>
      </c>
      <c r="L136" s="96">
        <f t="shared" si="66"/>
        <v>0</v>
      </c>
      <c r="M136" s="96">
        <f t="shared" si="66"/>
        <v>105.372</v>
      </c>
      <c r="N136" s="96">
        <f t="shared" si="66"/>
        <v>110.61800000000001</v>
      </c>
      <c r="O136" s="96">
        <f t="shared" si="66"/>
        <v>103</v>
      </c>
      <c r="P136" s="96">
        <f t="shared" si="66"/>
        <v>93</v>
      </c>
      <c r="Q136" s="96">
        <f t="shared" si="66"/>
        <v>102</v>
      </c>
      <c r="R136" s="96">
        <f t="shared" si="66"/>
        <v>112</v>
      </c>
      <c r="S136" s="96">
        <f>S4</f>
        <v>118</v>
      </c>
    </row>
    <row r="137" spans="3:19" x14ac:dyDescent="0.2">
      <c r="G137" s="95" t="s">
        <v>285</v>
      </c>
      <c r="H137" s="96">
        <f t="shared" si="66"/>
        <v>0</v>
      </c>
      <c r="I137" s="96">
        <f t="shared" si="66"/>
        <v>0</v>
      </c>
      <c r="J137" s="96">
        <f t="shared" si="66"/>
        <v>0</v>
      </c>
      <c r="K137" s="96">
        <f t="shared" si="66"/>
        <v>0</v>
      </c>
      <c r="L137" s="96">
        <f t="shared" si="66"/>
        <v>0</v>
      </c>
      <c r="M137" s="96">
        <f t="shared" si="66"/>
        <v>50.323</v>
      </c>
      <c r="N137" s="96">
        <f t="shared" si="66"/>
        <v>65.671000000000006</v>
      </c>
      <c r="O137" s="96">
        <f t="shared" si="66"/>
        <v>68</v>
      </c>
      <c r="P137" s="96">
        <f t="shared" si="66"/>
        <v>68</v>
      </c>
      <c r="Q137" s="96">
        <f t="shared" si="66"/>
        <v>87</v>
      </c>
      <c r="R137" s="96">
        <f t="shared" si="66"/>
        <v>102</v>
      </c>
      <c r="S137" s="96">
        <f>S5</f>
        <v>108</v>
      </c>
    </row>
    <row r="138" spans="3:19" x14ac:dyDescent="0.2">
      <c r="G138" s="95" t="s">
        <v>286</v>
      </c>
      <c r="H138" s="96">
        <f t="shared" ref="H138:R138" si="67">H10</f>
        <v>0</v>
      </c>
      <c r="I138" s="96">
        <f t="shared" si="67"/>
        <v>0</v>
      </c>
      <c r="J138" s="96">
        <f t="shared" si="67"/>
        <v>0</v>
      </c>
      <c r="K138" s="96">
        <f t="shared" si="67"/>
        <v>0</v>
      </c>
      <c r="L138" s="96">
        <f t="shared" si="67"/>
        <v>0</v>
      </c>
      <c r="M138" s="96">
        <f t="shared" si="67"/>
        <v>55.048999999999999</v>
      </c>
      <c r="N138" s="96">
        <f t="shared" si="67"/>
        <v>44.947000000000003</v>
      </c>
      <c r="O138" s="96">
        <f t="shared" si="67"/>
        <v>35</v>
      </c>
      <c r="P138" s="96">
        <f t="shared" si="67"/>
        <v>25</v>
      </c>
      <c r="Q138" s="96">
        <f t="shared" si="67"/>
        <v>15</v>
      </c>
      <c r="R138" s="96">
        <f t="shared" si="67"/>
        <v>10</v>
      </c>
      <c r="S138" s="96">
        <f>S10</f>
        <v>10</v>
      </c>
    </row>
    <row r="139" spans="3:19" x14ac:dyDescent="0.2">
      <c r="G139" s="95" t="s">
        <v>287</v>
      </c>
      <c r="H139" s="96">
        <f t="shared" ref="H139:R140" si="68">H19</f>
        <v>0</v>
      </c>
      <c r="I139" s="96">
        <f t="shared" si="68"/>
        <v>0</v>
      </c>
      <c r="J139" s="96">
        <f t="shared" si="68"/>
        <v>0</v>
      </c>
      <c r="K139" s="96">
        <f t="shared" si="68"/>
        <v>0</v>
      </c>
      <c r="L139" s="96">
        <f t="shared" si="68"/>
        <v>0</v>
      </c>
      <c r="M139" s="96">
        <f t="shared" si="68"/>
        <v>17.164999999999999</v>
      </c>
      <c r="N139" s="96">
        <f t="shared" si="68"/>
        <v>33.557000000000002</v>
      </c>
      <c r="O139" s="96">
        <f t="shared" si="68"/>
        <v>25</v>
      </c>
      <c r="P139" s="96">
        <f t="shared" si="68"/>
        <v>15</v>
      </c>
      <c r="Q139" s="96">
        <f t="shared" si="68"/>
        <v>12</v>
      </c>
      <c r="R139" s="96">
        <f t="shared" si="68"/>
        <v>10</v>
      </c>
      <c r="S139" s="96">
        <f>S19</f>
        <v>10</v>
      </c>
    </row>
    <row r="140" spans="3:19" x14ac:dyDescent="0.2">
      <c r="G140" s="95" t="s">
        <v>288</v>
      </c>
      <c r="H140" s="96">
        <f t="shared" si="68"/>
        <v>0</v>
      </c>
      <c r="I140" s="96">
        <f t="shared" si="68"/>
        <v>0</v>
      </c>
      <c r="J140" s="96">
        <f t="shared" si="68"/>
        <v>0</v>
      </c>
      <c r="K140" s="96">
        <f t="shared" si="68"/>
        <v>0</v>
      </c>
      <c r="L140" s="96">
        <f t="shared" si="68"/>
        <v>0</v>
      </c>
      <c r="M140" s="96">
        <f t="shared" si="68"/>
        <v>0</v>
      </c>
      <c r="N140" s="96">
        <f t="shared" si="68"/>
        <v>0</v>
      </c>
      <c r="O140" s="96">
        <f t="shared" si="68"/>
        <v>0</v>
      </c>
      <c r="P140" s="96">
        <f t="shared" si="68"/>
        <v>0</v>
      </c>
      <c r="Q140" s="96">
        <f t="shared" si="68"/>
        <v>0</v>
      </c>
      <c r="R140" s="96">
        <f t="shared" si="68"/>
        <v>0</v>
      </c>
      <c r="S140" s="96">
        <f>S20</f>
        <v>0</v>
      </c>
    </row>
    <row r="141" spans="3:19" x14ac:dyDescent="0.2">
      <c r="G141" s="95" t="s">
        <v>289</v>
      </c>
      <c r="H141" s="96">
        <f t="shared" ref="H141:R141" si="69">H24</f>
        <v>0</v>
      </c>
      <c r="I141" s="96">
        <f t="shared" si="69"/>
        <v>0</v>
      </c>
      <c r="J141" s="96">
        <f t="shared" si="69"/>
        <v>0</v>
      </c>
      <c r="K141" s="96">
        <f t="shared" si="69"/>
        <v>0</v>
      </c>
      <c r="L141" s="96">
        <f t="shared" si="69"/>
        <v>0</v>
      </c>
      <c r="M141" s="96">
        <f t="shared" si="69"/>
        <v>0</v>
      </c>
      <c r="N141" s="96">
        <f t="shared" si="69"/>
        <v>0</v>
      </c>
      <c r="O141" s="96">
        <f t="shared" si="69"/>
        <v>0</v>
      </c>
      <c r="P141" s="96">
        <f t="shared" si="69"/>
        <v>0</v>
      </c>
      <c r="Q141" s="96">
        <f t="shared" si="69"/>
        <v>0</v>
      </c>
      <c r="R141" s="96">
        <f t="shared" si="69"/>
        <v>0</v>
      </c>
      <c r="S141" s="96">
        <f>S24</f>
        <v>0</v>
      </c>
    </row>
    <row r="142" spans="3:19" x14ac:dyDescent="0.2">
      <c r="G142" s="95" t="s">
        <v>290</v>
      </c>
      <c r="H142" s="96">
        <f t="shared" ref="H142:R142" si="70">H27</f>
        <v>0</v>
      </c>
      <c r="I142" s="96">
        <f t="shared" si="70"/>
        <v>0</v>
      </c>
      <c r="J142" s="96">
        <f t="shared" si="70"/>
        <v>0</v>
      </c>
      <c r="K142" s="96">
        <f t="shared" si="70"/>
        <v>0</v>
      </c>
      <c r="L142" s="96">
        <f t="shared" si="70"/>
        <v>0</v>
      </c>
      <c r="M142" s="96">
        <f t="shared" si="70"/>
        <v>88.206999999999994</v>
      </c>
      <c r="N142" s="96">
        <f t="shared" si="70"/>
        <v>77.060999999999993</v>
      </c>
      <c r="O142" s="96">
        <f t="shared" si="70"/>
        <v>78</v>
      </c>
      <c r="P142" s="96">
        <f t="shared" si="70"/>
        <v>78</v>
      </c>
      <c r="Q142" s="96">
        <f t="shared" si="70"/>
        <v>90</v>
      </c>
      <c r="R142" s="96">
        <f t="shared" si="70"/>
        <v>102</v>
      </c>
      <c r="S142" s="96">
        <f>S27</f>
        <v>108</v>
      </c>
    </row>
    <row r="143" spans="3:19" x14ac:dyDescent="0.2">
      <c r="C143" s="41"/>
      <c r="D143" s="41"/>
      <c r="E143" s="42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</row>
    <row r="144" spans="3:19" x14ac:dyDescent="0.2">
      <c r="C144" s="8" t="s">
        <v>544</v>
      </c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</row>
    <row r="145" spans="3:19" x14ac:dyDescent="0.2">
      <c r="C145" s="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</row>
    <row r="146" spans="3:19" x14ac:dyDescent="0.2">
      <c r="C146" s="8" t="s">
        <v>291</v>
      </c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</row>
    <row r="147" spans="3:19" x14ac:dyDescent="0.2">
      <c r="C147" s="8" t="s">
        <v>292</v>
      </c>
      <c r="F147" s="12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4"/>
      <c r="R147" s="44"/>
      <c r="S147" s="44"/>
    </row>
    <row r="148" spans="3:19" x14ac:dyDescent="0.2">
      <c r="C148" s="8"/>
      <c r="F148" s="12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</row>
    <row r="149" spans="3:19" x14ac:dyDescent="0.2">
      <c r="C149" s="8" t="s">
        <v>293</v>
      </c>
      <c r="F149" s="12"/>
    </row>
    <row r="150" spans="3:19" x14ac:dyDescent="0.2">
      <c r="C150" s="8" t="s">
        <v>294</v>
      </c>
      <c r="F150" s="12"/>
    </row>
  </sheetData>
  <mergeCells count="2">
    <mergeCell ref="N2:S2"/>
    <mergeCell ref="D87:E87"/>
  </mergeCells>
  <conditionalFormatting sqref="H116:Q116">
    <cfRule type="cellIs" dxfId="1476" priority="80" stopIfTrue="1" operator="greaterThan">
      <formula>$E$116</formula>
    </cfRule>
    <cfRule type="cellIs" dxfId="1475" priority="81" stopIfTrue="1" operator="lessThanOrEqual">
      <formula>$E$116</formula>
    </cfRule>
  </conditionalFormatting>
  <conditionalFormatting sqref="H118:Q118">
    <cfRule type="cellIs" dxfId="1474" priority="78" stopIfTrue="1" operator="lessThanOrEqual">
      <formula>$E$118</formula>
    </cfRule>
    <cfRule type="cellIs" dxfId="1473" priority="79" stopIfTrue="1" operator="greaterThan">
      <formula>$E$118</formula>
    </cfRule>
  </conditionalFormatting>
  <conditionalFormatting sqref="H99:Q99">
    <cfRule type="cellIs" dxfId="1472" priority="76" operator="greaterThan">
      <formula>$E$99</formula>
    </cfRule>
    <cfRule type="cellIs" dxfId="1471" priority="77" operator="lessThanOrEqual">
      <formula>$E$99</formula>
    </cfRule>
  </conditionalFormatting>
  <conditionalFormatting sqref="H102:Q102">
    <cfRule type="cellIs" dxfId="1470" priority="74" stopIfTrue="1" operator="greaterThanOrEqual">
      <formula>$E$102</formula>
    </cfRule>
    <cfRule type="cellIs" dxfId="1469" priority="75" stopIfTrue="1" operator="lessThan">
      <formula>$E$102</formula>
    </cfRule>
  </conditionalFormatting>
  <conditionalFormatting sqref="H104:Q104">
    <cfRule type="cellIs" dxfId="1468" priority="72" stopIfTrue="1" operator="lessThan">
      <formula>$E$104</formula>
    </cfRule>
    <cfRule type="cellIs" dxfId="1467" priority="73" stopIfTrue="1" operator="greaterThanOrEqual">
      <formula>$E$104</formula>
    </cfRule>
  </conditionalFormatting>
  <conditionalFormatting sqref="H103:Q103">
    <cfRule type="cellIs" dxfId="1466" priority="70" stopIfTrue="1" operator="greaterThan">
      <formula>$E$103</formula>
    </cfRule>
    <cfRule type="cellIs" dxfId="1465" priority="71" stopIfTrue="1" operator="lessThanOrEqual">
      <formula>$E$103</formula>
    </cfRule>
  </conditionalFormatting>
  <conditionalFormatting sqref="H100:Q100">
    <cfRule type="cellIs" dxfId="1464" priority="59" stopIfTrue="1" operator="between">
      <formula>$D$100</formula>
      <formula>$E$100</formula>
    </cfRule>
    <cfRule type="cellIs" dxfId="1463" priority="68" stopIfTrue="1" operator="lessThanOrEqual">
      <formula>$D$100</formula>
    </cfRule>
    <cfRule type="cellIs" dxfId="1462" priority="69" stopIfTrue="1" operator="greaterThan">
      <formula>$E$100</formula>
    </cfRule>
  </conditionalFormatting>
  <conditionalFormatting sqref="H117:Q117">
    <cfRule type="cellIs" dxfId="1461" priority="66" stopIfTrue="1" operator="greaterThan">
      <formula>$E$117</formula>
    </cfRule>
    <cfRule type="cellIs" dxfId="1460" priority="67" stopIfTrue="1" operator="lessThanOrEqual">
      <formula>$E$117</formula>
    </cfRule>
  </conditionalFormatting>
  <conditionalFormatting sqref="H107:Q107">
    <cfRule type="cellIs" dxfId="1459" priority="64" stopIfTrue="1" operator="greaterThan">
      <formula>$E$107</formula>
    </cfRule>
    <cfRule type="cellIs" dxfId="1458" priority="65" stopIfTrue="1" operator="lessThanOrEqual">
      <formula>$E$107</formula>
    </cfRule>
  </conditionalFormatting>
  <conditionalFormatting sqref="H108:Q108">
    <cfRule type="cellIs" dxfId="1457" priority="62" stopIfTrue="1" operator="lessThan">
      <formula>$E$108</formula>
    </cfRule>
    <cfRule type="cellIs" dxfId="1456" priority="63" stopIfTrue="1" operator="greaterThanOrEqual">
      <formula>$E$108</formula>
    </cfRule>
  </conditionalFormatting>
  <conditionalFormatting sqref="H93:Q93">
    <cfRule type="cellIs" dxfId="1455" priority="82" stopIfTrue="1" operator="lessThan">
      <formula>$D$93</formula>
    </cfRule>
    <cfRule type="cellIs" dxfId="1454" priority="83" stopIfTrue="1" operator="between">
      <formula>$D$93</formula>
      <formula>$E$93</formula>
    </cfRule>
    <cfRule type="cellIs" dxfId="1453" priority="84" stopIfTrue="1" operator="greaterThan">
      <formula>$E$93</formula>
    </cfRule>
  </conditionalFormatting>
  <conditionalFormatting sqref="H114:Q114">
    <cfRule type="cellIs" dxfId="1452" priority="85" stopIfTrue="1" operator="lessThan">
      <formula>$E$114</formula>
    </cfRule>
    <cfRule type="cellIs" dxfId="1451" priority="86" stopIfTrue="1" operator="between">
      <formula>$D$114</formula>
      <formula>$E$114</formula>
    </cfRule>
    <cfRule type="cellIs" dxfId="1450" priority="87" stopIfTrue="1" operator="greaterThanOrEqual">
      <formula>$D$114</formula>
    </cfRule>
  </conditionalFormatting>
  <conditionalFormatting sqref="H90:Q90">
    <cfRule type="cellIs" dxfId="1449" priority="60" stopIfTrue="1" operator="lessThan">
      <formula>$E$90</formula>
    </cfRule>
    <cfRule type="cellIs" dxfId="1448" priority="61" stopIfTrue="1" operator="greaterThan">
      <formula>$E$90</formula>
    </cfRule>
  </conditionalFormatting>
  <conditionalFormatting sqref="R116">
    <cfRule type="cellIs" dxfId="1447" priority="51" stopIfTrue="1" operator="greaterThan">
      <formula>$E$116</formula>
    </cfRule>
    <cfRule type="cellIs" dxfId="1446" priority="52" stopIfTrue="1" operator="lessThanOrEqual">
      <formula>$E$116</formula>
    </cfRule>
  </conditionalFormatting>
  <conditionalFormatting sqref="R118">
    <cfRule type="cellIs" dxfId="1445" priority="49" stopIfTrue="1" operator="lessThanOrEqual">
      <formula>$E$118</formula>
    </cfRule>
    <cfRule type="cellIs" dxfId="1444" priority="50" stopIfTrue="1" operator="greaterThan">
      <formula>$E$118</formula>
    </cfRule>
  </conditionalFormatting>
  <conditionalFormatting sqref="R99">
    <cfRule type="cellIs" dxfId="1443" priority="47" operator="greaterThan">
      <formula>$E$99</formula>
    </cfRule>
    <cfRule type="cellIs" dxfId="1442" priority="48" operator="lessThanOrEqual">
      <formula>$E$99</formula>
    </cfRule>
  </conditionalFormatting>
  <conditionalFormatting sqref="R102">
    <cfRule type="cellIs" dxfId="1441" priority="45" stopIfTrue="1" operator="greaterThanOrEqual">
      <formula>$E$102</formula>
    </cfRule>
    <cfRule type="cellIs" dxfId="1440" priority="46" stopIfTrue="1" operator="lessThan">
      <formula>$E$102</formula>
    </cfRule>
  </conditionalFormatting>
  <conditionalFormatting sqref="R104">
    <cfRule type="cellIs" dxfId="1439" priority="43" stopIfTrue="1" operator="lessThan">
      <formula>$E$104</formula>
    </cfRule>
    <cfRule type="cellIs" dxfId="1438" priority="44" stopIfTrue="1" operator="greaterThanOrEqual">
      <formula>$E$104</formula>
    </cfRule>
  </conditionalFormatting>
  <conditionalFormatting sqref="R103">
    <cfRule type="cellIs" dxfId="1437" priority="41" stopIfTrue="1" operator="greaterThan">
      <formula>$E$103</formula>
    </cfRule>
    <cfRule type="cellIs" dxfId="1436" priority="42" stopIfTrue="1" operator="lessThanOrEqual">
      <formula>$E$103</formula>
    </cfRule>
  </conditionalFormatting>
  <conditionalFormatting sqref="R100">
    <cfRule type="cellIs" dxfId="1435" priority="30" stopIfTrue="1" operator="between">
      <formula>$D$100</formula>
      <formula>$E$100</formula>
    </cfRule>
    <cfRule type="cellIs" dxfId="1434" priority="39" stopIfTrue="1" operator="lessThanOrEqual">
      <formula>$D$100</formula>
    </cfRule>
    <cfRule type="cellIs" dxfId="1433" priority="40" stopIfTrue="1" operator="greaterThan">
      <formula>$E$100</formula>
    </cfRule>
  </conditionalFormatting>
  <conditionalFormatting sqref="R117">
    <cfRule type="cellIs" dxfId="1432" priority="37" stopIfTrue="1" operator="greaterThan">
      <formula>$E$117</formula>
    </cfRule>
    <cfRule type="cellIs" dxfId="1431" priority="38" stopIfTrue="1" operator="lessThanOrEqual">
      <formula>$E$117</formula>
    </cfRule>
  </conditionalFormatting>
  <conditionalFormatting sqref="R107">
    <cfRule type="cellIs" dxfId="1430" priority="35" stopIfTrue="1" operator="greaterThan">
      <formula>$E$107</formula>
    </cfRule>
    <cfRule type="cellIs" dxfId="1429" priority="36" stopIfTrue="1" operator="lessThanOrEqual">
      <formula>$E$107</formula>
    </cfRule>
  </conditionalFormatting>
  <conditionalFormatting sqref="R108">
    <cfRule type="cellIs" dxfId="1428" priority="33" stopIfTrue="1" operator="lessThan">
      <formula>$E$108</formula>
    </cfRule>
    <cfRule type="cellIs" dxfId="1427" priority="34" stopIfTrue="1" operator="greaterThanOrEqual">
      <formula>$E$108</formula>
    </cfRule>
  </conditionalFormatting>
  <conditionalFormatting sqref="R93">
    <cfRule type="cellIs" dxfId="1426" priority="53" stopIfTrue="1" operator="lessThan">
      <formula>$D$93</formula>
    </cfRule>
    <cfRule type="cellIs" dxfId="1425" priority="54" stopIfTrue="1" operator="between">
      <formula>$D$93</formula>
      <formula>$E$93</formula>
    </cfRule>
    <cfRule type="cellIs" dxfId="1424" priority="55" stopIfTrue="1" operator="greaterThan">
      <formula>$E$93</formula>
    </cfRule>
  </conditionalFormatting>
  <conditionalFormatting sqref="R114">
    <cfRule type="cellIs" dxfId="1423" priority="56" stopIfTrue="1" operator="lessThan">
      <formula>$E$114</formula>
    </cfRule>
    <cfRule type="cellIs" dxfId="1422" priority="57" stopIfTrue="1" operator="between">
      <formula>$D$114</formula>
      <formula>$E$114</formula>
    </cfRule>
    <cfRule type="cellIs" dxfId="1421" priority="58" stopIfTrue="1" operator="greaterThanOrEqual">
      <formula>$D$114</formula>
    </cfRule>
  </conditionalFormatting>
  <conditionalFormatting sqref="R90">
    <cfRule type="cellIs" dxfId="1420" priority="31" stopIfTrue="1" operator="lessThan">
      <formula>$E$90</formula>
    </cfRule>
    <cfRule type="cellIs" dxfId="1419" priority="32" stopIfTrue="1" operator="greaterThan">
      <formula>$E$90</formula>
    </cfRule>
  </conditionalFormatting>
  <conditionalFormatting sqref="S116">
    <cfRule type="cellIs" dxfId="1418" priority="22" stopIfTrue="1" operator="greaterThan">
      <formula>$E$116</formula>
    </cfRule>
    <cfRule type="cellIs" dxfId="1417" priority="23" stopIfTrue="1" operator="lessThanOrEqual">
      <formula>$E$116</formula>
    </cfRule>
  </conditionalFormatting>
  <conditionalFormatting sqref="S118">
    <cfRule type="cellIs" dxfId="1416" priority="20" stopIfTrue="1" operator="lessThanOrEqual">
      <formula>$E$118</formula>
    </cfRule>
    <cfRule type="cellIs" dxfId="1415" priority="21" stopIfTrue="1" operator="greaterThan">
      <formula>$E$118</formula>
    </cfRule>
  </conditionalFormatting>
  <conditionalFormatting sqref="S99">
    <cfRule type="cellIs" dxfId="1414" priority="18" operator="greaterThan">
      <formula>$E$99</formula>
    </cfRule>
    <cfRule type="cellIs" dxfId="1413" priority="19" operator="lessThanOrEqual">
      <formula>$E$99</formula>
    </cfRule>
  </conditionalFormatting>
  <conditionalFormatting sqref="S102">
    <cfRule type="cellIs" dxfId="1412" priority="16" stopIfTrue="1" operator="greaterThanOrEqual">
      <formula>$E$102</formula>
    </cfRule>
    <cfRule type="cellIs" dxfId="1411" priority="17" stopIfTrue="1" operator="lessThan">
      <formula>$E$102</formula>
    </cfRule>
  </conditionalFormatting>
  <conditionalFormatting sqref="S104">
    <cfRule type="cellIs" dxfId="1410" priority="14" stopIfTrue="1" operator="lessThan">
      <formula>$E$104</formula>
    </cfRule>
    <cfRule type="cellIs" dxfId="1409" priority="15" stopIfTrue="1" operator="greaterThanOrEqual">
      <formula>$E$104</formula>
    </cfRule>
  </conditionalFormatting>
  <conditionalFormatting sqref="S103">
    <cfRule type="cellIs" dxfId="1408" priority="12" stopIfTrue="1" operator="greaterThan">
      <formula>$E$103</formula>
    </cfRule>
    <cfRule type="cellIs" dxfId="1407" priority="13" stopIfTrue="1" operator="lessThanOrEqual">
      <formula>$E$103</formula>
    </cfRule>
  </conditionalFormatting>
  <conditionalFormatting sqref="S100">
    <cfRule type="cellIs" dxfId="1406" priority="1" stopIfTrue="1" operator="between">
      <formula>$D$100</formula>
      <formula>$E$100</formula>
    </cfRule>
    <cfRule type="cellIs" dxfId="1405" priority="10" stopIfTrue="1" operator="lessThanOrEqual">
      <formula>$D$100</formula>
    </cfRule>
    <cfRule type="cellIs" dxfId="1404" priority="11" stopIfTrue="1" operator="greaterThan">
      <formula>$E$100</formula>
    </cfRule>
  </conditionalFormatting>
  <conditionalFormatting sqref="S117">
    <cfRule type="cellIs" dxfId="1403" priority="8" stopIfTrue="1" operator="greaterThan">
      <formula>$E$117</formula>
    </cfRule>
    <cfRule type="cellIs" dxfId="1402" priority="9" stopIfTrue="1" operator="lessThanOrEqual">
      <formula>$E$117</formula>
    </cfRule>
  </conditionalFormatting>
  <conditionalFormatting sqref="S107">
    <cfRule type="cellIs" dxfId="1401" priority="6" stopIfTrue="1" operator="greaterThan">
      <formula>$E$107</formula>
    </cfRule>
    <cfRule type="cellIs" dxfId="1400" priority="7" stopIfTrue="1" operator="lessThanOrEqual">
      <formula>$E$107</formula>
    </cfRule>
  </conditionalFormatting>
  <conditionalFormatting sqref="S108">
    <cfRule type="cellIs" dxfId="1399" priority="4" stopIfTrue="1" operator="lessThan">
      <formula>$E$108</formula>
    </cfRule>
    <cfRule type="cellIs" dxfId="1398" priority="5" stopIfTrue="1" operator="greaterThanOrEqual">
      <formula>$E$108</formula>
    </cfRule>
  </conditionalFormatting>
  <conditionalFormatting sqref="S93">
    <cfRule type="cellIs" dxfId="1397" priority="24" stopIfTrue="1" operator="lessThan">
      <formula>$D$93</formula>
    </cfRule>
    <cfRule type="cellIs" dxfId="1396" priority="25" stopIfTrue="1" operator="between">
      <formula>$D$93</formula>
      <formula>$E$93</formula>
    </cfRule>
    <cfRule type="cellIs" dxfId="1395" priority="26" stopIfTrue="1" operator="greaterThan">
      <formula>$E$93</formula>
    </cfRule>
  </conditionalFormatting>
  <conditionalFormatting sqref="S114">
    <cfRule type="cellIs" dxfId="1394" priority="27" stopIfTrue="1" operator="lessThan">
      <formula>$E$114</formula>
    </cfRule>
    <cfRule type="cellIs" dxfId="1393" priority="28" stopIfTrue="1" operator="between">
      <formula>$D$114</formula>
      <formula>$E$114</formula>
    </cfRule>
    <cfRule type="cellIs" dxfId="1392" priority="29" stopIfTrue="1" operator="greaterThanOrEqual">
      <formula>$D$114</formula>
    </cfRule>
  </conditionalFormatting>
  <conditionalFormatting sqref="S90">
    <cfRule type="cellIs" dxfId="1391" priority="2" stopIfTrue="1" operator="lessThan">
      <formula>$E$90</formula>
    </cfRule>
    <cfRule type="cellIs" dxfId="1390" priority="3" stopIfTrue="1" operator="greaterThan">
      <formula>$E$90</formula>
    </cfRule>
  </conditionalFormatting>
  <pageMargins left="0.7" right="0.7" top="0.75" bottom="0.75" header="0.3" footer="0.3"/>
  <pageSetup scale="71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05959-52C3-433D-8566-309C15EED9FB}">
  <dimension ref="A1:T202"/>
  <sheetViews>
    <sheetView zoomScaleNormal="100" workbookViewId="0">
      <pane ySplit="3" topLeftCell="A4" activePane="bottomLeft" state="frozen"/>
      <selection activeCell="W16" sqref="W16"/>
      <selection pane="bottomLeft" activeCell="G2" sqref="G2"/>
    </sheetView>
  </sheetViews>
  <sheetFormatPr defaultColWidth="11.42578125" defaultRowHeight="11.25" outlineLevelCol="1" x14ac:dyDescent="0.2"/>
  <cols>
    <col min="1" max="1" width="7.28515625" style="47" customWidth="1"/>
    <col min="2" max="2" width="4.7109375" style="47" bestFit="1" customWidth="1"/>
    <col min="3" max="3" width="11.42578125" style="47" customWidth="1"/>
    <col min="4" max="5" width="5.140625" style="47" bestFit="1" customWidth="1"/>
    <col min="6" max="6" width="2.7109375" style="8" customWidth="1"/>
    <col min="7" max="7" width="29" style="47" customWidth="1"/>
    <col min="8" max="12" width="8.7109375" style="47" hidden="1" customWidth="1" outlineLevel="1"/>
    <col min="13" max="13" width="8.7109375" style="47" customWidth="1" collapsed="1"/>
    <col min="14" max="14" width="9.7109375" style="47" customWidth="1"/>
    <col min="15" max="19" width="8.7109375" style="47" bestFit="1" customWidth="1"/>
    <col min="20" max="256" width="11.42578125" style="47"/>
    <col min="257" max="257" width="7.28515625" style="47" customWidth="1"/>
    <col min="258" max="258" width="4.7109375" style="47" bestFit="1" customWidth="1"/>
    <col min="259" max="259" width="11.42578125" style="47"/>
    <col min="260" max="261" width="5.140625" style="47" bestFit="1" customWidth="1"/>
    <col min="262" max="262" width="2.7109375" style="47" customWidth="1"/>
    <col min="263" max="263" width="29" style="47" customWidth="1"/>
    <col min="264" max="268" width="0" style="47" hidden="1" customWidth="1"/>
    <col min="269" max="269" width="8.7109375" style="47" customWidth="1"/>
    <col min="270" max="270" width="9.7109375" style="47" customWidth="1"/>
    <col min="271" max="275" width="8.7109375" style="47" bestFit="1" customWidth="1"/>
    <col min="276" max="512" width="11.42578125" style="47"/>
    <col min="513" max="513" width="7.28515625" style="47" customWidth="1"/>
    <col min="514" max="514" width="4.7109375" style="47" bestFit="1" customWidth="1"/>
    <col min="515" max="515" width="11.42578125" style="47"/>
    <col min="516" max="517" width="5.140625" style="47" bestFit="1" customWidth="1"/>
    <col min="518" max="518" width="2.7109375" style="47" customWidth="1"/>
    <col min="519" max="519" width="29" style="47" customWidth="1"/>
    <col min="520" max="524" width="0" style="47" hidden="1" customWidth="1"/>
    <col min="525" max="525" width="8.7109375" style="47" customWidth="1"/>
    <col min="526" max="526" width="9.7109375" style="47" customWidth="1"/>
    <col min="527" max="531" width="8.7109375" style="47" bestFit="1" customWidth="1"/>
    <col min="532" max="768" width="11.42578125" style="47"/>
    <col min="769" max="769" width="7.28515625" style="47" customWidth="1"/>
    <col min="770" max="770" width="4.7109375" style="47" bestFit="1" customWidth="1"/>
    <col min="771" max="771" width="11.42578125" style="47"/>
    <col min="772" max="773" width="5.140625" style="47" bestFit="1" customWidth="1"/>
    <col min="774" max="774" width="2.7109375" style="47" customWidth="1"/>
    <col min="775" max="775" width="29" style="47" customWidth="1"/>
    <col min="776" max="780" width="0" style="47" hidden="1" customWidth="1"/>
    <col min="781" max="781" width="8.7109375" style="47" customWidth="1"/>
    <col min="782" max="782" width="9.7109375" style="47" customWidth="1"/>
    <col min="783" max="787" width="8.7109375" style="47" bestFit="1" customWidth="1"/>
    <col min="788" max="1024" width="11.42578125" style="47"/>
    <col min="1025" max="1025" width="7.28515625" style="47" customWidth="1"/>
    <col min="1026" max="1026" width="4.7109375" style="47" bestFit="1" customWidth="1"/>
    <col min="1027" max="1027" width="11.42578125" style="47"/>
    <col min="1028" max="1029" width="5.140625" style="47" bestFit="1" customWidth="1"/>
    <col min="1030" max="1030" width="2.7109375" style="47" customWidth="1"/>
    <col min="1031" max="1031" width="29" style="47" customWidth="1"/>
    <col min="1032" max="1036" width="0" style="47" hidden="1" customWidth="1"/>
    <col min="1037" max="1037" width="8.7109375" style="47" customWidth="1"/>
    <col min="1038" max="1038" width="9.7109375" style="47" customWidth="1"/>
    <col min="1039" max="1043" width="8.7109375" style="47" bestFit="1" customWidth="1"/>
    <col min="1044" max="1280" width="11.42578125" style="47"/>
    <col min="1281" max="1281" width="7.28515625" style="47" customWidth="1"/>
    <col min="1282" max="1282" width="4.7109375" style="47" bestFit="1" customWidth="1"/>
    <col min="1283" max="1283" width="11.42578125" style="47"/>
    <col min="1284" max="1285" width="5.140625" style="47" bestFit="1" customWidth="1"/>
    <col min="1286" max="1286" width="2.7109375" style="47" customWidth="1"/>
    <col min="1287" max="1287" width="29" style="47" customWidth="1"/>
    <col min="1288" max="1292" width="0" style="47" hidden="1" customWidth="1"/>
    <col min="1293" max="1293" width="8.7109375" style="47" customWidth="1"/>
    <col min="1294" max="1294" width="9.7109375" style="47" customWidth="1"/>
    <col min="1295" max="1299" width="8.7109375" style="47" bestFit="1" customWidth="1"/>
    <col min="1300" max="1536" width="11.42578125" style="47"/>
    <col min="1537" max="1537" width="7.28515625" style="47" customWidth="1"/>
    <col min="1538" max="1538" width="4.7109375" style="47" bestFit="1" customWidth="1"/>
    <col min="1539" max="1539" width="11.42578125" style="47"/>
    <col min="1540" max="1541" width="5.140625" style="47" bestFit="1" customWidth="1"/>
    <col min="1542" max="1542" width="2.7109375" style="47" customWidth="1"/>
    <col min="1543" max="1543" width="29" style="47" customWidth="1"/>
    <col min="1544" max="1548" width="0" style="47" hidden="1" customWidth="1"/>
    <col min="1549" max="1549" width="8.7109375" style="47" customWidth="1"/>
    <col min="1550" max="1550" width="9.7109375" style="47" customWidth="1"/>
    <col min="1551" max="1555" width="8.7109375" style="47" bestFit="1" customWidth="1"/>
    <col min="1556" max="1792" width="11.42578125" style="47"/>
    <col min="1793" max="1793" width="7.28515625" style="47" customWidth="1"/>
    <col min="1794" max="1794" width="4.7109375" style="47" bestFit="1" customWidth="1"/>
    <col min="1795" max="1795" width="11.42578125" style="47"/>
    <col min="1796" max="1797" width="5.140625" style="47" bestFit="1" customWidth="1"/>
    <col min="1798" max="1798" width="2.7109375" style="47" customWidth="1"/>
    <col min="1799" max="1799" width="29" style="47" customWidth="1"/>
    <col min="1800" max="1804" width="0" style="47" hidden="1" customWidth="1"/>
    <col min="1805" max="1805" width="8.7109375" style="47" customWidth="1"/>
    <col min="1806" max="1806" width="9.7109375" style="47" customWidth="1"/>
    <col min="1807" max="1811" width="8.7109375" style="47" bestFit="1" customWidth="1"/>
    <col min="1812" max="2048" width="11.42578125" style="47"/>
    <col min="2049" max="2049" width="7.28515625" style="47" customWidth="1"/>
    <col min="2050" max="2050" width="4.7109375" style="47" bestFit="1" customWidth="1"/>
    <col min="2051" max="2051" width="11.42578125" style="47"/>
    <col min="2052" max="2053" width="5.140625" style="47" bestFit="1" customWidth="1"/>
    <col min="2054" max="2054" width="2.7109375" style="47" customWidth="1"/>
    <col min="2055" max="2055" width="29" style="47" customWidth="1"/>
    <col min="2056" max="2060" width="0" style="47" hidden="1" customWidth="1"/>
    <col min="2061" max="2061" width="8.7109375" style="47" customWidth="1"/>
    <col min="2062" max="2062" width="9.7109375" style="47" customWidth="1"/>
    <col min="2063" max="2067" width="8.7109375" style="47" bestFit="1" customWidth="1"/>
    <col min="2068" max="2304" width="11.42578125" style="47"/>
    <col min="2305" max="2305" width="7.28515625" style="47" customWidth="1"/>
    <col min="2306" max="2306" width="4.7109375" style="47" bestFit="1" customWidth="1"/>
    <col min="2307" max="2307" width="11.42578125" style="47"/>
    <col min="2308" max="2309" width="5.140625" style="47" bestFit="1" customWidth="1"/>
    <col min="2310" max="2310" width="2.7109375" style="47" customWidth="1"/>
    <col min="2311" max="2311" width="29" style="47" customWidth="1"/>
    <col min="2312" max="2316" width="0" style="47" hidden="1" customWidth="1"/>
    <col min="2317" max="2317" width="8.7109375" style="47" customWidth="1"/>
    <col min="2318" max="2318" width="9.7109375" style="47" customWidth="1"/>
    <col min="2319" max="2323" width="8.7109375" style="47" bestFit="1" customWidth="1"/>
    <col min="2324" max="2560" width="11.42578125" style="47"/>
    <col min="2561" max="2561" width="7.28515625" style="47" customWidth="1"/>
    <col min="2562" max="2562" width="4.7109375" style="47" bestFit="1" customWidth="1"/>
    <col min="2563" max="2563" width="11.42578125" style="47"/>
    <col min="2564" max="2565" width="5.140625" style="47" bestFit="1" customWidth="1"/>
    <col min="2566" max="2566" width="2.7109375" style="47" customWidth="1"/>
    <col min="2567" max="2567" width="29" style="47" customWidth="1"/>
    <col min="2568" max="2572" width="0" style="47" hidden="1" customWidth="1"/>
    <col min="2573" max="2573" width="8.7109375" style="47" customWidth="1"/>
    <col min="2574" max="2574" width="9.7109375" style="47" customWidth="1"/>
    <col min="2575" max="2579" width="8.7109375" style="47" bestFit="1" customWidth="1"/>
    <col min="2580" max="2816" width="11.42578125" style="47"/>
    <col min="2817" max="2817" width="7.28515625" style="47" customWidth="1"/>
    <col min="2818" max="2818" width="4.7109375" style="47" bestFit="1" customWidth="1"/>
    <col min="2819" max="2819" width="11.42578125" style="47"/>
    <col min="2820" max="2821" width="5.140625" style="47" bestFit="1" customWidth="1"/>
    <col min="2822" max="2822" width="2.7109375" style="47" customWidth="1"/>
    <col min="2823" max="2823" width="29" style="47" customWidth="1"/>
    <col min="2824" max="2828" width="0" style="47" hidden="1" customWidth="1"/>
    <col min="2829" max="2829" width="8.7109375" style="47" customWidth="1"/>
    <col min="2830" max="2830" width="9.7109375" style="47" customWidth="1"/>
    <col min="2831" max="2835" width="8.7109375" style="47" bestFit="1" customWidth="1"/>
    <col min="2836" max="3072" width="11.42578125" style="47"/>
    <col min="3073" max="3073" width="7.28515625" style="47" customWidth="1"/>
    <col min="3074" max="3074" width="4.7109375" style="47" bestFit="1" customWidth="1"/>
    <col min="3075" max="3075" width="11.42578125" style="47"/>
    <col min="3076" max="3077" width="5.140625" style="47" bestFit="1" customWidth="1"/>
    <col min="3078" max="3078" width="2.7109375" style="47" customWidth="1"/>
    <col min="3079" max="3079" width="29" style="47" customWidth="1"/>
    <col min="3080" max="3084" width="0" style="47" hidden="1" customWidth="1"/>
    <col min="3085" max="3085" width="8.7109375" style="47" customWidth="1"/>
    <col min="3086" max="3086" width="9.7109375" style="47" customWidth="1"/>
    <col min="3087" max="3091" width="8.7109375" style="47" bestFit="1" customWidth="1"/>
    <col min="3092" max="3328" width="11.42578125" style="47"/>
    <col min="3329" max="3329" width="7.28515625" style="47" customWidth="1"/>
    <col min="3330" max="3330" width="4.7109375" style="47" bestFit="1" customWidth="1"/>
    <col min="3331" max="3331" width="11.42578125" style="47"/>
    <col min="3332" max="3333" width="5.140625" style="47" bestFit="1" customWidth="1"/>
    <col min="3334" max="3334" width="2.7109375" style="47" customWidth="1"/>
    <col min="3335" max="3335" width="29" style="47" customWidth="1"/>
    <col min="3336" max="3340" width="0" style="47" hidden="1" customWidth="1"/>
    <col min="3341" max="3341" width="8.7109375" style="47" customWidth="1"/>
    <col min="3342" max="3342" width="9.7109375" style="47" customWidth="1"/>
    <col min="3343" max="3347" width="8.7109375" style="47" bestFit="1" customWidth="1"/>
    <col min="3348" max="3584" width="11.42578125" style="47"/>
    <col min="3585" max="3585" width="7.28515625" style="47" customWidth="1"/>
    <col min="3586" max="3586" width="4.7109375" style="47" bestFit="1" customWidth="1"/>
    <col min="3587" max="3587" width="11.42578125" style="47"/>
    <col min="3588" max="3589" width="5.140625" style="47" bestFit="1" customWidth="1"/>
    <col min="3590" max="3590" width="2.7109375" style="47" customWidth="1"/>
    <col min="3591" max="3591" width="29" style="47" customWidth="1"/>
    <col min="3592" max="3596" width="0" style="47" hidden="1" customWidth="1"/>
    <col min="3597" max="3597" width="8.7109375" style="47" customWidth="1"/>
    <col min="3598" max="3598" width="9.7109375" style="47" customWidth="1"/>
    <col min="3599" max="3603" width="8.7109375" style="47" bestFit="1" customWidth="1"/>
    <col min="3604" max="3840" width="11.42578125" style="47"/>
    <col min="3841" max="3841" width="7.28515625" style="47" customWidth="1"/>
    <col min="3842" max="3842" width="4.7109375" style="47" bestFit="1" customWidth="1"/>
    <col min="3843" max="3843" width="11.42578125" style="47"/>
    <col min="3844" max="3845" width="5.140625" style="47" bestFit="1" customWidth="1"/>
    <col min="3846" max="3846" width="2.7109375" style="47" customWidth="1"/>
    <col min="3847" max="3847" width="29" style="47" customWidth="1"/>
    <col min="3848" max="3852" width="0" style="47" hidden="1" customWidth="1"/>
    <col min="3853" max="3853" width="8.7109375" style="47" customWidth="1"/>
    <col min="3854" max="3854" width="9.7109375" style="47" customWidth="1"/>
    <col min="3855" max="3859" width="8.7109375" style="47" bestFit="1" customWidth="1"/>
    <col min="3860" max="4096" width="11.42578125" style="47"/>
    <col min="4097" max="4097" width="7.28515625" style="47" customWidth="1"/>
    <col min="4098" max="4098" width="4.7109375" style="47" bestFit="1" customWidth="1"/>
    <col min="4099" max="4099" width="11.42578125" style="47"/>
    <col min="4100" max="4101" width="5.140625" style="47" bestFit="1" customWidth="1"/>
    <col min="4102" max="4102" width="2.7109375" style="47" customWidth="1"/>
    <col min="4103" max="4103" width="29" style="47" customWidth="1"/>
    <col min="4104" max="4108" width="0" style="47" hidden="1" customWidth="1"/>
    <col min="4109" max="4109" width="8.7109375" style="47" customWidth="1"/>
    <col min="4110" max="4110" width="9.7109375" style="47" customWidth="1"/>
    <col min="4111" max="4115" width="8.7109375" style="47" bestFit="1" customWidth="1"/>
    <col min="4116" max="4352" width="11.42578125" style="47"/>
    <col min="4353" max="4353" width="7.28515625" style="47" customWidth="1"/>
    <col min="4354" max="4354" width="4.7109375" style="47" bestFit="1" customWidth="1"/>
    <col min="4355" max="4355" width="11.42578125" style="47"/>
    <col min="4356" max="4357" width="5.140625" style="47" bestFit="1" customWidth="1"/>
    <col min="4358" max="4358" width="2.7109375" style="47" customWidth="1"/>
    <col min="4359" max="4359" width="29" style="47" customWidth="1"/>
    <col min="4360" max="4364" width="0" style="47" hidden="1" customWidth="1"/>
    <col min="4365" max="4365" width="8.7109375" style="47" customWidth="1"/>
    <col min="4366" max="4366" width="9.7109375" style="47" customWidth="1"/>
    <col min="4367" max="4371" width="8.7109375" style="47" bestFit="1" customWidth="1"/>
    <col min="4372" max="4608" width="11.42578125" style="47"/>
    <col min="4609" max="4609" width="7.28515625" style="47" customWidth="1"/>
    <col min="4610" max="4610" width="4.7109375" style="47" bestFit="1" customWidth="1"/>
    <col min="4611" max="4611" width="11.42578125" style="47"/>
    <col min="4612" max="4613" width="5.140625" style="47" bestFit="1" customWidth="1"/>
    <col min="4614" max="4614" width="2.7109375" style="47" customWidth="1"/>
    <col min="4615" max="4615" width="29" style="47" customWidth="1"/>
    <col min="4616" max="4620" width="0" style="47" hidden="1" customWidth="1"/>
    <col min="4621" max="4621" width="8.7109375" style="47" customWidth="1"/>
    <col min="4622" max="4622" width="9.7109375" style="47" customWidth="1"/>
    <col min="4623" max="4627" width="8.7109375" style="47" bestFit="1" customWidth="1"/>
    <col min="4628" max="4864" width="11.42578125" style="47"/>
    <col min="4865" max="4865" width="7.28515625" style="47" customWidth="1"/>
    <col min="4866" max="4866" width="4.7109375" style="47" bestFit="1" customWidth="1"/>
    <col min="4867" max="4867" width="11.42578125" style="47"/>
    <col min="4868" max="4869" width="5.140625" style="47" bestFit="1" customWidth="1"/>
    <col min="4870" max="4870" width="2.7109375" style="47" customWidth="1"/>
    <col min="4871" max="4871" width="29" style="47" customWidth="1"/>
    <col min="4872" max="4876" width="0" style="47" hidden="1" customWidth="1"/>
    <col min="4877" max="4877" width="8.7109375" style="47" customWidth="1"/>
    <col min="4878" max="4878" width="9.7109375" style="47" customWidth="1"/>
    <col min="4879" max="4883" width="8.7109375" style="47" bestFit="1" customWidth="1"/>
    <col min="4884" max="5120" width="11.42578125" style="47"/>
    <col min="5121" max="5121" width="7.28515625" style="47" customWidth="1"/>
    <col min="5122" max="5122" width="4.7109375" style="47" bestFit="1" customWidth="1"/>
    <col min="5123" max="5123" width="11.42578125" style="47"/>
    <col min="5124" max="5125" width="5.140625" style="47" bestFit="1" customWidth="1"/>
    <col min="5126" max="5126" width="2.7109375" style="47" customWidth="1"/>
    <col min="5127" max="5127" width="29" style="47" customWidth="1"/>
    <col min="5128" max="5132" width="0" style="47" hidden="1" customWidth="1"/>
    <col min="5133" max="5133" width="8.7109375" style="47" customWidth="1"/>
    <col min="5134" max="5134" width="9.7109375" style="47" customWidth="1"/>
    <col min="5135" max="5139" width="8.7109375" style="47" bestFit="1" customWidth="1"/>
    <col min="5140" max="5376" width="11.42578125" style="47"/>
    <col min="5377" max="5377" width="7.28515625" style="47" customWidth="1"/>
    <col min="5378" max="5378" width="4.7109375" style="47" bestFit="1" customWidth="1"/>
    <col min="5379" max="5379" width="11.42578125" style="47"/>
    <col min="5380" max="5381" width="5.140625" style="47" bestFit="1" customWidth="1"/>
    <col min="5382" max="5382" width="2.7109375" style="47" customWidth="1"/>
    <col min="5383" max="5383" width="29" style="47" customWidth="1"/>
    <col min="5384" max="5388" width="0" style="47" hidden="1" customWidth="1"/>
    <col min="5389" max="5389" width="8.7109375" style="47" customWidth="1"/>
    <col min="5390" max="5390" width="9.7109375" style="47" customWidth="1"/>
    <col min="5391" max="5395" width="8.7109375" style="47" bestFit="1" customWidth="1"/>
    <col min="5396" max="5632" width="11.42578125" style="47"/>
    <col min="5633" max="5633" width="7.28515625" style="47" customWidth="1"/>
    <col min="5634" max="5634" width="4.7109375" style="47" bestFit="1" customWidth="1"/>
    <col min="5635" max="5635" width="11.42578125" style="47"/>
    <col min="5636" max="5637" width="5.140625" style="47" bestFit="1" customWidth="1"/>
    <col min="5638" max="5638" width="2.7109375" style="47" customWidth="1"/>
    <col min="5639" max="5639" width="29" style="47" customWidth="1"/>
    <col min="5640" max="5644" width="0" style="47" hidden="1" customWidth="1"/>
    <col min="5645" max="5645" width="8.7109375" style="47" customWidth="1"/>
    <col min="5646" max="5646" width="9.7109375" style="47" customWidth="1"/>
    <col min="5647" max="5651" width="8.7109375" style="47" bestFit="1" customWidth="1"/>
    <col min="5652" max="5888" width="11.42578125" style="47"/>
    <col min="5889" max="5889" width="7.28515625" style="47" customWidth="1"/>
    <col min="5890" max="5890" width="4.7109375" style="47" bestFit="1" customWidth="1"/>
    <col min="5891" max="5891" width="11.42578125" style="47"/>
    <col min="5892" max="5893" width="5.140625" style="47" bestFit="1" customWidth="1"/>
    <col min="5894" max="5894" width="2.7109375" style="47" customWidth="1"/>
    <col min="5895" max="5895" width="29" style="47" customWidth="1"/>
    <col min="5896" max="5900" width="0" style="47" hidden="1" customWidth="1"/>
    <col min="5901" max="5901" width="8.7109375" style="47" customWidth="1"/>
    <col min="5902" max="5902" width="9.7109375" style="47" customWidth="1"/>
    <col min="5903" max="5907" width="8.7109375" style="47" bestFit="1" customWidth="1"/>
    <col min="5908" max="6144" width="11.42578125" style="47"/>
    <col min="6145" max="6145" width="7.28515625" style="47" customWidth="1"/>
    <col min="6146" max="6146" width="4.7109375" style="47" bestFit="1" customWidth="1"/>
    <col min="6147" max="6147" width="11.42578125" style="47"/>
    <col min="6148" max="6149" width="5.140625" style="47" bestFit="1" customWidth="1"/>
    <col min="6150" max="6150" width="2.7109375" style="47" customWidth="1"/>
    <col min="6151" max="6151" width="29" style="47" customWidth="1"/>
    <col min="6152" max="6156" width="0" style="47" hidden="1" customWidth="1"/>
    <col min="6157" max="6157" width="8.7109375" style="47" customWidth="1"/>
    <col min="6158" max="6158" width="9.7109375" style="47" customWidth="1"/>
    <col min="6159" max="6163" width="8.7109375" style="47" bestFit="1" customWidth="1"/>
    <col min="6164" max="6400" width="11.42578125" style="47"/>
    <col min="6401" max="6401" width="7.28515625" style="47" customWidth="1"/>
    <col min="6402" max="6402" width="4.7109375" style="47" bestFit="1" customWidth="1"/>
    <col min="6403" max="6403" width="11.42578125" style="47"/>
    <col min="6404" max="6405" width="5.140625" style="47" bestFit="1" customWidth="1"/>
    <col min="6406" max="6406" width="2.7109375" style="47" customWidth="1"/>
    <col min="6407" max="6407" width="29" style="47" customWidth="1"/>
    <col min="6408" max="6412" width="0" style="47" hidden="1" customWidth="1"/>
    <col min="6413" max="6413" width="8.7109375" style="47" customWidth="1"/>
    <col min="6414" max="6414" width="9.7109375" style="47" customWidth="1"/>
    <col min="6415" max="6419" width="8.7109375" style="47" bestFit="1" customWidth="1"/>
    <col min="6420" max="6656" width="11.42578125" style="47"/>
    <col min="6657" max="6657" width="7.28515625" style="47" customWidth="1"/>
    <col min="6658" max="6658" width="4.7109375" style="47" bestFit="1" customWidth="1"/>
    <col min="6659" max="6659" width="11.42578125" style="47"/>
    <col min="6660" max="6661" width="5.140625" style="47" bestFit="1" customWidth="1"/>
    <col min="6662" max="6662" width="2.7109375" style="47" customWidth="1"/>
    <col min="6663" max="6663" width="29" style="47" customWidth="1"/>
    <col min="6664" max="6668" width="0" style="47" hidden="1" customWidth="1"/>
    <col min="6669" max="6669" width="8.7109375" style="47" customWidth="1"/>
    <col min="6670" max="6670" width="9.7109375" style="47" customWidth="1"/>
    <col min="6671" max="6675" width="8.7109375" style="47" bestFit="1" customWidth="1"/>
    <col min="6676" max="6912" width="11.42578125" style="47"/>
    <col min="6913" max="6913" width="7.28515625" style="47" customWidth="1"/>
    <col min="6914" max="6914" width="4.7109375" style="47" bestFit="1" customWidth="1"/>
    <col min="6915" max="6915" width="11.42578125" style="47"/>
    <col min="6916" max="6917" width="5.140625" style="47" bestFit="1" customWidth="1"/>
    <col min="6918" max="6918" width="2.7109375" style="47" customWidth="1"/>
    <col min="6919" max="6919" width="29" style="47" customWidth="1"/>
    <col min="6920" max="6924" width="0" style="47" hidden="1" customWidth="1"/>
    <col min="6925" max="6925" width="8.7109375" style="47" customWidth="1"/>
    <col min="6926" max="6926" width="9.7109375" style="47" customWidth="1"/>
    <col min="6927" max="6931" width="8.7109375" style="47" bestFit="1" customWidth="1"/>
    <col min="6932" max="7168" width="11.42578125" style="47"/>
    <col min="7169" max="7169" width="7.28515625" style="47" customWidth="1"/>
    <col min="7170" max="7170" width="4.7109375" style="47" bestFit="1" customWidth="1"/>
    <col min="7171" max="7171" width="11.42578125" style="47"/>
    <col min="7172" max="7173" width="5.140625" style="47" bestFit="1" customWidth="1"/>
    <col min="7174" max="7174" width="2.7109375" style="47" customWidth="1"/>
    <col min="7175" max="7175" width="29" style="47" customWidth="1"/>
    <col min="7176" max="7180" width="0" style="47" hidden="1" customWidth="1"/>
    <col min="7181" max="7181" width="8.7109375" style="47" customWidth="1"/>
    <col min="7182" max="7182" width="9.7109375" style="47" customWidth="1"/>
    <col min="7183" max="7187" width="8.7109375" style="47" bestFit="1" customWidth="1"/>
    <col min="7188" max="7424" width="11.42578125" style="47"/>
    <col min="7425" max="7425" width="7.28515625" style="47" customWidth="1"/>
    <col min="7426" max="7426" width="4.7109375" style="47" bestFit="1" customWidth="1"/>
    <col min="7427" max="7427" width="11.42578125" style="47"/>
    <col min="7428" max="7429" width="5.140625" style="47" bestFit="1" customWidth="1"/>
    <col min="7430" max="7430" width="2.7109375" style="47" customWidth="1"/>
    <col min="7431" max="7431" width="29" style="47" customWidth="1"/>
    <col min="7432" max="7436" width="0" style="47" hidden="1" customWidth="1"/>
    <col min="7437" max="7437" width="8.7109375" style="47" customWidth="1"/>
    <col min="7438" max="7438" width="9.7109375" style="47" customWidth="1"/>
    <col min="7439" max="7443" width="8.7109375" style="47" bestFit="1" customWidth="1"/>
    <col min="7444" max="7680" width="11.42578125" style="47"/>
    <col min="7681" max="7681" width="7.28515625" style="47" customWidth="1"/>
    <col min="7682" max="7682" width="4.7109375" style="47" bestFit="1" customWidth="1"/>
    <col min="7683" max="7683" width="11.42578125" style="47"/>
    <col min="7684" max="7685" width="5.140625" style="47" bestFit="1" customWidth="1"/>
    <col min="7686" max="7686" width="2.7109375" style="47" customWidth="1"/>
    <col min="7687" max="7687" width="29" style="47" customWidth="1"/>
    <col min="7688" max="7692" width="0" style="47" hidden="1" customWidth="1"/>
    <col min="7693" max="7693" width="8.7109375" style="47" customWidth="1"/>
    <col min="7694" max="7694" width="9.7109375" style="47" customWidth="1"/>
    <col min="7695" max="7699" width="8.7109375" style="47" bestFit="1" customWidth="1"/>
    <col min="7700" max="7936" width="11.42578125" style="47"/>
    <col min="7937" max="7937" width="7.28515625" style="47" customWidth="1"/>
    <col min="7938" max="7938" width="4.7109375" style="47" bestFit="1" customWidth="1"/>
    <col min="7939" max="7939" width="11.42578125" style="47"/>
    <col min="7940" max="7941" width="5.140625" style="47" bestFit="1" customWidth="1"/>
    <col min="7942" max="7942" width="2.7109375" style="47" customWidth="1"/>
    <col min="7943" max="7943" width="29" style="47" customWidth="1"/>
    <col min="7944" max="7948" width="0" style="47" hidden="1" customWidth="1"/>
    <col min="7949" max="7949" width="8.7109375" style="47" customWidth="1"/>
    <col min="7950" max="7950" width="9.7109375" style="47" customWidth="1"/>
    <col min="7951" max="7955" width="8.7109375" style="47" bestFit="1" customWidth="1"/>
    <col min="7956" max="8192" width="11.42578125" style="47"/>
    <col min="8193" max="8193" width="7.28515625" style="47" customWidth="1"/>
    <col min="8194" max="8194" width="4.7109375" style="47" bestFit="1" customWidth="1"/>
    <col min="8195" max="8195" width="11.42578125" style="47"/>
    <col min="8196" max="8197" width="5.140625" style="47" bestFit="1" customWidth="1"/>
    <col min="8198" max="8198" width="2.7109375" style="47" customWidth="1"/>
    <col min="8199" max="8199" width="29" style="47" customWidth="1"/>
    <col min="8200" max="8204" width="0" style="47" hidden="1" customWidth="1"/>
    <col min="8205" max="8205" width="8.7109375" style="47" customWidth="1"/>
    <col min="8206" max="8206" width="9.7109375" style="47" customWidth="1"/>
    <col min="8207" max="8211" width="8.7109375" style="47" bestFit="1" customWidth="1"/>
    <col min="8212" max="8448" width="11.42578125" style="47"/>
    <col min="8449" max="8449" width="7.28515625" style="47" customWidth="1"/>
    <col min="8450" max="8450" width="4.7109375" style="47" bestFit="1" customWidth="1"/>
    <col min="8451" max="8451" width="11.42578125" style="47"/>
    <col min="8452" max="8453" width="5.140625" style="47" bestFit="1" customWidth="1"/>
    <col min="8454" max="8454" width="2.7109375" style="47" customWidth="1"/>
    <col min="8455" max="8455" width="29" style="47" customWidth="1"/>
    <col min="8456" max="8460" width="0" style="47" hidden="1" customWidth="1"/>
    <col min="8461" max="8461" width="8.7109375" style="47" customWidth="1"/>
    <col min="8462" max="8462" width="9.7109375" style="47" customWidth="1"/>
    <col min="8463" max="8467" width="8.7109375" style="47" bestFit="1" customWidth="1"/>
    <col min="8468" max="8704" width="11.42578125" style="47"/>
    <col min="8705" max="8705" width="7.28515625" style="47" customWidth="1"/>
    <col min="8706" max="8706" width="4.7109375" style="47" bestFit="1" customWidth="1"/>
    <col min="8707" max="8707" width="11.42578125" style="47"/>
    <col min="8708" max="8709" width="5.140625" style="47" bestFit="1" customWidth="1"/>
    <col min="8710" max="8710" width="2.7109375" style="47" customWidth="1"/>
    <col min="8711" max="8711" width="29" style="47" customWidth="1"/>
    <col min="8712" max="8716" width="0" style="47" hidden="1" customWidth="1"/>
    <col min="8717" max="8717" width="8.7109375" style="47" customWidth="1"/>
    <col min="8718" max="8718" width="9.7109375" style="47" customWidth="1"/>
    <col min="8719" max="8723" width="8.7109375" style="47" bestFit="1" customWidth="1"/>
    <col min="8724" max="8960" width="11.42578125" style="47"/>
    <col min="8961" max="8961" width="7.28515625" style="47" customWidth="1"/>
    <col min="8962" max="8962" width="4.7109375" style="47" bestFit="1" customWidth="1"/>
    <col min="8963" max="8963" width="11.42578125" style="47"/>
    <col min="8964" max="8965" width="5.140625" style="47" bestFit="1" customWidth="1"/>
    <col min="8966" max="8966" width="2.7109375" style="47" customWidth="1"/>
    <col min="8967" max="8967" width="29" style="47" customWidth="1"/>
    <col min="8968" max="8972" width="0" style="47" hidden="1" customWidth="1"/>
    <col min="8973" max="8973" width="8.7109375" style="47" customWidth="1"/>
    <col min="8974" max="8974" width="9.7109375" style="47" customWidth="1"/>
    <col min="8975" max="8979" width="8.7109375" style="47" bestFit="1" customWidth="1"/>
    <col min="8980" max="9216" width="11.42578125" style="47"/>
    <col min="9217" max="9217" width="7.28515625" style="47" customWidth="1"/>
    <col min="9218" max="9218" width="4.7109375" style="47" bestFit="1" customWidth="1"/>
    <col min="9219" max="9219" width="11.42578125" style="47"/>
    <col min="9220" max="9221" width="5.140625" style="47" bestFit="1" customWidth="1"/>
    <col min="9222" max="9222" width="2.7109375" style="47" customWidth="1"/>
    <col min="9223" max="9223" width="29" style="47" customWidth="1"/>
    <col min="9224" max="9228" width="0" style="47" hidden="1" customWidth="1"/>
    <col min="9229" max="9229" width="8.7109375" style="47" customWidth="1"/>
    <col min="9230" max="9230" width="9.7109375" style="47" customWidth="1"/>
    <col min="9231" max="9235" width="8.7109375" style="47" bestFit="1" customWidth="1"/>
    <col min="9236" max="9472" width="11.42578125" style="47"/>
    <col min="9473" max="9473" width="7.28515625" style="47" customWidth="1"/>
    <col min="9474" max="9474" width="4.7109375" style="47" bestFit="1" customWidth="1"/>
    <col min="9475" max="9475" width="11.42578125" style="47"/>
    <col min="9476" max="9477" width="5.140625" style="47" bestFit="1" customWidth="1"/>
    <col min="9478" max="9478" width="2.7109375" style="47" customWidth="1"/>
    <col min="9479" max="9479" width="29" style="47" customWidth="1"/>
    <col min="9480" max="9484" width="0" style="47" hidden="1" customWidth="1"/>
    <col min="9485" max="9485" width="8.7109375" style="47" customWidth="1"/>
    <col min="9486" max="9486" width="9.7109375" style="47" customWidth="1"/>
    <col min="9487" max="9491" width="8.7109375" style="47" bestFit="1" customWidth="1"/>
    <col min="9492" max="9728" width="11.42578125" style="47"/>
    <col min="9729" max="9729" width="7.28515625" style="47" customWidth="1"/>
    <col min="9730" max="9730" width="4.7109375" style="47" bestFit="1" customWidth="1"/>
    <col min="9731" max="9731" width="11.42578125" style="47"/>
    <col min="9732" max="9733" width="5.140625" style="47" bestFit="1" customWidth="1"/>
    <col min="9734" max="9734" width="2.7109375" style="47" customWidth="1"/>
    <col min="9735" max="9735" width="29" style="47" customWidth="1"/>
    <col min="9736" max="9740" width="0" style="47" hidden="1" customWidth="1"/>
    <col min="9741" max="9741" width="8.7109375" style="47" customWidth="1"/>
    <col min="9742" max="9742" width="9.7109375" style="47" customWidth="1"/>
    <col min="9743" max="9747" width="8.7109375" style="47" bestFit="1" customWidth="1"/>
    <col min="9748" max="9984" width="11.42578125" style="47"/>
    <col min="9985" max="9985" width="7.28515625" style="47" customWidth="1"/>
    <col min="9986" max="9986" width="4.7109375" style="47" bestFit="1" customWidth="1"/>
    <col min="9987" max="9987" width="11.42578125" style="47"/>
    <col min="9988" max="9989" width="5.140625" style="47" bestFit="1" customWidth="1"/>
    <col min="9990" max="9990" width="2.7109375" style="47" customWidth="1"/>
    <col min="9991" max="9991" width="29" style="47" customWidth="1"/>
    <col min="9992" max="9996" width="0" style="47" hidden="1" customWidth="1"/>
    <col min="9997" max="9997" width="8.7109375" style="47" customWidth="1"/>
    <col min="9998" max="9998" width="9.7109375" style="47" customWidth="1"/>
    <col min="9999" max="10003" width="8.7109375" style="47" bestFit="1" customWidth="1"/>
    <col min="10004" max="10240" width="11.42578125" style="47"/>
    <col min="10241" max="10241" width="7.28515625" style="47" customWidth="1"/>
    <col min="10242" max="10242" width="4.7109375" style="47" bestFit="1" customWidth="1"/>
    <col min="10243" max="10243" width="11.42578125" style="47"/>
    <col min="10244" max="10245" width="5.140625" style="47" bestFit="1" customWidth="1"/>
    <col min="10246" max="10246" width="2.7109375" style="47" customWidth="1"/>
    <col min="10247" max="10247" width="29" style="47" customWidth="1"/>
    <col min="10248" max="10252" width="0" style="47" hidden="1" customWidth="1"/>
    <col min="10253" max="10253" width="8.7109375" style="47" customWidth="1"/>
    <col min="10254" max="10254" width="9.7109375" style="47" customWidth="1"/>
    <col min="10255" max="10259" width="8.7109375" style="47" bestFit="1" customWidth="1"/>
    <col min="10260" max="10496" width="11.42578125" style="47"/>
    <col min="10497" max="10497" width="7.28515625" style="47" customWidth="1"/>
    <col min="10498" max="10498" width="4.7109375" style="47" bestFit="1" customWidth="1"/>
    <col min="10499" max="10499" width="11.42578125" style="47"/>
    <col min="10500" max="10501" width="5.140625" style="47" bestFit="1" customWidth="1"/>
    <col min="10502" max="10502" width="2.7109375" style="47" customWidth="1"/>
    <col min="10503" max="10503" width="29" style="47" customWidth="1"/>
    <col min="10504" max="10508" width="0" style="47" hidden="1" customWidth="1"/>
    <col min="10509" max="10509" width="8.7109375" style="47" customWidth="1"/>
    <col min="10510" max="10510" width="9.7109375" style="47" customWidth="1"/>
    <col min="10511" max="10515" width="8.7109375" style="47" bestFit="1" customWidth="1"/>
    <col min="10516" max="10752" width="11.42578125" style="47"/>
    <col min="10753" max="10753" width="7.28515625" style="47" customWidth="1"/>
    <col min="10754" max="10754" width="4.7109375" style="47" bestFit="1" customWidth="1"/>
    <col min="10755" max="10755" width="11.42578125" style="47"/>
    <col min="10756" max="10757" width="5.140625" style="47" bestFit="1" customWidth="1"/>
    <col min="10758" max="10758" width="2.7109375" style="47" customWidth="1"/>
    <col min="10759" max="10759" width="29" style="47" customWidth="1"/>
    <col min="10760" max="10764" width="0" style="47" hidden="1" customWidth="1"/>
    <col min="10765" max="10765" width="8.7109375" style="47" customWidth="1"/>
    <col min="10766" max="10766" width="9.7109375" style="47" customWidth="1"/>
    <col min="10767" max="10771" width="8.7109375" style="47" bestFit="1" customWidth="1"/>
    <col min="10772" max="11008" width="11.42578125" style="47"/>
    <col min="11009" max="11009" width="7.28515625" style="47" customWidth="1"/>
    <col min="11010" max="11010" width="4.7109375" style="47" bestFit="1" customWidth="1"/>
    <col min="11011" max="11011" width="11.42578125" style="47"/>
    <col min="11012" max="11013" width="5.140625" style="47" bestFit="1" customWidth="1"/>
    <col min="11014" max="11014" width="2.7109375" style="47" customWidth="1"/>
    <col min="11015" max="11015" width="29" style="47" customWidth="1"/>
    <col min="11016" max="11020" width="0" style="47" hidden="1" customWidth="1"/>
    <col min="11021" max="11021" width="8.7109375" style="47" customWidth="1"/>
    <col min="11022" max="11022" width="9.7109375" style="47" customWidth="1"/>
    <col min="11023" max="11027" width="8.7109375" style="47" bestFit="1" customWidth="1"/>
    <col min="11028" max="11264" width="11.42578125" style="47"/>
    <col min="11265" max="11265" width="7.28515625" style="47" customWidth="1"/>
    <col min="11266" max="11266" width="4.7109375" style="47" bestFit="1" customWidth="1"/>
    <col min="11267" max="11267" width="11.42578125" style="47"/>
    <col min="11268" max="11269" width="5.140625" style="47" bestFit="1" customWidth="1"/>
    <col min="11270" max="11270" width="2.7109375" style="47" customWidth="1"/>
    <col min="11271" max="11271" width="29" style="47" customWidth="1"/>
    <col min="11272" max="11276" width="0" style="47" hidden="1" customWidth="1"/>
    <col min="11277" max="11277" width="8.7109375" style="47" customWidth="1"/>
    <col min="11278" max="11278" width="9.7109375" style="47" customWidth="1"/>
    <col min="11279" max="11283" width="8.7109375" style="47" bestFit="1" customWidth="1"/>
    <col min="11284" max="11520" width="11.42578125" style="47"/>
    <col min="11521" max="11521" width="7.28515625" style="47" customWidth="1"/>
    <col min="11522" max="11522" width="4.7109375" style="47" bestFit="1" customWidth="1"/>
    <col min="11523" max="11523" width="11.42578125" style="47"/>
    <col min="11524" max="11525" width="5.140625" style="47" bestFit="1" customWidth="1"/>
    <col min="11526" max="11526" width="2.7109375" style="47" customWidth="1"/>
    <col min="11527" max="11527" width="29" style="47" customWidth="1"/>
    <col min="11528" max="11532" width="0" style="47" hidden="1" customWidth="1"/>
    <col min="11533" max="11533" width="8.7109375" style="47" customWidth="1"/>
    <col min="11534" max="11534" width="9.7109375" style="47" customWidth="1"/>
    <col min="11535" max="11539" width="8.7109375" style="47" bestFit="1" customWidth="1"/>
    <col min="11540" max="11776" width="11.42578125" style="47"/>
    <col min="11777" max="11777" width="7.28515625" style="47" customWidth="1"/>
    <col min="11778" max="11778" width="4.7109375" style="47" bestFit="1" customWidth="1"/>
    <col min="11779" max="11779" width="11.42578125" style="47"/>
    <col min="11780" max="11781" width="5.140625" style="47" bestFit="1" customWidth="1"/>
    <col min="11782" max="11782" width="2.7109375" style="47" customWidth="1"/>
    <col min="11783" max="11783" width="29" style="47" customWidth="1"/>
    <col min="11784" max="11788" width="0" style="47" hidden="1" customWidth="1"/>
    <col min="11789" max="11789" width="8.7109375" style="47" customWidth="1"/>
    <col min="11790" max="11790" width="9.7109375" style="47" customWidth="1"/>
    <col min="11791" max="11795" width="8.7109375" style="47" bestFit="1" customWidth="1"/>
    <col min="11796" max="12032" width="11.42578125" style="47"/>
    <col min="12033" max="12033" width="7.28515625" style="47" customWidth="1"/>
    <col min="12034" max="12034" width="4.7109375" style="47" bestFit="1" customWidth="1"/>
    <col min="12035" max="12035" width="11.42578125" style="47"/>
    <col min="12036" max="12037" width="5.140625" style="47" bestFit="1" customWidth="1"/>
    <col min="12038" max="12038" width="2.7109375" style="47" customWidth="1"/>
    <col min="12039" max="12039" width="29" style="47" customWidth="1"/>
    <col min="12040" max="12044" width="0" style="47" hidden="1" customWidth="1"/>
    <col min="12045" max="12045" width="8.7109375" style="47" customWidth="1"/>
    <col min="12046" max="12046" width="9.7109375" style="47" customWidth="1"/>
    <col min="12047" max="12051" width="8.7109375" style="47" bestFit="1" customWidth="1"/>
    <col min="12052" max="12288" width="11.42578125" style="47"/>
    <col min="12289" max="12289" width="7.28515625" style="47" customWidth="1"/>
    <col min="12290" max="12290" width="4.7109375" style="47" bestFit="1" customWidth="1"/>
    <col min="12291" max="12291" width="11.42578125" style="47"/>
    <col min="12292" max="12293" width="5.140625" style="47" bestFit="1" customWidth="1"/>
    <col min="12294" max="12294" width="2.7109375" style="47" customWidth="1"/>
    <col min="12295" max="12295" width="29" style="47" customWidth="1"/>
    <col min="12296" max="12300" width="0" style="47" hidden="1" customWidth="1"/>
    <col min="12301" max="12301" width="8.7109375" style="47" customWidth="1"/>
    <col min="12302" max="12302" width="9.7109375" style="47" customWidth="1"/>
    <col min="12303" max="12307" width="8.7109375" style="47" bestFit="1" customWidth="1"/>
    <col min="12308" max="12544" width="11.42578125" style="47"/>
    <col min="12545" max="12545" width="7.28515625" style="47" customWidth="1"/>
    <col min="12546" max="12546" width="4.7109375" style="47" bestFit="1" customWidth="1"/>
    <col min="12547" max="12547" width="11.42578125" style="47"/>
    <col min="12548" max="12549" width="5.140625" style="47" bestFit="1" customWidth="1"/>
    <col min="12550" max="12550" width="2.7109375" style="47" customWidth="1"/>
    <col min="12551" max="12551" width="29" style="47" customWidth="1"/>
    <col min="12552" max="12556" width="0" style="47" hidden="1" customWidth="1"/>
    <col min="12557" max="12557" width="8.7109375" style="47" customWidth="1"/>
    <col min="12558" max="12558" width="9.7109375" style="47" customWidth="1"/>
    <col min="12559" max="12563" width="8.7109375" style="47" bestFit="1" customWidth="1"/>
    <col min="12564" max="12800" width="11.42578125" style="47"/>
    <col min="12801" max="12801" width="7.28515625" style="47" customWidth="1"/>
    <col min="12802" max="12802" width="4.7109375" style="47" bestFit="1" customWidth="1"/>
    <col min="12803" max="12803" width="11.42578125" style="47"/>
    <col min="12804" max="12805" width="5.140625" style="47" bestFit="1" customWidth="1"/>
    <col min="12806" max="12806" width="2.7109375" style="47" customWidth="1"/>
    <col min="12807" max="12807" width="29" style="47" customWidth="1"/>
    <col min="12808" max="12812" width="0" style="47" hidden="1" customWidth="1"/>
    <col min="12813" max="12813" width="8.7109375" style="47" customWidth="1"/>
    <col min="12814" max="12814" width="9.7109375" style="47" customWidth="1"/>
    <col min="12815" max="12819" width="8.7109375" style="47" bestFit="1" customWidth="1"/>
    <col min="12820" max="13056" width="11.42578125" style="47"/>
    <col min="13057" max="13057" width="7.28515625" style="47" customWidth="1"/>
    <col min="13058" max="13058" width="4.7109375" style="47" bestFit="1" customWidth="1"/>
    <col min="13059" max="13059" width="11.42578125" style="47"/>
    <col min="13060" max="13061" width="5.140625" style="47" bestFit="1" customWidth="1"/>
    <col min="13062" max="13062" width="2.7109375" style="47" customWidth="1"/>
    <col min="13063" max="13063" width="29" style="47" customWidth="1"/>
    <col min="13064" max="13068" width="0" style="47" hidden="1" customWidth="1"/>
    <col min="13069" max="13069" width="8.7109375" style="47" customWidth="1"/>
    <col min="13070" max="13070" width="9.7109375" style="47" customWidth="1"/>
    <col min="13071" max="13075" width="8.7109375" style="47" bestFit="1" customWidth="1"/>
    <col min="13076" max="13312" width="11.42578125" style="47"/>
    <col min="13313" max="13313" width="7.28515625" style="47" customWidth="1"/>
    <col min="13314" max="13314" width="4.7109375" style="47" bestFit="1" customWidth="1"/>
    <col min="13315" max="13315" width="11.42578125" style="47"/>
    <col min="13316" max="13317" width="5.140625" style="47" bestFit="1" customWidth="1"/>
    <col min="13318" max="13318" width="2.7109375" style="47" customWidth="1"/>
    <col min="13319" max="13319" width="29" style="47" customWidth="1"/>
    <col min="13320" max="13324" width="0" style="47" hidden="1" customWidth="1"/>
    <col min="13325" max="13325" width="8.7109375" style="47" customWidth="1"/>
    <col min="13326" max="13326" width="9.7109375" style="47" customWidth="1"/>
    <col min="13327" max="13331" width="8.7109375" style="47" bestFit="1" customWidth="1"/>
    <col min="13332" max="13568" width="11.42578125" style="47"/>
    <col min="13569" max="13569" width="7.28515625" style="47" customWidth="1"/>
    <col min="13570" max="13570" width="4.7109375" style="47" bestFit="1" customWidth="1"/>
    <col min="13571" max="13571" width="11.42578125" style="47"/>
    <col min="13572" max="13573" width="5.140625" style="47" bestFit="1" customWidth="1"/>
    <col min="13574" max="13574" width="2.7109375" style="47" customWidth="1"/>
    <col min="13575" max="13575" width="29" style="47" customWidth="1"/>
    <col min="13576" max="13580" width="0" style="47" hidden="1" customWidth="1"/>
    <col min="13581" max="13581" width="8.7109375" style="47" customWidth="1"/>
    <col min="13582" max="13582" width="9.7109375" style="47" customWidth="1"/>
    <col min="13583" max="13587" width="8.7109375" style="47" bestFit="1" customWidth="1"/>
    <col min="13588" max="13824" width="11.42578125" style="47"/>
    <col min="13825" max="13825" width="7.28515625" style="47" customWidth="1"/>
    <col min="13826" max="13826" width="4.7109375" style="47" bestFit="1" customWidth="1"/>
    <col min="13827" max="13827" width="11.42578125" style="47"/>
    <col min="13828" max="13829" width="5.140625" style="47" bestFit="1" customWidth="1"/>
    <col min="13830" max="13830" width="2.7109375" style="47" customWidth="1"/>
    <col min="13831" max="13831" width="29" style="47" customWidth="1"/>
    <col min="13832" max="13836" width="0" style="47" hidden="1" customWidth="1"/>
    <col min="13837" max="13837" width="8.7109375" style="47" customWidth="1"/>
    <col min="13838" max="13838" width="9.7109375" style="47" customWidth="1"/>
    <col min="13839" max="13843" width="8.7109375" style="47" bestFit="1" customWidth="1"/>
    <col min="13844" max="14080" width="11.42578125" style="47"/>
    <col min="14081" max="14081" width="7.28515625" style="47" customWidth="1"/>
    <col min="14082" max="14082" width="4.7109375" style="47" bestFit="1" customWidth="1"/>
    <col min="14083" max="14083" width="11.42578125" style="47"/>
    <col min="14084" max="14085" width="5.140625" style="47" bestFit="1" customWidth="1"/>
    <col min="14086" max="14086" width="2.7109375" style="47" customWidth="1"/>
    <col min="14087" max="14087" width="29" style="47" customWidth="1"/>
    <col min="14088" max="14092" width="0" style="47" hidden="1" customWidth="1"/>
    <col min="14093" max="14093" width="8.7109375" style="47" customWidth="1"/>
    <col min="14094" max="14094" width="9.7109375" style="47" customWidth="1"/>
    <col min="14095" max="14099" width="8.7109375" style="47" bestFit="1" customWidth="1"/>
    <col min="14100" max="14336" width="11.42578125" style="47"/>
    <col min="14337" max="14337" width="7.28515625" style="47" customWidth="1"/>
    <col min="14338" max="14338" width="4.7109375" style="47" bestFit="1" customWidth="1"/>
    <col min="14339" max="14339" width="11.42578125" style="47"/>
    <col min="14340" max="14341" width="5.140625" style="47" bestFit="1" customWidth="1"/>
    <col min="14342" max="14342" width="2.7109375" style="47" customWidth="1"/>
    <col min="14343" max="14343" width="29" style="47" customWidth="1"/>
    <col min="14344" max="14348" width="0" style="47" hidden="1" customWidth="1"/>
    <col min="14349" max="14349" width="8.7109375" style="47" customWidth="1"/>
    <col min="14350" max="14350" width="9.7109375" style="47" customWidth="1"/>
    <col min="14351" max="14355" width="8.7109375" style="47" bestFit="1" customWidth="1"/>
    <col min="14356" max="14592" width="11.42578125" style="47"/>
    <col min="14593" max="14593" width="7.28515625" style="47" customWidth="1"/>
    <col min="14594" max="14594" width="4.7109375" style="47" bestFit="1" customWidth="1"/>
    <col min="14595" max="14595" width="11.42578125" style="47"/>
    <col min="14596" max="14597" width="5.140625" style="47" bestFit="1" customWidth="1"/>
    <col min="14598" max="14598" width="2.7109375" style="47" customWidth="1"/>
    <col min="14599" max="14599" width="29" style="47" customWidth="1"/>
    <col min="14600" max="14604" width="0" style="47" hidden="1" customWidth="1"/>
    <col min="14605" max="14605" width="8.7109375" style="47" customWidth="1"/>
    <col min="14606" max="14606" width="9.7109375" style="47" customWidth="1"/>
    <col min="14607" max="14611" width="8.7109375" style="47" bestFit="1" customWidth="1"/>
    <col min="14612" max="14848" width="11.42578125" style="47"/>
    <col min="14849" max="14849" width="7.28515625" style="47" customWidth="1"/>
    <col min="14850" max="14850" width="4.7109375" style="47" bestFit="1" customWidth="1"/>
    <col min="14851" max="14851" width="11.42578125" style="47"/>
    <col min="14852" max="14853" width="5.140625" style="47" bestFit="1" customWidth="1"/>
    <col min="14854" max="14854" width="2.7109375" style="47" customWidth="1"/>
    <col min="14855" max="14855" width="29" style="47" customWidth="1"/>
    <col min="14856" max="14860" width="0" style="47" hidden="1" customWidth="1"/>
    <col min="14861" max="14861" width="8.7109375" style="47" customWidth="1"/>
    <col min="14862" max="14862" width="9.7109375" style="47" customWidth="1"/>
    <col min="14863" max="14867" width="8.7109375" style="47" bestFit="1" customWidth="1"/>
    <col min="14868" max="15104" width="11.42578125" style="47"/>
    <col min="15105" max="15105" width="7.28515625" style="47" customWidth="1"/>
    <col min="15106" max="15106" width="4.7109375" style="47" bestFit="1" customWidth="1"/>
    <col min="15107" max="15107" width="11.42578125" style="47"/>
    <col min="15108" max="15109" width="5.140625" style="47" bestFit="1" customWidth="1"/>
    <col min="15110" max="15110" width="2.7109375" style="47" customWidth="1"/>
    <col min="15111" max="15111" width="29" style="47" customWidth="1"/>
    <col min="15112" max="15116" width="0" style="47" hidden="1" customWidth="1"/>
    <col min="15117" max="15117" width="8.7109375" style="47" customWidth="1"/>
    <col min="15118" max="15118" width="9.7109375" style="47" customWidth="1"/>
    <col min="15119" max="15123" width="8.7109375" style="47" bestFit="1" customWidth="1"/>
    <col min="15124" max="15360" width="11.42578125" style="47"/>
    <col min="15361" max="15361" width="7.28515625" style="47" customWidth="1"/>
    <col min="15362" max="15362" width="4.7109375" style="47" bestFit="1" customWidth="1"/>
    <col min="15363" max="15363" width="11.42578125" style="47"/>
    <col min="15364" max="15365" width="5.140625" style="47" bestFit="1" customWidth="1"/>
    <col min="15366" max="15366" width="2.7109375" style="47" customWidth="1"/>
    <col min="15367" max="15367" width="29" style="47" customWidth="1"/>
    <col min="15368" max="15372" width="0" style="47" hidden="1" customWidth="1"/>
    <col min="15373" max="15373" width="8.7109375" style="47" customWidth="1"/>
    <col min="15374" max="15374" width="9.7109375" style="47" customWidth="1"/>
    <col min="15375" max="15379" width="8.7109375" style="47" bestFit="1" customWidth="1"/>
    <col min="15380" max="15616" width="11.42578125" style="47"/>
    <col min="15617" max="15617" width="7.28515625" style="47" customWidth="1"/>
    <col min="15618" max="15618" width="4.7109375" style="47" bestFit="1" customWidth="1"/>
    <col min="15619" max="15619" width="11.42578125" style="47"/>
    <col min="15620" max="15621" width="5.140625" style="47" bestFit="1" customWidth="1"/>
    <col min="15622" max="15622" width="2.7109375" style="47" customWidth="1"/>
    <col min="15623" max="15623" width="29" style="47" customWidth="1"/>
    <col min="15624" max="15628" width="0" style="47" hidden="1" customWidth="1"/>
    <col min="15629" max="15629" width="8.7109375" style="47" customWidth="1"/>
    <col min="15630" max="15630" width="9.7109375" style="47" customWidth="1"/>
    <col min="15631" max="15635" width="8.7109375" style="47" bestFit="1" customWidth="1"/>
    <col min="15636" max="15872" width="11.42578125" style="47"/>
    <col min="15873" max="15873" width="7.28515625" style="47" customWidth="1"/>
    <col min="15874" max="15874" width="4.7109375" style="47" bestFit="1" customWidth="1"/>
    <col min="15875" max="15875" width="11.42578125" style="47"/>
    <col min="15876" max="15877" width="5.140625" style="47" bestFit="1" customWidth="1"/>
    <col min="15878" max="15878" width="2.7109375" style="47" customWidth="1"/>
    <col min="15879" max="15879" width="29" style="47" customWidth="1"/>
    <col min="15880" max="15884" width="0" style="47" hidden="1" customWidth="1"/>
    <col min="15885" max="15885" width="8.7109375" style="47" customWidth="1"/>
    <col min="15886" max="15886" width="9.7109375" style="47" customWidth="1"/>
    <col min="15887" max="15891" width="8.7109375" style="47" bestFit="1" customWidth="1"/>
    <col min="15892" max="16128" width="11.42578125" style="47"/>
    <col min="16129" max="16129" width="7.28515625" style="47" customWidth="1"/>
    <col min="16130" max="16130" width="4.7109375" style="47" bestFit="1" customWidth="1"/>
    <col min="16131" max="16131" width="11.42578125" style="47"/>
    <col min="16132" max="16133" width="5.140625" style="47" bestFit="1" customWidth="1"/>
    <col min="16134" max="16134" width="2.7109375" style="47" customWidth="1"/>
    <col min="16135" max="16135" width="29" style="47" customWidth="1"/>
    <col min="16136" max="16140" width="0" style="47" hidden="1" customWidth="1"/>
    <col min="16141" max="16141" width="8.7109375" style="47" customWidth="1"/>
    <col min="16142" max="16142" width="9.7109375" style="47" customWidth="1"/>
    <col min="16143" max="16147" width="8.7109375" style="47" bestFit="1" customWidth="1"/>
    <col min="16148" max="16384" width="11.42578125" style="47"/>
  </cols>
  <sheetData>
    <row r="1" spans="1:19" x14ac:dyDescent="0.2">
      <c r="A1" s="1"/>
      <c r="B1" s="2"/>
      <c r="C1" s="3"/>
      <c r="D1" s="3"/>
      <c r="E1" s="1"/>
      <c r="F1" s="1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</row>
    <row r="2" spans="1:19" x14ac:dyDescent="0.2">
      <c r="A2" s="3" t="s">
        <v>0</v>
      </c>
      <c r="B2" s="5" t="s">
        <v>1</v>
      </c>
      <c r="C2" s="3" t="s">
        <v>2</v>
      </c>
      <c r="D2" s="3"/>
      <c r="E2" s="1" t="s">
        <v>3</v>
      </c>
      <c r="F2" s="1"/>
      <c r="G2" s="49" t="s">
        <v>365</v>
      </c>
      <c r="H2" s="50"/>
      <c r="I2" s="51"/>
      <c r="J2" s="52"/>
      <c r="K2" s="50"/>
      <c r="L2" s="52"/>
      <c r="M2" s="71" t="s">
        <v>366</v>
      </c>
      <c r="N2" s="122" t="s">
        <v>367</v>
      </c>
      <c r="O2" s="72"/>
      <c r="P2" s="72"/>
      <c r="Q2" s="72"/>
      <c r="R2" s="73"/>
    </row>
    <row r="3" spans="1:19" x14ac:dyDescent="0.2">
      <c r="A3" s="1"/>
      <c r="B3" s="6"/>
      <c r="C3" s="3"/>
      <c r="D3" s="3"/>
      <c r="E3" s="1"/>
      <c r="F3" s="1"/>
      <c r="G3" s="53" t="s">
        <v>4</v>
      </c>
      <c r="H3" s="74">
        <v>40908</v>
      </c>
      <c r="I3" s="74">
        <v>41274</v>
      </c>
      <c r="J3" s="54">
        <v>41639</v>
      </c>
      <c r="K3" s="54">
        <v>42004</v>
      </c>
      <c r="L3" s="54">
        <v>42369</v>
      </c>
      <c r="M3" s="54">
        <v>42735</v>
      </c>
      <c r="N3" s="54">
        <v>43100</v>
      </c>
      <c r="O3" s="54">
        <v>43465</v>
      </c>
      <c r="P3" s="54">
        <v>43830</v>
      </c>
      <c r="Q3" s="54">
        <v>44196</v>
      </c>
      <c r="R3" s="54">
        <v>44561</v>
      </c>
      <c r="S3" s="54">
        <v>44926</v>
      </c>
    </row>
    <row r="4" spans="1:19" x14ac:dyDescent="0.2">
      <c r="A4" s="7"/>
      <c r="B4" s="2" t="s">
        <v>5</v>
      </c>
      <c r="C4" s="3">
        <v>1</v>
      </c>
      <c r="D4" s="3"/>
      <c r="E4" s="5"/>
      <c r="F4" s="7"/>
      <c r="G4" s="55" t="s">
        <v>6</v>
      </c>
      <c r="H4" s="75">
        <f t="shared" ref="H4:S4" si="0">H5+H10</f>
        <v>0</v>
      </c>
      <c r="I4" s="75">
        <f t="shared" si="0"/>
        <v>0</v>
      </c>
      <c r="J4" s="56">
        <f t="shared" si="0"/>
        <v>14.797000000000001</v>
      </c>
      <c r="K4" s="56">
        <f t="shared" si="0"/>
        <v>707.97699999999998</v>
      </c>
      <c r="L4" s="56">
        <f t="shared" si="0"/>
        <v>788.77800000000002</v>
      </c>
      <c r="M4" s="56">
        <f t="shared" si="0"/>
        <v>830</v>
      </c>
      <c r="N4" s="56">
        <f t="shared" si="0"/>
        <v>798</v>
      </c>
      <c r="O4" s="56">
        <f t="shared" si="0"/>
        <v>820</v>
      </c>
      <c r="P4" s="56">
        <f t="shared" si="0"/>
        <v>816</v>
      </c>
      <c r="Q4" s="56">
        <f t="shared" si="0"/>
        <v>834</v>
      </c>
      <c r="R4" s="56">
        <f t="shared" si="0"/>
        <v>855</v>
      </c>
      <c r="S4" s="56">
        <f t="shared" si="0"/>
        <v>875</v>
      </c>
    </row>
    <row r="5" spans="1:19" x14ac:dyDescent="0.2">
      <c r="A5" s="8"/>
      <c r="B5" s="2" t="s">
        <v>7</v>
      </c>
      <c r="C5" s="3">
        <v>10</v>
      </c>
      <c r="D5" s="3"/>
      <c r="E5" s="9"/>
      <c r="G5" s="57" t="s">
        <v>8</v>
      </c>
      <c r="H5" s="75">
        <f t="shared" ref="H5:R5" si="1">SUM(H6:H9)</f>
        <v>0</v>
      </c>
      <c r="I5" s="75">
        <f t="shared" si="1"/>
        <v>0</v>
      </c>
      <c r="J5" s="56">
        <f t="shared" si="1"/>
        <v>0</v>
      </c>
      <c r="K5" s="56">
        <f t="shared" si="1"/>
        <v>265.97699999999998</v>
      </c>
      <c r="L5" s="56">
        <f t="shared" si="1"/>
        <v>298.77800000000002</v>
      </c>
      <c r="M5" s="56">
        <f t="shared" si="1"/>
        <v>330</v>
      </c>
      <c r="N5" s="56">
        <f t="shared" si="1"/>
        <v>240</v>
      </c>
      <c r="O5" s="56">
        <f t="shared" si="1"/>
        <v>296</v>
      </c>
      <c r="P5" s="56">
        <f t="shared" si="1"/>
        <v>326</v>
      </c>
      <c r="Q5" s="56">
        <f t="shared" si="1"/>
        <v>378</v>
      </c>
      <c r="R5" s="56">
        <f t="shared" si="1"/>
        <v>433</v>
      </c>
      <c r="S5" s="56">
        <f>SUM(S6:S9)</f>
        <v>487</v>
      </c>
    </row>
    <row r="6" spans="1:19" ht="12" x14ac:dyDescent="0.2">
      <c r="A6" s="8"/>
      <c r="B6" s="2" t="s">
        <v>9</v>
      </c>
      <c r="C6" s="10" t="s">
        <v>10</v>
      </c>
      <c r="D6" s="10"/>
      <c r="E6" s="11" t="s">
        <v>11</v>
      </c>
      <c r="G6" s="57" t="s">
        <v>12</v>
      </c>
      <c r="H6" s="75">
        <v>0</v>
      </c>
      <c r="I6" s="75">
        <v>0</v>
      </c>
      <c r="J6" s="58">
        <v>0</v>
      </c>
      <c r="K6" s="58">
        <v>250.62299999999999</v>
      </c>
      <c r="L6" s="58">
        <v>245.38399999999999</v>
      </c>
      <c r="M6" s="58">
        <v>260</v>
      </c>
      <c r="N6" s="76">
        <v>160</v>
      </c>
      <c r="O6" s="76">
        <v>247</v>
      </c>
      <c r="P6" s="76">
        <v>292</v>
      </c>
      <c r="Q6" s="76">
        <v>343</v>
      </c>
      <c r="R6" s="76">
        <v>398</v>
      </c>
      <c r="S6" s="58">
        <v>452</v>
      </c>
    </row>
    <row r="7" spans="1:19" ht="12" x14ac:dyDescent="0.2">
      <c r="A7" s="8"/>
      <c r="B7" s="2" t="s">
        <v>13</v>
      </c>
      <c r="C7" s="10" t="s">
        <v>14</v>
      </c>
      <c r="D7" s="10"/>
      <c r="E7" s="11" t="s">
        <v>11</v>
      </c>
      <c r="G7" s="57" t="s">
        <v>15</v>
      </c>
      <c r="H7" s="75">
        <v>0</v>
      </c>
      <c r="I7" s="75">
        <v>0</v>
      </c>
      <c r="J7" s="58">
        <v>0</v>
      </c>
      <c r="K7" s="58">
        <v>11.813000000000001</v>
      </c>
      <c r="L7" s="58">
        <v>49.948</v>
      </c>
      <c r="M7" s="58">
        <v>70</v>
      </c>
      <c r="N7" s="76">
        <v>80</v>
      </c>
      <c r="O7" s="76">
        <v>49</v>
      </c>
      <c r="P7" s="76">
        <v>34</v>
      </c>
      <c r="Q7" s="76">
        <v>35</v>
      </c>
      <c r="R7" s="76">
        <v>35</v>
      </c>
      <c r="S7" s="76">
        <v>35</v>
      </c>
    </row>
    <row r="8" spans="1:19" ht="12" x14ac:dyDescent="0.2">
      <c r="A8" s="8"/>
      <c r="B8" s="2" t="s">
        <v>16</v>
      </c>
      <c r="C8" s="10" t="s">
        <v>17</v>
      </c>
      <c r="D8" s="10"/>
      <c r="E8" s="11" t="s">
        <v>11</v>
      </c>
      <c r="G8" s="57" t="s">
        <v>18</v>
      </c>
      <c r="H8" s="75">
        <v>0</v>
      </c>
      <c r="I8" s="75">
        <v>0</v>
      </c>
      <c r="J8" s="58">
        <v>0</v>
      </c>
      <c r="K8" s="58">
        <v>0</v>
      </c>
      <c r="L8" s="58">
        <v>0</v>
      </c>
      <c r="M8" s="58">
        <v>0</v>
      </c>
      <c r="N8" s="76">
        <v>0</v>
      </c>
      <c r="O8" s="76">
        <v>0</v>
      </c>
      <c r="P8" s="76">
        <v>0</v>
      </c>
      <c r="Q8" s="76">
        <v>0</v>
      </c>
      <c r="R8" s="76">
        <v>0</v>
      </c>
      <c r="S8" s="58">
        <v>0</v>
      </c>
    </row>
    <row r="9" spans="1:19" x14ac:dyDescent="0.2">
      <c r="A9" s="8"/>
      <c r="B9" s="2" t="s">
        <v>19</v>
      </c>
      <c r="C9" s="10">
        <v>108</v>
      </c>
      <c r="D9" s="10"/>
      <c r="E9" s="12"/>
      <c r="G9" s="57" t="s">
        <v>20</v>
      </c>
      <c r="H9" s="75">
        <v>0</v>
      </c>
      <c r="I9" s="75">
        <v>0</v>
      </c>
      <c r="J9" s="58">
        <v>0</v>
      </c>
      <c r="K9" s="58">
        <v>3.5409999999999999</v>
      </c>
      <c r="L9" s="58">
        <v>3.4460000000000002</v>
      </c>
      <c r="M9" s="58">
        <v>0</v>
      </c>
      <c r="N9" s="76">
        <v>0</v>
      </c>
      <c r="O9" s="76">
        <v>0</v>
      </c>
      <c r="P9" s="76">
        <v>0</v>
      </c>
      <c r="Q9" s="76">
        <v>0</v>
      </c>
      <c r="R9" s="76">
        <v>0</v>
      </c>
      <c r="S9" s="58">
        <v>0</v>
      </c>
    </row>
    <row r="10" spans="1:19" x14ac:dyDescent="0.2">
      <c r="A10" s="13"/>
      <c r="B10" s="2" t="s">
        <v>21</v>
      </c>
      <c r="C10" s="14">
        <v>15</v>
      </c>
      <c r="D10" s="14"/>
      <c r="E10" s="12"/>
      <c r="F10" s="13"/>
      <c r="G10" s="57" t="s">
        <v>22</v>
      </c>
      <c r="H10" s="75">
        <f t="shared" ref="H10:S10" si="2">SUM(H11:H16)</f>
        <v>0</v>
      </c>
      <c r="I10" s="75">
        <f t="shared" si="2"/>
        <v>0</v>
      </c>
      <c r="J10" s="56">
        <f t="shared" si="2"/>
        <v>14.797000000000001</v>
      </c>
      <c r="K10" s="56">
        <f t="shared" si="2"/>
        <v>442</v>
      </c>
      <c r="L10" s="56">
        <f t="shared" si="2"/>
        <v>490</v>
      </c>
      <c r="M10" s="56">
        <f t="shared" si="2"/>
        <v>500</v>
      </c>
      <c r="N10" s="77">
        <f t="shared" si="2"/>
        <v>558</v>
      </c>
      <c r="O10" s="77">
        <f t="shared" si="2"/>
        <v>524</v>
      </c>
      <c r="P10" s="77">
        <f t="shared" si="2"/>
        <v>490</v>
      </c>
      <c r="Q10" s="77">
        <f t="shared" si="2"/>
        <v>456</v>
      </c>
      <c r="R10" s="77">
        <f t="shared" si="2"/>
        <v>422</v>
      </c>
      <c r="S10" s="56">
        <f t="shared" si="2"/>
        <v>388</v>
      </c>
    </row>
    <row r="11" spans="1:19" ht="12" x14ac:dyDescent="0.2">
      <c r="A11" s="13"/>
      <c r="B11" s="2" t="s">
        <v>23</v>
      </c>
      <c r="C11" s="14">
        <v>150</v>
      </c>
      <c r="D11" s="14"/>
      <c r="E11" s="11" t="s">
        <v>11</v>
      </c>
      <c r="F11" s="13"/>
      <c r="G11" s="57" t="s">
        <v>24</v>
      </c>
      <c r="H11" s="75">
        <v>0</v>
      </c>
      <c r="I11" s="75">
        <v>0</v>
      </c>
      <c r="J11" s="58">
        <v>0</v>
      </c>
      <c r="K11" s="58">
        <v>0</v>
      </c>
      <c r="L11" s="58">
        <v>0</v>
      </c>
      <c r="M11" s="58">
        <v>0</v>
      </c>
      <c r="N11" s="76">
        <v>0</v>
      </c>
      <c r="O11" s="76">
        <v>0</v>
      </c>
      <c r="P11" s="76">
        <v>0</v>
      </c>
      <c r="Q11" s="76">
        <v>0</v>
      </c>
      <c r="R11" s="76">
        <v>0</v>
      </c>
      <c r="S11" s="58">
        <v>0</v>
      </c>
    </row>
    <row r="12" spans="1:19" ht="12" x14ac:dyDescent="0.2">
      <c r="A12" s="13"/>
      <c r="B12" s="2" t="s">
        <v>25</v>
      </c>
      <c r="C12" s="14">
        <v>151</v>
      </c>
      <c r="D12" s="14"/>
      <c r="E12" s="11" t="s">
        <v>11</v>
      </c>
      <c r="F12" s="13"/>
      <c r="G12" s="57" t="s">
        <v>26</v>
      </c>
      <c r="H12" s="75">
        <v>0</v>
      </c>
      <c r="I12" s="75">
        <v>0</v>
      </c>
      <c r="J12" s="58">
        <v>0</v>
      </c>
      <c r="K12" s="58">
        <v>0</v>
      </c>
      <c r="L12" s="58">
        <v>0</v>
      </c>
      <c r="M12" s="58">
        <v>0</v>
      </c>
      <c r="N12" s="76">
        <v>0</v>
      </c>
      <c r="O12" s="76">
        <v>0</v>
      </c>
      <c r="P12" s="76">
        <v>0</v>
      </c>
      <c r="Q12" s="76">
        <v>0</v>
      </c>
      <c r="R12" s="76">
        <v>0</v>
      </c>
      <c r="S12" s="58">
        <v>0</v>
      </c>
    </row>
    <row r="13" spans="1:19" ht="12" x14ac:dyDescent="0.2">
      <c r="A13" s="8"/>
      <c r="B13" s="2" t="s">
        <v>27</v>
      </c>
      <c r="C13" s="10" t="s">
        <v>28</v>
      </c>
      <c r="D13" s="10"/>
      <c r="E13" s="11" t="s">
        <v>11</v>
      </c>
      <c r="G13" s="57" t="s">
        <v>29</v>
      </c>
      <c r="H13" s="75">
        <v>0</v>
      </c>
      <c r="I13" s="75">
        <v>0</v>
      </c>
      <c r="J13" s="58">
        <v>0</v>
      </c>
      <c r="K13" s="58">
        <v>0</v>
      </c>
      <c r="L13" s="58">
        <v>0</v>
      </c>
      <c r="M13" s="58">
        <v>0</v>
      </c>
      <c r="N13" s="76">
        <v>0</v>
      </c>
      <c r="O13" s="76">
        <v>0</v>
      </c>
      <c r="P13" s="76">
        <v>0</v>
      </c>
      <c r="Q13" s="76">
        <v>0</v>
      </c>
      <c r="R13" s="76">
        <v>0</v>
      </c>
      <c r="S13" s="58">
        <v>0</v>
      </c>
    </row>
    <row r="14" spans="1:19" ht="12" x14ac:dyDescent="0.2">
      <c r="A14" s="8"/>
      <c r="B14" s="2" t="s">
        <v>30</v>
      </c>
      <c r="C14" s="10">
        <v>154</v>
      </c>
      <c r="D14" s="10"/>
      <c r="E14" s="11" t="s">
        <v>11</v>
      </c>
      <c r="G14" s="57" t="s">
        <v>31</v>
      </c>
      <c r="H14" s="75">
        <v>0</v>
      </c>
      <c r="I14" s="75">
        <v>0</v>
      </c>
      <c r="J14" s="58">
        <v>0</v>
      </c>
      <c r="K14" s="58">
        <v>0</v>
      </c>
      <c r="L14" s="58">
        <v>0</v>
      </c>
      <c r="M14" s="58">
        <v>0</v>
      </c>
      <c r="N14" s="76">
        <v>0</v>
      </c>
      <c r="O14" s="76">
        <v>0</v>
      </c>
      <c r="P14" s="76">
        <v>0</v>
      </c>
      <c r="Q14" s="76">
        <v>0</v>
      </c>
      <c r="R14" s="76">
        <v>0</v>
      </c>
      <c r="S14" s="58">
        <v>0</v>
      </c>
    </row>
    <row r="15" spans="1:19" ht="12" x14ac:dyDescent="0.2">
      <c r="A15" s="8"/>
      <c r="B15" s="2" t="s">
        <v>32</v>
      </c>
      <c r="C15" s="10" t="s">
        <v>33</v>
      </c>
      <c r="D15" s="10"/>
      <c r="E15" s="11" t="s">
        <v>11</v>
      </c>
      <c r="G15" s="57" t="s">
        <v>34</v>
      </c>
      <c r="H15" s="75">
        <v>0</v>
      </c>
      <c r="I15" s="75">
        <v>0</v>
      </c>
      <c r="J15" s="58">
        <v>14.797000000000001</v>
      </c>
      <c r="K15" s="58">
        <v>442</v>
      </c>
      <c r="L15" s="58">
        <v>490</v>
      </c>
      <c r="M15" s="58">
        <v>500</v>
      </c>
      <c r="N15" s="76">
        <v>558</v>
      </c>
      <c r="O15" s="76">
        <v>524</v>
      </c>
      <c r="P15" s="76">
        <v>490</v>
      </c>
      <c r="Q15" s="76">
        <v>456</v>
      </c>
      <c r="R15" s="76">
        <v>422</v>
      </c>
      <c r="S15" s="58">
        <v>388</v>
      </c>
    </row>
    <row r="16" spans="1:19" ht="12" x14ac:dyDescent="0.2">
      <c r="A16" s="8"/>
      <c r="B16" s="2" t="s">
        <v>35</v>
      </c>
      <c r="C16" s="10">
        <v>157</v>
      </c>
      <c r="D16" s="10"/>
      <c r="E16" s="11" t="s">
        <v>11</v>
      </c>
      <c r="G16" s="57" t="s">
        <v>36</v>
      </c>
      <c r="H16" s="75">
        <v>0</v>
      </c>
      <c r="I16" s="75">
        <v>0</v>
      </c>
      <c r="J16" s="58">
        <v>0</v>
      </c>
      <c r="K16" s="58">
        <v>0</v>
      </c>
      <c r="L16" s="58">
        <v>0</v>
      </c>
      <c r="M16" s="58">
        <v>0</v>
      </c>
      <c r="N16" s="76">
        <v>0</v>
      </c>
      <c r="O16" s="76">
        <v>0</v>
      </c>
      <c r="P16" s="76">
        <v>0</v>
      </c>
      <c r="Q16" s="76">
        <v>0</v>
      </c>
      <c r="R16" s="76">
        <v>0</v>
      </c>
      <c r="S16" s="58">
        <v>0</v>
      </c>
    </row>
    <row r="17" spans="1:19" ht="12" x14ac:dyDescent="0.2">
      <c r="A17" s="15"/>
      <c r="B17" s="2" t="s">
        <v>37</v>
      </c>
      <c r="C17" s="78" t="s">
        <v>38</v>
      </c>
      <c r="D17" s="15"/>
      <c r="E17" s="11" t="s">
        <v>11</v>
      </c>
      <c r="F17" s="16"/>
      <c r="G17" s="59" t="s">
        <v>39</v>
      </c>
      <c r="H17" s="79">
        <v>0</v>
      </c>
      <c r="I17" s="79">
        <v>0</v>
      </c>
      <c r="J17" s="60">
        <v>0</v>
      </c>
      <c r="K17" s="60">
        <v>0</v>
      </c>
      <c r="L17" s="60">
        <v>0</v>
      </c>
      <c r="M17" s="60">
        <v>0</v>
      </c>
      <c r="N17" s="80">
        <v>0</v>
      </c>
      <c r="O17" s="80">
        <v>0</v>
      </c>
      <c r="P17" s="80">
        <v>0</v>
      </c>
      <c r="Q17" s="80">
        <v>0</v>
      </c>
      <c r="R17" s="80">
        <v>0</v>
      </c>
      <c r="S17" s="60">
        <v>0</v>
      </c>
    </row>
    <row r="18" spans="1:19" x14ac:dyDescent="0.2">
      <c r="A18" s="8"/>
      <c r="B18" s="2" t="s">
        <v>40</v>
      </c>
      <c r="C18" s="10">
        <v>2</v>
      </c>
      <c r="D18" s="10"/>
      <c r="E18" s="12"/>
      <c r="G18" s="57" t="s">
        <v>41</v>
      </c>
      <c r="H18" s="75">
        <f t="shared" ref="H18:S18" si="3">H19+H27</f>
        <v>0</v>
      </c>
      <c r="I18" s="75">
        <f t="shared" si="3"/>
        <v>0</v>
      </c>
      <c r="J18" s="56">
        <f t="shared" si="3"/>
        <v>14.797000000000001</v>
      </c>
      <c r="K18" s="56">
        <f t="shared" si="3"/>
        <v>708.21799999999996</v>
      </c>
      <c r="L18" s="56">
        <f t="shared" si="3"/>
        <v>788.30099999999993</v>
      </c>
      <c r="M18" s="56">
        <f t="shared" si="3"/>
        <v>830.23400000000004</v>
      </c>
      <c r="N18" s="77">
        <f t="shared" si="3"/>
        <v>798</v>
      </c>
      <c r="O18" s="77">
        <f t="shared" si="3"/>
        <v>819.67200000000003</v>
      </c>
      <c r="P18" s="77">
        <f t="shared" si="3"/>
        <v>815.81200000000001</v>
      </c>
      <c r="Q18" s="77">
        <f t="shared" si="3"/>
        <v>833.94200000000001</v>
      </c>
      <c r="R18" s="77">
        <f t="shared" si="3"/>
        <v>855.072</v>
      </c>
      <c r="S18" s="56">
        <f t="shared" si="3"/>
        <v>875.202</v>
      </c>
    </row>
    <row r="19" spans="1:19" x14ac:dyDescent="0.2">
      <c r="A19" s="8"/>
      <c r="B19" s="2" t="s">
        <v>42</v>
      </c>
      <c r="C19" s="10" t="s">
        <v>43</v>
      </c>
      <c r="D19" s="10"/>
      <c r="E19" s="12"/>
      <c r="G19" s="57" t="s">
        <v>44</v>
      </c>
      <c r="H19" s="75">
        <f t="shared" ref="H19:S19" si="4">SUM(H21:H26)</f>
        <v>0</v>
      </c>
      <c r="I19" s="75">
        <f t="shared" si="4"/>
        <v>0</v>
      </c>
      <c r="J19" s="56">
        <f t="shared" si="4"/>
        <v>0</v>
      </c>
      <c r="K19" s="56">
        <f t="shared" si="4"/>
        <v>182.649</v>
      </c>
      <c r="L19" s="56">
        <f t="shared" si="4"/>
        <v>24.786000000000001</v>
      </c>
      <c r="M19" s="56">
        <f t="shared" si="4"/>
        <v>30</v>
      </c>
      <c r="N19" s="77">
        <f t="shared" si="4"/>
        <v>36</v>
      </c>
      <c r="O19" s="77">
        <f t="shared" si="4"/>
        <v>52</v>
      </c>
      <c r="P19" s="77">
        <f t="shared" si="4"/>
        <v>41</v>
      </c>
      <c r="Q19" s="77">
        <f t="shared" si="4"/>
        <v>41</v>
      </c>
      <c r="R19" s="77">
        <f t="shared" si="4"/>
        <v>41</v>
      </c>
      <c r="S19" s="56">
        <f t="shared" si="4"/>
        <v>41</v>
      </c>
    </row>
    <row r="20" spans="1:19" ht="12" x14ac:dyDescent="0.2">
      <c r="A20" s="17"/>
      <c r="B20" s="2" t="s">
        <v>45</v>
      </c>
      <c r="C20" s="78" t="s">
        <v>46</v>
      </c>
      <c r="D20" s="15"/>
      <c r="E20" s="11" t="s">
        <v>11</v>
      </c>
      <c r="F20" s="17"/>
      <c r="G20" s="59" t="s">
        <v>47</v>
      </c>
      <c r="H20" s="81">
        <v>0</v>
      </c>
      <c r="I20" s="81">
        <v>0</v>
      </c>
      <c r="J20" s="61">
        <v>0</v>
      </c>
      <c r="K20" s="61">
        <v>182.649</v>
      </c>
      <c r="L20" s="61">
        <v>24.786000000000001</v>
      </c>
      <c r="M20" s="61">
        <v>29.55</v>
      </c>
      <c r="N20" s="82">
        <v>0</v>
      </c>
      <c r="O20" s="82">
        <v>0</v>
      </c>
      <c r="P20" s="82">
        <v>0</v>
      </c>
      <c r="Q20" s="82">
        <v>0</v>
      </c>
      <c r="R20" s="82">
        <v>0</v>
      </c>
      <c r="S20" s="61">
        <v>0</v>
      </c>
    </row>
    <row r="21" spans="1:19" ht="12" x14ac:dyDescent="0.2">
      <c r="A21" s="8"/>
      <c r="B21" s="2" t="s">
        <v>48</v>
      </c>
      <c r="C21" s="18" t="s">
        <v>49</v>
      </c>
      <c r="D21" s="18"/>
      <c r="E21" s="11" t="s">
        <v>11</v>
      </c>
      <c r="G21" s="57" t="s">
        <v>50</v>
      </c>
      <c r="H21" s="75">
        <v>0</v>
      </c>
      <c r="I21" s="75">
        <v>0</v>
      </c>
      <c r="J21" s="58">
        <v>0</v>
      </c>
      <c r="K21" s="58">
        <f>9.541+1.645+171.463</f>
        <v>182.649</v>
      </c>
      <c r="L21" s="58">
        <f>7.907+0.895+15.984</f>
        <v>24.786000000000001</v>
      </c>
      <c r="M21" s="58">
        <v>30</v>
      </c>
      <c r="N21" s="76">
        <v>36</v>
      </c>
      <c r="O21" s="76">
        <v>52</v>
      </c>
      <c r="P21" s="76">
        <v>41</v>
      </c>
      <c r="Q21" s="76">
        <v>41</v>
      </c>
      <c r="R21" s="76">
        <v>41</v>
      </c>
      <c r="S21" s="58">
        <v>41</v>
      </c>
    </row>
    <row r="22" spans="1:19" ht="12" x14ac:dyDescent="0.2">
      <c r="A22" s="8"/>
      <c r="B22" s="2" t="s">
        <v>51</v>
      </c>
      <c r="C22" s="10" t="s">
        <v>52</v>
      </c>
      <c r="D22" s="10"/>
      <c r="E22" s="11" t="s">
        <v>11</v>
      </c>
      <c r="G22" s="57" t="s">
        <v>53</v>
      </c>
      <c r="H22" s="75">
        <v>0</v>
      </c>
      <c r="I22" s="75">
        <v>0</v>
      </c>
      <c r="J22" s="58">
        <v>0</v>
      </c>
      <c r="K22" s="58">
        <v>0</v>
      </c>
      <c r="L22" s="58">
        <v>0</v>
      </c>
      <c r="M22" s="58">
        <v>0</v>
      </c>
      <c r="N22" s="76">
        <v>0</v>
      </c>
      <c r="O22" s="76">
        <v>0</v>
      </c>
      <c r="P22" s="76">
        <v>0</v>
      </c>
      <c r="Q22" s="76">
        <v>0</v>
      </c>
      <c r="R22" s="76">
        <v>0</v>
      </c>
      <c r="S22" s="58">
        <v>0</v>
      </c>
    </row>
    <row r="23" spans="1:19" ht="12" x14ac:dyDescent="0.2">
      <c r="A23" s="8"/>
      <c r="B23" s="2" t="s">
        <v>54</v>
      </c>
      <c r="C23" s="10">
        <v>257</v>
      </c>
      <c r="D23" s="10"/>
      <c r="E23" s="11" t="s">
        <v>11</v>
      </c>
      <c r="G23" s="57" t="s">
        <v>55</v>
      </c>
      <c r="H23" s="75">
        <v>0</v>
      </c>
      <c r="I23" s="75">
        <v>0</v>
      </c>
      <c r="J23" s="58">
        <v>0</v>
      </c>
      <c r="K23" s="58">
        <v>0</v>
      </c>
      <c r="L23" s="58">
        <v>0</v>
      </c>
      <c r="M23" s="58">
        <v>0</v>
      </c>
      <c r="N23" s="76">
        <v>0</v>
      </c>
      <c r="O23" s="76">
        <v>0</v>
      </c>
      <c r="P23" s="76">
        <v>0</v>
      </c>
      <c r="Q23" s="76">
        <v>0</v>
      </c>
      <c r="R23" s="76">
        <v>0</v>
      </c>
      <c r="S23" s="58">
        <v>0</v>
      </c>
    </row>
    <row r="24" spans="1:19" ht="12" x14ac:dyDescent="0.2">
      <c r="A24" s="19"/>
      <c r="B24" s="2" t="s">
        <v>56</v>
      </c>
      <c r="C24" s="10" t="s">
        <v>57</v>
      </c>
      <c r="D24" s="10"/>
      <c r="E24" s="11" t="s">
        <v>11</v>
      </c>
      <c r="F24" s="19"/>
      <c r="G24" s="57" t="s">
        <v>58</v>
      </c>
      <c r="H24" s="75">
        <v>0</v>
      </c>
      <c r="I24" s="75">
        <v>0</v>
      </c>
      <c r="J24" s="58">
        <v>0</v>
      </c>
      <c r="K24" s="58">
        <v>0</v>
      </c>
      <c r="L24" s="58">
        <v>0</v>
      </c>
      <c r="M24" s="58">
        <v>0</v>
      </c>
      <c r="N24" s="76">
        <v>0</v>
      </c>
      <c r="O24" s="76">
        <v>0</v>
      </c>
      <c r="P24" s="76">
        <v>0</v>
      </c>
      <c r="Q24" s="76">
        <v>0</v>
      </c>
      <c r="R24" s="76">
        <v>0</v>
      </c>
      <c r="S24" s="58">
        <v>0</v>
      </c>
    </row>
    <row r="25" spans="1:19" ht="12" x14ac:dyDescent="0.2">
      <c r="A25" s="19"/>
      <c r="B25" s="2" t="s">
        <v>59</v>
      </c>
      <c r="C25" s="10" t="s">
        <v>60</v>
      </c>
      <c r="D25" s="10"/>
      <c r="E25" s="11" t="s">
        <v>11</v>
      </c>
      <c r="F25" s="19"/>
      <c r="G25" s="57" t="s">
        <v>61</v>
      </c>
      <c r="H25" s="75">
        <v>0</v>
      </c>
      <c r="I25" s="75">
        <v>0</v>
      </c>
      <c r="J25" s="58">
        <v>0</v>
      </c>
      <c r="K25" s="58">
        <v>0</v>
      </c>
      <c r="L25" s="58">
        <v>0</v>
      </c>
      <c r="M25" s="58">
        <v>0</v>
      </c>
      <c r="N25" s="76">
        <v>0</v>
      </c>
      <c r="O25" s="76">
        <v>0</v>
      </c>
      <c r="P25" s="76">
        <v>0</v>
      </c>
      <c r="Q25" s="76">
        <v>0</v>
      </c>
      <c r="R25" s="76">
        <v>0</v>
      </c>
      <c r="S25" s="58">
        <v>0</v>
      </c>
    </row>
    <row r="26" spans="1:19" ht="12" x14ac:dyDescent="0.2">
      <c r="A26" s="8"/>
      <c r="B26" s="2" t="s">
        <v>62</v>
      </c>
      <c r="C26" s="10">
        <v>28</v>
      </c>
      <c r="D26" s="10"/>
      <c r="E26" s="11" t="s">
        <v>11</v>
      </c>
      <c r="G26" s="57" t="s">
        <v>63</v>
      </c>
      <c r="H26" s="75">
        <v>0</v>
      </c>
      <c r="I26" s="75">
        <v>0</v>
      </c>
      <c r="J26" s="58">
        <v>0</v>
      </c>
      <c r="K26" s="58">
        <v>0</v>
      </c>
      <c r="L26" s="58">
        <v>0</v>
      </c>
      <c r="M26" s="58">
        <v>0</v>
      </c>
      <c r="N26" s="76">
        <v>0</v>
      </c>
      <c r="O26" s="76">
        <v>0</v>
      </c>
      <c r="P26" s="76">
        <v>0</v>
      </c>
      <c r="Q26" s="76">
        <v>0</v>
      </c>
      <c r="R26" s="76">
        <v>0</v>
      </c>
      <c r="S26" s="58">
        <v>0</v>
      </c>
    </row>
    <row r="27" spans="1:19" x14ac:dyDescent="0.2">
      <c r="A27" s="8"/>
      <c r="B27" s="2" t="s">
        <v>64</v>
      </c>
      <c r="C27" s="10">
        <v>29</v>
      </c>
      <c r="D27" s="10"/>
      <c r="E27" s="12"/>
      <c r="G27" s="57" t="s">
        <v>65</v>
      </c>
      <c r="H27" s="75">
        <f t="shared" ref="H27:M27" si="5">SUM(H28:H30)</f>
        <v>0</v>
      </c>
      <c r="I27" s="75">
        <f t="shared" si="5"/>
        <v>0</v>
      </c>
      <c r="J27" s="56">
        <f t="shared" si="5"/>
        <v>14.797000000000001</v>
      </c>
      <c r="K27" s="56">
        <f t="shared" si="5"/>
        <v>525.56899999999996</v>
      </c>
      <c r="L27" s="56">
        <f t="shared" si="5"/>
        <v>763.51499999999999</v>
      </c>
      <c r="M27" s="56">
        <f t="shared" si="5"/>
        <v>800.23400000000004</v>
      </c>
      <c r="N27" s="77">
        <f t="shared" ref="N27:S27" si="6">SUM(N28:N30)</f>
        <v>762</v>
      </c>
      <c r="O27" s="77">
        <f t="shared" si="6"/>
        <v>767.67200000000003</v>
      </c>
      <c r="P27" s="77">
        <f t="shared" si="6"/>
        <v>774.81200000000001</v>
      </c>
      <c r="Q27" s="77">
        <f t="shared" si="6"/>
        <v>792.94200000000001</v>
      </c>
      <c r="R27" s="77">
        <f t="shared" si="6"/>
        <v>814.072</v>
      </c>
      <c r="S27" s="56">
        <f t="shared" si="6"/>
        <v>834.202</v>
      </c>
    </row>
    <row r="28" spans="1:19" ht="12" x14ac:dyDescent="0.2">
      <c r="A28" s="8"/>
      <c r="B28" s="2" t="s">
        <v>66</v>
      </c>
      <c r="C28" s="8" t="s">
        <v>67</v>
      </c>
      <c r="D28" s="8"/>
      <c r="E28" s="11" t="s">
        <v>11</v>
      </c>
      <c r="G28" s="57" t="s">
        <v>68</v>
      </c>
      <c r="H28" s="75">
        <v>0</v>
      </c>
      <c r="I28" s="75">
        <v>0</v>
      </c>
      <c r="J28" s="58">
        <v>14.797000000000001</v>
      </c>
      <c r="K28" s="58">
        <v>447.00700000000001</v>
      </c>
      <c r="L28" s="58">
        <v>447.00700000000001</v>
      </c>
      <c r="M28" s="58">
        <v>447.00700000000001</v>
      </c>
      <c r="N28" s="76">
        <v>447</v>
      </c>
      <c r="O28" s="76">
        <v>447</v>
      </c>
      <c r="P28" s="76">
        <v>447</v>
      </c>
      <c r="Q28" s="76">
        <v>447</v>
      </c>
      <c r="R28" s="76">
        <v>447</v>
      </c>
      <c r="S28" s="76">
        <v>447</v>
      </c>
    </row>
    <row r="29" spans="1:19" ht="12" x14ac:dyDescent="0.2">
      <c r="A29" s="8"/>
      <c r="B29" s="2" t="s">
        <v>69</v>
      </c>
      <c r="C29" s="10">
        <v>298</v>
      </c>
      <c r="D29" s="10"/>
      <c r="E29" s="11" t="s">
        <v>11</v>
      </c>
      <c r="G29" s="57" t="s">
        <v>70</v>
      </c>
      <c r="H29" s="75">
        <v>0</v>
      </c>
      <c r="I29" s="75">
        <v>0</v>
      </c>
      <c r="J29" s="58">
        <v>0</v>
      </c>
      <c r="K29" s="58">
        <v>0</v>
      </c>
      <c r="L29" s="58">
        <f>K29+K30</f>
        <v>78.561999999999998</v>
      </c>
      <c r="M29" s="58">
        <v>316.50799999999998</v>
      </c>
      <c r="N29" s="76">
        <v>353</v>
      </c>
      <c r="O29" s="76">
        <f>N29+N30</f>
        <v>315</v>
      </c>
      <c r="P29" s="76">
        <f>O29+O30</f>
        <v>320.67200000000003</v>
      </c>
      <c r="Q29" s="76">
        <f>P29+P30</f>
        <v>327.81200000000001</v>
      </c>
      <c r="R29" s="76">
        <f>Q29+Q30</f>
        <v>345.94200000000001</v>
      </c>
      <c r="S29" s="76">
        <f>R29+R30</f>
        <v>367.072</v>
      </c>
    </row>
    <row r="30" spans="1:19" ht="12" x14ac:dyDescent="0.2">
      <c r="A30" s="8"/>
      <c r="B30" s="2" t="s">
        <v>71</v>
      </c>
      <c r="C30" s="10">
        <v>299</v>
      </c>
      <c r="D30" s="10"/>
      <c r="E30" s="11" t="s">
        <v>72</v>
      </c>
      <c r="G30" s="57" t="s">
        <v>73</v>
      </c>
      <c r="H30" s="75">
        <v>0</v>
      </c>
      <c r="I30" s="75">
        <v>0</v>
      </c>
      <c r="J30" s="58">
        <v>0</v>
      </c>
      <c r="K30" s="58">
        <v>78.561999999999998</v>
      </c>
      <c r="L30" s="58">
        <v>237.946</v>
      </c>
      <c r="M30" s="58">
        <v>36.719000000000001</v>
      </c>
      <c r="N30" s="76">
        <f t="shared" ref="N30:S30" si="7">N51</f>
        <v>-38</v>
      </c>
      <c r="O30" s="76">
        <f t="shared" si="7"/>
        <v>5.6720000000000255</v>
      </c>
      <c r="P30" s="76">
        <f t="shared" si="7"/>
        <v>7.1399999999999864</v>
      </c>
      <c r="Q30" s="76">
        <f t="shared" si="7"/>
        <v>18.129999999999995</v>
      </c>
      <c r="R30" s="76">
        <f t="shared" si="7"/>
        <v>21.129999999999995</v>
      </c>
      <c r="S30" s="76">
        <f t="shared" si="7"/>
        <v>20.129999999999995</v>
      </c>
    </row>
    <row r="31" spans="1:19" x14ac:dyDescent="0.2">
      <c r="A31" s="20"/>
      <c r="B31" s="2" t="s">
        <v>368</v>
      </c>
      <c r="C31" s="83" t="s">
        <v>369</v>
      </c>
      <c r="D31" s="21"/>
      <c r="E31" s="22"/>
      <c r="F31" s="20"/>
      <c r="G31" s="62" t="s">
        <v>74</v>
      </c>
      <c r="H31" s="84">
        <f t="shared" ref="H31:S31" si="8">H4-H18</f>
        <v>0</v>
      </c>
      <c r="I31" s="84">
        <f t="shared" si="8"/>
        <v>0</v>
      </c>
      <c r="J31" s="63">
        <f t="shared" si="8"/>
        <v>0</v>
      </c>
      <c r="K31" s="63">
        <f t="shared" si="8"/>
        <v>-0.24099999999998545</v>
      </c>
      <c r="L31" s="63">
        <f t="shared" si="8"/>
        <v>0.47700000000008913</v>
      </c>
      <c r="M31" s="63">
        <f t="shared" si="8"/>
        <v>-0.23400000000003729</v>
      </c>
      <c r="N31" s="85">
        <f t="shared" si="8"/>
        <v>0</v>
      </c>
      <c r="O31" s="85">
        <f t="shared" si="8"/>
        <v>0.32799999999997453</v>
      </c>
      <c r="P31" s="85">
        <f>P4-P18</f>
        <v>0.18799999999998818</v>
      </c>
      <c r="Q31" s="85">
        <f t="shared" si="8"/>
        <v>5.7999999999992724E-2</v>
      </c>
      <c r="R31" s="85">
        <f t="shared" si="8"/>
        <v>-7.2000000000002728E-2</v>
      </c>
      <c r="S31" s="63">
        <f t="shared" si="8"/>
        <v>-0.20199999999999818</v>
      </c>
    </row>
    <row r="32" spans="1:19" x14ac:dyDescent="0.2">
      <c r="A32" s="8"/>
      <c r="B32" s="2"/>
      <c r="C32" s="10"/>
      <c r="D32" s="10"/>
      <c r="E32" s="9"/>
      <c r="G32" s="53" t="s">
        <v>75</v>
      </c>
      <c r="H32" s="86">
        <v>2011</v>
      </c>
      <c r="I32" s="86">
        <f t="shared" ref="I32:S32" si="9">H32+1</f>
        <v>2012</v>
      </c>
      <c r="J32" s="64">
        <f t="shared" si="9"/>
        <v>2013</v>
      </c>
      <c r="K32" s="64">
        <f t="shared" si="9"/>
        <v>2014</v>
      </c>
      <c r="L32" s="64">
        <f t="shared" si="9"/>
        <v>2015</v>
      </c>
      <c r="M32" s="64">
        <f t="shared" si="9"/>
        <v>2016</v>
      </c>
      <c r="N32" s="87">
        <f t="shared" si="9"/>
        <v>2017</v>
      </c>
      <c r="O32" s="87">
        <f t="shared" si="9"/>
        <v>2018</v>
      </c>
      <c r="P32" s="87">
        <f t="shared" si="9"/>
        <v>2019</v>
      </c>
      <c r="Q32" s="87">
        <f t="shared" si="9"/>
        <v>2020</v>
      </c>
      <c r="R32" s="87">
        <f t="shared" si="9"/>
        <v>2021</v>
      </c>
      <c r="S32" s="64">
        <f t="shared" si="9"/>
        <v>2022</v>
      </c>
    </row>
    <row r="33" spans="1:19" x14ac:dyDescent="0.2">
      <c r="A33" s="8"/>
      <c r="B33" s="2" t="s">
        <v>76</v>
      </c>
      <c r="C33" s="10">
        <v>3</v>
      </c>
      <c r="D33" s="10"/>
      <c r="E33" s="9"/>
      <c r="G33" s="55" t="s">
        <v>77</v>
      </c>
      <c r="H33" s="75">
        <f t="shared" ref="H33:S33" si="10">SUM(H34:H37)</f>
        <v>0</v>
      </c>
      <c r="I33" s="75">
        <f t="shared" si="10"/>
        <v>0</v>
      </c>
      <c r="J33" s="56">
        <f t="shared" si="10"/>
        <v>0</v>
      </c>
      <c r="K33" s="56">
        <f t="shared" si="10"/>
        <v>644.44200000000001</v>
      </c>
      <c r="L33" s="56">
        <f t="shared" si="10"/>
        <v>1098.5060000000001</v>
      </c>
      <c r="M33" s="56">
        <f t="shared" si="10"/>
        <v>960.81799999999998</v>
      </c>
      <c r="N33" s="77">
        <f t="shared" si="10"/>
        <v>938</v>
      </c>
      <c r="O33" s="77">
        <f t="shared" si="10"/>
        <v>939.03200000000004</v>
      </c>
      <c r="P33" s="77">
        <f t="shared" si="10"/>
        <v>943</v>
      </c>
      <c r="Q33" s="77">
        <f t="shared" si="10"/>
        <v>950</v>
      </c>
      <c r="R33" s="77">
        <f t="shared" si="10"/>
        <v>953</v>
      </c>
      <c r="S33" s="56">
        <f t="shared" si="10"/>
        <v>951</v>
      </c>
    </row>
    <row r="34" spans="1:19" ht="12" x14ac:dyDescent="0.2">
      <c r="A34" s="8"/>
      <c r="B34" s="2" t="s">
        <v>78</v>
      </c>
      <c r="C34" s="10">
        <v>30</v>
      </c>
      <c r="D34" s="10"/>
      <c r="E34" s="11" t="s">
        <v>11</v>
      </c>
      <c r="G34" s="57" t="s">
        <v>79</v>
      </c>
      <c r="H34" s="75">
        <v>0</v>
      </c>
      <c r="I34" s="75">
        <v>0</v>
      </c>
      <c r="J34" s="58">
        <v>0</v>
      </c>
      <c r="K34" s="58">
        <v>0</v>
      </c>
      <c r="L34" s="58">
        <v>0</v>
      </c>
      <c r="M34" s="58">
        <v>0</v>
      </c>
      <c r="N34" s="76">
        <v>0</v>
      </c>
      <c r="O34" s="76">
        <v>0</v>
      </c>
      <c r="P34" s="76">
        <v>0</v>
      </c>
      <c r="Q34" s="76">
        <v>0</v>
      </c>
      <c r="R34" s="76">
        <v>0</v>
      </c>
      <c r="S34" s="58">
        <v>0</v>
      </c>
    </row>
    <row r="35" spans="1:19" ht="12" x14ac:dyDescent="0.2">
      <c r="A35" s="8"/>
      <c r="B35" s="2" t="s">
        <v>80</v>
      </c>
      <c r="C35" s="10">
        <v>32</v>
      </c>
      <c r="D35" s="10"/>
      <c r="E35" s="11" t="s">
        <v>11</v>
      </c>
      <c r="G35" s="57" t="s">
        <v>81</v>
      </c>
      <c r="H35" s="75">
        <v>0</v>
      </c>
      <c r="I35" s="75">
        <v>0</v>
      </c>
      <c r="J35" s="58">
        <v>0</v>
      </c>
      <c r="K35" s="58">
        <v>75.903999999999996</v>
      </c>
      <c r="L35" s="58">
        <v>151.74100000000001</v>
      </c>
      <c r="M35" s="58">
        <v>161.929</v>
      </c>
      <c r="N35" s="76">
        <v>189</v>
      </c>
      <c r="O35" s="76">
        <v>203</v>
      </c>
      <c r="P35" s="76">
        <v>186</v>
      </c>
      <c r="Q35" s="76">
        <v>189</v>
      </c>
      <c r="R35" s="76">
        <v>192</v>
      </c>
      <c r="S35" s="76">
        <v>190</v>
      </c>
    </row>
    <row r="36" spans="1:19" ht="12" x14ac:dyDescent="0.2">
      <c r="A36" s="13"/>
      <c r="B36" s="2" t="s">
        <v>82</v>
      </c>
      <c r="C36" s="10">
        <v>35</v>
      </c>
      <c r="D36" s="10"/>
      <c r="E36" s="11" t="s">
        <v>11</v>
      </c>
      <c r="F36" s="13"/>
      <c r="G36" s="57" t="s">
        <v>83</v>
      </c>
      <c r="H36" s="75">
        <v>0</v>
      </c>
      <c r="I36" s="75">
        <v>0</v>
      </c>
      <c r="J36" s="58">
        <v>0</v>
      </c>
      <c r="K36" s="58">
        <v>568.53800000000001</v>
      </c>
      <c r="L36" s="58">
        <v>946.76499999999999</v>
      </c>
      <c r="M36" s="58">
        <v>798.88900000000001</v>
      </c>
      <c r="N36" s="76">
        <v>749</v>
      </c>
      <c r="O36" s="76">
        <v>736.03200000000004</v>
      </c>
      <c r="P36" s="76">
        <f>751+5+1</f>
        <v>757</v>
      </c>
      <c r="Q36" s="76">
        <f>756+5</f>
        <v>761</v>
      </c>
      <c r="R36" s="76">
        <f>756+5</f>
        <v>761</v>
      </c>
      <c r="S36" s="76">
        <f>756+5</f>
        <v>761</v>
      </c>
    </row>
    <row r="37" spans="1:19" ht="12" x14ac:dyDescent="0.2">
      <c r="A37" s="8"/>
      <c r="B37" s="2" t="s">
        <v>84</v>
      </c>
      <c r="C37" s="10">
        <v>38</v>
      </c>
      <c r="D37" s="10"/>
      <c r="E37" s="11" t="s">
        <v>72</v>
      </c>
      <c r="G37" s="57" t="s">
        <v>85</v>
      </c>
      <c r="H37" s="75">
        <v>0</v>
      </c>
      <c r="I37" s="75">
        <v>0</v>
      </c>
      <c r="J37" s="58">
        <v>0</v>
      </c>
      <c r="K37" s="58">
        <v>0</v>
      </c>
      <c r="L37" s="58">
        <v>0</v>
      </c>
      <c r="M37" s="58">
        <v>0</v>
      </c>
      <c r="N37" s="76">
        <v>0</v>
      </c>
      <c r="O37" s="76">
        <v>0</v>
      </c>
      <c r="P37" s="76">
        <v>0</v>
      </c>
      <c r="Q37" s="76">
        <v>0</v>
      </c>
      <c r="R37" s="76">
        <v>0</v>
      </c>
      <c r="S37" s="58">
        <v>0</v>
      </c>
    </row>
    <row r="38" spans="1:19" x14ac:dyDescent="0.2">
      <c r="A38" s="8"/>
      <c r="B38" s="2" t="s">
        <v>86</v>
      </c>
      <c r="C38" s="10">
        <v>4</v>
      </c>
      <c r="D38" s="10"/>
      <c r="E38" s="23"/>
      <c r="G38" s="57" t="s">
        <v>87</v>
      </c>
      <c r="H38" s="75">
        <f t="shared" ref="H38:S38" si="11">H39+H40</f>
        <v>-0.128</v>
      </c>
      <c r="I38" s="75">
        <f t="shared" si="11"/>
        <v>-0.128</v>
      </c>
      <c r="J38" s="56">
        <f t="shared" si="11"/>
        <v>-0.128</v>
      </c>
      <c r="K38" s="56">
        <f t="shared" si="11"/>
        <v>-2</v>
      </c>
      <c r="L38" s="56">
        <f t="shared" si="11"/>
        <v>-2</v>
      </c>
      <c r="M38" s="56">
        <f t="shared" si="11"/>
        <v>-0.625</v>
      </c>
      <c r="N38" s="77">
        <f t="shared" si="11"/>
        <v>0</v>
      </c>
      <c r="O38" s="77">
        <f t="shared" si="11"/>
        <v>0</v>
      </c>
      <c r="P38" s="77">
        <f t="shared" si="11"/>
        <v>0</v>
      </c>
      <c r="Q38" s="77">
        <f t="shared" si="11"/>
        <v>0</v>
      </c>
      <c r="R38" s="77">
        <f t="shared" si="11"/>
        <v>0</v>
      </c>
      <c r="S38" s="56">
        <f t="shared" si="11"/>
        <v>0</v>
      </c>
    </row>
    <row r="39" spans="1:19" ht="12" x14ac:dyDescent="0.2">
      <c r="A39" s="8"/>
      <c r="B39" s="2" t="s">
        <v>88</v>
      </c>
      <c r="C39" s="10">
        <v>41</v>
      </c>
      <c r="D39" s="10"/>
      <c r="E39" s="11" t="s">
        <v>89</v>
      </c>
      <c r="G39" s="57" t="s">
        <v>90</v>
      </c>
      <c r="H39" s="75">
        <v>0</v>
      </c>
      <c r="I39" s="75">
        <v>0</v>
      </c>
      <c r="J39" s="58">
        <v>0</v>
      </c>
      <c r="K39" s="58">
        <v>-2</v>
      </c>
      <c r="L39" s="58">
        <v>-2</v>
      </c>
      <c r="M39" s="58">
        <v>-0.625</v>
      </c>
      <c r="N39" s="76">
        <v>0</v>
      </c>
      <c r="O39" s="76">
        <v>0</v>
      </c>
      <c r="P39" s="76">
        <v>0</v>
      </c>
      <c r="Q39" s="76">
        <v>0</v>
      </c>
      <c r="R39" s="76">
        <v>0</v>
      </c>
      <c r="S39" s="58">
        <v>0</v>
      </c>
    </row>
    <row r="40" spans="1:19" ht="12" x14ac:dyDescent="0.2">
      <c r="A40" s="8"/>
      <c r="B40" s="2" t="s">
        <v>91</v>
      </c>
      <c r="C40" s="10">
        <v>45</v>
      </c>
      <c r="D40" s="10"/>
      <c r="E40" s="11" t="s">
        <v>89</v>
      </c>
      <c r="G40" s="57" t="s">
        <v>92</v>
      </c>
      <c r="H40" s="75">
        <v>-0.128</v>
      </c>
      <c r="I40" s="75">
        <v>-0.128</v>
      </c>
      <c r="J40" s="58">
        <v>-0.128</v>
      </c>
      <c r="K40" s="58">
        <v>0</v>
      </c>
      <c r="L40" s="58">
        <v>0</v>
      </c>
      <c r="M40" s="58">
        <v>0</v>
      </c>
      <c r="N40" s="76">
        <v>0</v>
      </c>
      <c r="O40" s="76">
        <v>0</v>
      </c>
      <c r="P40" s="76">
        <v>0</v>
      </c>
      <c r="Q40" s="76">
        <v>0</v>
      </c>
      <c r="R40" s="76">
        <v>0</v>
      </c>
      <c r="S40" s="58">
        <v>0</v>
      </c>
    </row>
    <row r="41" spans="1:19" x14ac:dyDescent="0.2">
      <c r="A41" s="13"/>
      <c r="B41" s="2" t="s">
        <v>93</v>
      </c>
      <c r="C41" s="10" t="s">
        <v>94</v>
      </c>
      <c r="D41" s="10"/>
      <c r="E41" s="23"/>
      <c r="F41" s="13"/>
      <c r="G41" s="57" t="s">
        <v>95</v>
      </c>
      <c r="H41" s="75">
        <f t="shared" ref="H41:S41" si="12">SUM(H42:H45)</f>
        <v>0</v>
      </c>
      <c r="I41" s="75">
        <f t="shared" si="12"/>
        <v>0</v>
      </c>
      <c r="J41" s="56">
        <f t="shared" si="12"/>
        <v>0</v>
      </c>
      <c r="K41" s="56">
        <f t="shared" si="12"/>
        <v>-564.28</v>
      </c>
      <c r="L41" s="56">
        <f t="shared" si="12"/>
        <v>-859.48400000000004</v>
      </c>
      <c r="M41" s="56">
        <f t="shared" si="12"/>
        <v>-924.20300000000009</v>
      </c>
      <c r="N41" s="77">
        <f t="shared" si="12"/>
        <v>-976</v>
      </c>
      <c r="O41" s="77">
        <f t="shared" si="12"/>
        <v>-933.36</v>
      </c>
      <c r="P41" s="77">
        <f t="shared" si="12"/>
        <v>-935.86</v>
      </c>
      <c r="Q41" s="77">
        <f t="shared" si="12"/>
        <v>-931.87</v>
      </c>
      <c r="R41" s="77">
        <f t="shared" si="12"/>
        <v>-931.87</v>
      </c>
      <c r="S41" s="56">
        <f t="shared" si="12"/>
        <v>-930.87</v>
      </c>
    </row>
    <row r="42" spans="1:19" ht="12" x14ac:dyDescent="0.2">
      <c r="A42" s="8"/>
      <c r="B42" s="2" t="s">
        <v>96</v>
      </c>
      <c r="C42" s="10">
        <v>50</v>
      </c>
      <c r="D42" s="10"/>
      <c r="E42" s="11" t="s">
        <v>89</v>
      </c>
      <c r="G42" s="57" t="s">
        <v>97</v>
      </c>
      <c r="H42" s="75">
        <v>0</v>
      </c>
      <c r="I42" s="75">
        <v>0</v>
      </c>
      <c r="J42" s="58">
        <v>0</v>
      </c>
      <c r="K42" s="58">
        <v>-223.98599999999999</v>
      </c>
      <c r="L42" s="58">
        <v>-298.53199999999998</v>
      </c>
      <c r="M42" s="58">
        <v>-340.35599999999999</v>
      </c>
      <c r="N42" s="76">
        <v>-357</v>
      </c>
      <c r="O42" s="76">
        <v>-437.86</v>
      </c>
      <c r="P42" s="76">
        <v>-437.86</v>
      </c>
      <c r="Q42" s="76">
        <v>-437.86</v>
      </c>
      <c r="R42" s="76">
        <v>-437.86</v>
      </c>
      <c r="S42" s="76">
        <v>-437.86</v>
      </c>
    </row>
    <row r="43" spans="1:19" ht="12" x14ac:dyDescent="0.2">
      <c r="A43" s="8"/>
      <c r="B43" s="2" t="s">
        <v>98</v>
      </c>
      <c r="C43" s="10">
        <v>55</v>
      </c>
      <c r="D43" s="10"/>
      <c r="E43" s="11" t="s">
        <v>89</v>
      </c>
      <c r="G43" s="57" t="s">
        <v>99</v>
      </c>
      <c r="H43" s="75">
        <v>0</v>
      </c>
      <c r="I43" s="75">
        <v>0</v>
      </c>
      <c r="J43" s="58">
        <v>0</v>
      </c>
      <c r="K43" s="58">
        <v>-298.71499999999997</v>
      </c>
      <c r="L43" s="58">
        <v>-519.53300000000002</v>
      </c>
      <c r="M43" s="58">
        <v>-544.71</v>
      </c>
      <c r="N43" s="76">
        <v>-540</v>
      </c>
      <c r="O43" s="76">
        <v>-458</v>
      </c>
      <c r="P43" s="76">
        <v>-459</v>
      </c>
      <c r="Q43" s="76">
        <v>-457.01</v>
      </c>
      <c r="R43" s="76">
        <v>-457.01</v>
      </c>
      <c r="S43" s="76">
        <v>-457.01</v>
      </c>
    </row>
    <row r="44" spans="1:19" ht="12" x14ac:dyDescent="0.2">
      <c r="A44" s="13"/>
      <c r="B44" s="2" t="s">
        <v>100</v>
      </c>
      <c r="C44" s="10">
        <v>60</v>
      </c>
      <c r="D44" s="10"/>
      <c r="E44" s="11" t="s">
        <v>89</v>
      </c>
      <c r="F44" s="13"/>
      <c r="G44" s="57" t="s">
        <v>101</v>
      </c>
      <c r="H44" s="75">
        <v>0</v>
      </c>
      <c r="I44" s="75">
        <v>0</v>
      </c>
      <c r="J44" s="58">
        <v>0</v>
      </c>
      <c r="K44" s="58">
        <v>-7.1639999999999997</v>
      </c>
      <c r="L44" s="58">
        <v>-4.1630000000000003</v>
      </c>
      <c r="M44" s="58">
        <v>-5.1429999999999998</v>
      </c>
      <c r="N44" s="76">
        <v>-14</v>
      </c>
      <c r="O44" s="76">
        <v>-3.5</v>
      </c>
      <c r="P44" s="76">
        <v>-5</v>
      </c>
      <c r="Q44" s="76">
        <v>-3</v>
      </c>
      <c r="R44" s="76">
        <v>-3</v>
      </c>
      <c r="S44" s="76">
        <v>-2</v>
      </c>
    </row>
    <row r="45" spans="1:19" ht="12" x14ac:dyDescent="0.2">
      <c r="A45" s="8"/>
      <c r="B45" s="2" t="s">
        <v>102</v>
      </c>
      <c r="C45" s="10">
        <v>61</v>
      </c>
      <c r="D45" s="10"/>
      <c r="E45" s="11" t="s">
        <v>89</v>
      </c>
      <c r="G45" s="57" t="s">
        <v>103</v>
      </c>
      <c r="H45" s="75">
        <v>0</v>
      </c>
      <c r="I45" s="75">
        <v>0</v>
      </c>
      <c r="J45" s="58">
        <v>0</v>
      </c>
      <c r="K45" s="58">
        <v>-34.414999999999999</v>
      </c>
      <c r="L45" s="58">
        <v>-37.256</v>
      </c>
      <c r="M45" s="58">
        <v>-33.994</v>
      </c>
      <c r="N45" s="76">
        <v>-65</v>
      </c>
      <c r="O45" s="76">
        <v>-34</v>
      </c>
      <c r="P45" s="76">
        <v>-34</v>
      </c>
      <c r="Q45" s="76">
        <v>-34</v>
      </c>
      <c r="R45" s="76">
        <v>-34</v>
      </c>
      <c r="S45" s="76">
        <v>-34</v>
      </c>
    </row>
    <row r="46" spans="1:19" x14ac:dyDescent="0.2">
      <c r="A46" s="8"/>
      <c r="B46" s="2" t="s">
        <v>104</v>
      </c>
      <c r="C46" s="10"/>
      <c r="D46" s="10"/>
      <c r="E46" s="9"/>
      <c r="G46" s="57" t="s">
        <v>105</v>
      </c>
      <c r="H46" s="75">
        <f t="shared" ref="H46:S46" si="13">H33+H38+H41</f>
        <v>-0.128</v>
      </c>
      <c r="I46" s="75">
        <f t="shared" si="13"/>
        <v>-0.128</v>
      </c>
      <c r="J46" s="56">
        <f t="shared" si="13"/>
        <v>-0.128</v>
      </c>
      <c r="K46" s="56">
        <f t="shared" si="13"/>
        <v>78.162000000000035</v>
      </c>
      <c r="L46" s="56">
        <f t="shared" si="13"/>
        <v>237.02200000000005</v>
      </c>
      <c r="M46" s="56">
        <f t="shared" si="13"/>
        <v>35.989999999999895</v>
      </c>
      <c r="N46" s="77">
        <f t="shared" si="13"/>
        <v>-38</v>
      </c>
      <c r="O46" s="77">
        <f t="shared" si="13"/>
        <v>5.6720000000000255</v>
      </c>
      <c r="P46" s="77">
        <f t="shared" si="13"/>
        <v>7.1399999999999864</v>
      </c>
      <c r="Q46" s="77">
        <f t="shared" si="13"/>
        <v>18.129999999999995</v>
      </c>
      <c r="R46" s="77">
        <f t="shared" si="13"/>
        <v>21.129999999999995</v>
      </c>
      <c r="S46" s="56">
        <f t="shared" si="13"/>
        <v>20.129999999999995</v>
      </c>
    </row>
    <row r="47" spans="1:19" ht="12" x14ac:dyDescent="0.2">
      <c r="A47" s="8"/>
      <c r="B47" s="2" t="s">
        <v>106</v>
      </c>
      <c r="C47" s="10">
        <v>65</v>
      </c>
      <c r="D47" s="10"/>
      <c r="E47" s="11" t="s">
        <v>72</v>
      </c>
      <c r="G47" s="57" t="s">
        <v>107</v>
      </c>
      <c r="H47" s="75">
        <v>0</v>
      </c>
      <c r="I47" s="75">
        <v>0</v>
      </c>
      <c r="J47" s="58">
        <v>-1E-3</v>
      </c>
      <c r="K47" s="58">
        <v>0</v>
      </c>
      <c r="L47" s="58">
        <v>1</v>
      </c>
      <c r="M47" s="58">
        <v>0.72899999999999998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</row>
    <row r="48" spans="1:19" x14ac:dyDescent="0.2">
      <c r="A48" s="8"/>
      <c r="B48" s="2" t="s">
        <v>108</v>
      </c>
      <c r="C48" s="10"/>
      <c r="D48" s="10"/>
      <c r="E48" s="9"/>
      <c r="G48" s="57" t="s">
        <v>109</v>
      </c>
      <c r="H48" s="75">
        <f t="shared" ref="H48:S48" si="14">H46+H47</f>
        <v>-0.128</v>
      </c>
      <c r="I48" s="75">
        <f t="shared" si="14"/>
        <v>-0.128</v>
      </c>
      <c r="J48" s="56">
        <f t="shared" si="14"/>
        <v>-0.129</v>
      </c>
      <c r="K48" s="56">
        <f t="shared" si="14"/>
        <v>78.162000000000035</v>
      </c>
      <c r="L48" s="56">
        <f t="shared" si="14"/>
        <v>238.02200000000005</v>
      </c>
      <c r="M48" s="56">
        <f t="shared" si="14"/>
        <v>36.718999999999895</v>
      </c>
      <c r="N48" s="77">
        <f t="shared" si="14"/>
        <v>-38</v>
      </c>
      <c r="O48" s="77">
        <f t="shared" si="14"/>
        <v>5.6720000000000255</v>
      </c>
      <c r="P48" s="77">
        <f t="shared" si="14"/>
        <v>7.1399999999999864</v>
      </c>
      <c r="Q48" s="77">
        <f t="shared" si="14"/>
        <v>18.129999999999995</v>
      </c>
      <c r="R48" s="77">
        <f t="shared" si="14"/>
        <v>21.129999999999995</v>
      </c>
      <c r="S48" s="56">
        <f t="shared" si="14"/>
        <v>20.129999999999995</v>
      </c>
    </row>
    <row r="49" spans="1:19" ht="12" x14ac:dyDescent="0.2">
      <c r="A49" s="8"/>
      <c r="B49" s="2" t="s">
        <v>110</v>
      </c>
      <c r="C49" s="10">
        <v>68</v>
      </c>
      <c r="D49" s="10"/>
      <c r="E49" s="11" t="s">
        <v>89</v>
      </c>
      <c r="G49" s="57" t="s">
        <v>111</v>
      </c>
      <c r="H49" s="75">
        <v>0</v>
      </c>
      <c r="I49" s="75">
        <v>0</v>
      </c>
      <c r="J49" s="58">
        <v>0</v>
      </c>
      <c r="K49" s="58">
        <v>0</v>
      </c>
      <c r="L49" s="58">
        <v>0</v>
      </c>
      <c r="M49" s="58">
        <v>0</v>
      </c>
      <c r="N49" s="76">
        <v>0</v>
      </c>
      <c r="O49" s="76">
        <v>0</v>
      </c>
      <c r="P49" s="76">
        <v>0</v>
      </c>
      <c r="Q49" s="76">
        <v>0</v>
      </c>
      <c r="R49" s="76">
        <v>0</v>
      </c>
      <c r="S49" s="58">
        <v>0</v>
      </c>
    </row>
    <row r="50" spans="1:19" ht="12" x14ac:dyDescent="0.2">
      <c r="A50" s="8"/>
      <c r="B50" s="2" t="s">
        <v>112</v>
      </c>
      <c r="C50" s="10">
        <v>69</v>
      </c>
      <c r="D50" s="10"/>
      <c r="E50" s="11" t="s">
        <v>11</v>
      </c>
      <c r="G50" s="57" t="s">
        <v>113</v>
      </c>
      <c r="H50" s="75">
        <v>0</v>
      </c>
      <c r="I50" s="75">
        <v>0</v>
      </c>
      <c r="J50" s="58">
        <v>0</v>
      </c>
      <c r="K50" s="58">
        <v>0</v>
      </c>
      <c r="L50" s="58">
        <v>0</v>
      </c>
      <c r="M50" s="58">
        <v>0</v>
      </c>
      <c r="N50" s="76">
        <v>0</v>
      </c>
      <c r="O50" s="76">
        <v>0</v>
      </c>
      <c r="P50" s="76">
        <v>0</v>
      </c>
      <c r="Q50" s="76">
        <v>0</v>
      </c>
      <c r="R50" s="76">
        <v>0</v>
      </c>
      <c r="S50" s="58">
        <v>0</v>
      </c>
    </row>
    <row r="51" spans="1:19" x14ac:dyDescent="0.2">
      <c r="A51" s="8"/>
      <c r="B51" s="2" t="s">
        <v>114</v>
      </c>
      <c r="C51" s="10"/>
      <c r="D51" s="10"/>
      <c r="E51" s="9"/>
      <c r="G51" s="57" t="s">
        <v>115</v>
      </c>
      <c r="H51" s="75">
        <f t="shared" ref="H51:S51" si="15">H48+H49+H50</f>
        <v>-0.128</v>
      </c>
      <c r="I51" s="75">
        <f t="shared" si="15"/>
        <v>-0.128</v>
      </c>
      <c r="J51" s="56">
        <f t="shared" si="15"/>
        <v>-0.129</v>
      </c>
      <c r="K51" s="56">
        <f t="shared" si="15"/>
        <v>78.162000000000035</v>
      </c>
      <c r="L51" s="56">
        <f t="shared" si="15"/>
        <v>238.02200000000005</v>
      </c>
      <c r="M51" s="56">
        <f t="shared" si="15"/>
        <v>36.718999999999895</v>
      </c>
      <c r="N51" s="77">
        <f t="shared" si="15"/>
        <v>-38</v>
      </c>
      <c r="O51" s="77">
        <f t="shared" si="15"/>
        <v>5.6720000000000255</v>
      </c>
      <c r="P51" s="77">
        <f t="shared" si="15"/>
        <v>7.1399999999999864</v>
      </c>
      <c r="Q51" s="77">
        <f t="shared" si="15"/>
        <v>18.129999999999995</v>
      </c>
      <c r="R51" s="77">
        <f t="shared" si="15"/>
        <v>21.129999999999995</v>
      </c>
      <c r="S51" s="56">
        <f t="shared" si="15"/>
        <v>20.129999999999995</v>
      </c>
    </row>
    <row r="52" spans="1:19" x14ac:dyDescent="0.2">
      <c r="A52" s="24"/>
      <c r="B52" s="2" t="s">
        <v>370</v>
      </c>
      <c r="C52" s="83" t="s">
        <v>371</v>
      </c>
      <c r="D52" s="25"/>
      <c r="E52" s="26"/>
      <c r="F52" s="24"/>
      <c r="G52" s="62" t="s">
        <v>116</v>
      </c>
      <c r="H52" s="84">
        <f t="shared" ref="H52:S52" si="16">H30-H51</f>
        <v>0.128</v>
      </c>
      <c r="I52" s="84">
        <f t="shared" si="16"/>
        <v>0.128</v>
      </c>
      <c r="J52" s="63">
        <f t="shared" si="16"/>
        <v>0.129</v>
      </c>
      <c r="K52" s="63">
        <f t="shared" si="16"/>
        <v>0.39999999999996305</v>
      </c>
      <c r="L52" s="63">
        <f t="shared" si="16"/>
        <v>-7.600000000005025E-2</v>
      </c>
      <c r="M52" s="63">
        <f t="shared" si="16"/>
        <v>1.0658141036401503E-13</v>
      </c>
      <c r="N52" s="85">
        <f t="shared" si="16"/>
        <v>0</v>
      </c>
      <c r="O52" s="85">
        <f t="shared" si="16"/>
        <v>0</v>
      </c>
      <c r="P52" s="85">
        <f t="shared" si="16"/>
        <v>0</v>
      </c>
      <c r="Q52" s="85">
        <f t="shared" si="16"/>
        <v>0</v>
      </c>
      <c r="R52" s="85">
        <f t="shared" si="16"/>
        <v>0</v>
      </c>
      <c r="S52" s="63">
        <f t="shared" si="16"/>
        <v>0</v>
      </c>
    </row>
    <row r="53" spans="1:19" x14ac:dyDescent="0.2">
      <c r="A53" s="8"/>
      <c r="B53" s="2"/>
      <c r="C53" s="10"/>
      <c r="D53" s="10"/>
      <c r="E53" s="9"/>
      <c r="G53" s="65" t="s">
        <v>117</v>
      </c>
      <c r="H53" s="48"/>
      <c r="I53" s="48"/>
      <c r="J53" s="48"/>
      <c r="K53" s="48"/>
      <c r="L53" s="48"/>
      <c r="M53" s="48"/>
      <c r="N53" s="4"/>
      <c r="O53" s="4"/>
      <c r="P53" s="4"/>
      <c r="Q53" s="4"/>
      <c r="R53" s="4"/>
      <c r="S53" s="48"/>
    </row>
    <row r="54" spans="1:19" ht="12" x14ac:dyDescent="0.2">
      <c r="A54" s="8"/>
      <c r="B54" s="2"/>
      <c r="C54" s="10">
        <v>90</v>
      </c>
      <c r="D54" s="10"/>
      <c r="E54" s="11" t="s">
        <v>11</v>
      </c>
      <c r="G54" s="65" t="s">
        <v>118</v>
      </c>
      <c r="H54" s="75">
        <v>0</v>
      </c>
      <c r="I54" s="75">
        <v>0</v>
      </c>
      <c r="J54" s="58">
        <v>0</v>
      </c>
      <c r="K54" s="58">
        <v>14</v>
      </c>
      <c r="L54" s="58">
        <v>15</v>
      </c>
      <c r="M54" s="58">
        <v>14</v>
      </c>
      <c r="N54" s="76"/>
      <c r="O54" s="76"/>
      <c r="P54" s="76"/>
      <c r="Q54" s="76"/>
      <c r="R54" s="76"/>
      <c r="S54" s="58"/>
    </row>
    <row r="55" spans="1:19" ht="12" x14ac:dyDescent="0.2">
      <c r="A55" s="8"/>
      <c r="B55" s="2"/>
      <c r="C55" s="10"/>
      <c r="D55" s="10"/>
      <c r="E55" s="11" t="s">
        <v>11</v>
      </c>
      <c r="G55" s="65" t="s">
        <v>119</v>
      </c>
      <c r="H55" s="75"/>
      <c r="I55" s="75"/>
      <c r="J55" s="58"/>
      <c r="K55" s="58"/>
      <c r="L55" s="66"/>
      <c r="M55" s="66"/>
      <c r="N55" s="88"/>
      <c r="O55" s="88"/>
      <c r="P55" s="88"/>
      <c r="Q55" s="88"/>
      <c r="R55" s="88"/>
      <c r="S55" s="66"/>
    </row>
    <row r="56" spans="1:19" x14ac:dyDescent="0.2">
      <c r="A56" s="8"/>
      <c r="B56" s="2"/>
      <c r="C56" s="10"/>
      <c r="D56" s="10"/>
      <c r="E56" s="9"/>
      <c r="G56" s="67"/>
      <c r="H56" s="48"/>
      <c r="I56" s="48"/>
      <c r="J56" s="48"/>
      <c r="K56" s="48"/>
      <c r="L56" s="48"/>
      <c r="M56" s="48"/>
      <c r="N56" s="4"/>
      <c r="O56" s="4"/>
      <c r="P56" s="4"/>
      <c r="Q56" s="4"/>
      <c r="R56" s="4"/>
      <c r="S56" s="48"/>
    </row>
    <row r="57" spans="1:19" x14ac:dyDescent="0.2">
      <c r="A57" s="8"/>
      <c r="B57" s="2"/>
      <c r="C57" s="10"/>
      <c r="D57" s="29" t="s">
        <v>120</v>
      </c>
      <c r="E57" s="30" t="s">
        <v>3</v>
      </c>
      <c r="F57" s="9"/>
      <c r="G57" s="53" t="s">
        <v>121</v>
      </c>
      <c r="H57" s="86">
        <f t="shared" ref="H57:S57" si="17">H32</f>
        <v>2011</v>
      </c>
      <c r="I57" s="86">
        <f t="shared" si="17"/>
        <v>2012</v>
      </c>
      <c r="J57" s="64">
        <f t="shared" si="17"/>
        <v>2013</v>
      </c>
      <c r="K57" s="64">
        <f t="shared" si="17"/>
        <v>2014</v>
      </c>
      <c r="L57" s="64">
        <f t="shared" si="17"/>
        <v>2015</v>
      </c>
      <c r="M57" s="64">
        <f t="shared" si="17"/>
        <v>2016</v>
      </c>
      <c r="N57" s="87">
        <f t="shared" si="17"/>
        <v>2017</v>
      </c>
      <c r="O57" s="87">
        <f t="shared" si="17"/>
        <v>2018</v>
      </c>
      <c r="P57" s="87">
        <f t="shared" si="17"/>
        <v>2019</v>
      </c>
      <c r="Q57" s="87">
        <f t="shared" si="17"/>
        <v>2020</v>
      </c>
      <c r="R57" s="87">
        <f t="shared" si="17"/>
        <v>2021</v>
      </c>
      <c r="S57" s="64">
        <f t="shared" si="17"/>
        <v>2022</v>
      </c>
    </row>
    <row r="58" spans="1:19" ht="12" x14ac:dyDescent="0.2">
      <c r="A58" s="8"/>
      <c r="B58" s="31" t="s">
        <v>122</v>
      </c>
      <c r="C58" s="8" t="s">
        <v>123</v>
      </c>
      <c r="D58" s="32" t="s">
        <v>124</v>
      </c>
      <c r="E58" s="11" t="s">
        <v>89</v>
      </c>
      <c r="F58" s="12"/>
      <c r="G58" s="55" t="s">
        <v>125</v>
      </c>
      <c r="H58" s="75">
        <v>0</v>
      </c>
      <c r="I58" s="75">
        <v>0</v>
      </c>
      <c r="J58" s="58">
        <v>0</v>
      </c>
      <c r="K58" s="58">
        <v>-56.337000000000003</v>
      </c>
      <c r="L58" s="58">
        <v>-84.539000000000001</v>
      </c>
      <c r="M58" s="58">
        <v>-44.8</v>
      </c>
      <c r="N58" s="76">
        <v>-123</v>
      </c>
      <c r="O58" s="76">
        <v>0</v>
      </c>
      <c r="P58" s="76">
        <v>0</v>
      </c>
      <c r="Q58" s="76">
        <v>0</v>
      </c>
      <c r="R58" s="76">
        <v>0</v>
      </c>
      <c r="S58" s="58">
        <v>0</v>
      </c>
    </row>
    <row r="59" spans="1:19" ht="12" x14ac:dyDescent="0.2">
      <c r="A59" s="8"/>
      <c r="B59" s="31" t="s">
        <v>126</v>
      </c>
      <c r="C59" s="33" t="s">
        <v>127</v>
      </c>
      <c r="D59" s="32" t="s">
        <v>128</v>
      </c>
      <c r="E59" s="11" t="s">
        <v>11</v>
      </c>
      <c r="F59" s="12"/>
      <c r="G59" s="68" t="s">
        <v>129</v>
      </c>
      <c r="H59" s="75">
        <v>0</v>
      </c>
      <c r="I59" s="75">
        <v>0</v>
      </c>
      <c r="J59" s="58">
        <v>0.377</v>
      </c>
      <c r="K59" s="58">
        <v>0.377</v>
      </c>
      <c r="L59" s="58">
        <v>0.377</v>
      </c>
      <c r="M59" s="58">
        <v>0.377</v>
      </c>
      <c r="N59" s="76">
        <v>0</v>
      </c>
      <c r="O59" s="76">
        <v>0</v>
      </c>
      <c r="P59" s="76">
        <v>0</v>
      </c>
      <c r="Q59" s="76">
        <v>0</v>
      </c>
      <c r="R59" s="76">
        <v>0</v>
      </c>
      <c r="S59" s="58">
        <v>0</v>
      </c>
    </row>
    <row r="60" spans="1:19" ht="12" x14ac:dyDescent="0.2">
      <c r="A60" s="8"/>
      <c r="B60" s="31" t="s">
        <v>130</v>
      </c>
      <c r="C60" s="34" t="s">
        <v>372</v>
      </c>
      <c r="D60" s="32" t="s">
        <v>131</v>
      </c>
      <c r="E60" s="11" t="s">
        <v>11</v>
      </c>
      <c r="F60" s="12"/>
      <c r="G60" s="57" t="s">
        <v>132</v>
      </c>
      <c r="H60" s="75">
        <v>0</v>
      </c>
      <c r="I60" s="75">
        <v>0</v>
      </c>
      <c r="J60" s="58">
        <v>0</v>
      </c>
      <c r="K60" s="58">
        <v>0</v>
      </c>
      <c r="L60" s="58">
        <v>0</v>
      </c>
      <c r="M60" s="58">
        <v>0</v>
      </c>
      <c r="N60" s="76">
        <v>0</v>
      </c>
      <c r="O60" s="76">
        <v>0</v>
      </c>
      <c r="P60" s="76">
        <v>0</v>
      </c>
      <c r="Q60" s="76">
        <v>0</v>
      </c>
      <c r="R60" s="76">
        <v>0</v>
      </c>
      <c r="S60" s="58">
        <v>0</v>
      </c>
    </row>
    <row r="61" spans="1:19" ht="12" x14ac:dyDescent="0.2">
      <c r="A61" s="8"/>
      <c r="B61" s="31" t="s">
        <v>133</v>
      </c>
      <c r="C61" s="34" t="s">
        <v>134</v>
      </c>
      <c r="D61" s="34" t="s">
        <v>135</v>
      </c>
      <c r="E61" s="11" t="s">
        <v>89</v>
      </c>
      <c r="F61" s="12"/>
      <c r="G61" s="57" t="s">
        <v>136</v>
      </c>
      <c r="H61" s="75">
        <v>0</v>
      </c>
      <c r="I61" s="75">
        <v>0</v>
      </c>
      <c r="J61" s="58">
        <v>0</v>
      </c>
      <c r="K61" s="58">
        <v>0</v>
      </c>
      <c r="L61" s="58">
        <v>0</v>
      </c>
      <c r="M61" s="58">
        <v>0</v>
      </c>
      <c r="N61" s="76">
        <v>0</v>
      </c>
      <c r="O61" s="76">
        <v>0</v>
      </c>
      <c r="P61" s="76">
        <v>0</v>
      </c>
      <c r="Q61" s="76">
        <v>0</v>
      </c>
      <c r="R61" s="76">
        <v>0</v>
      </c>
      <c r="S61" s="58">
        <v>0</v>
      </c>
    </row>
    <row r="62" spans="1:19" ht="12" x14ac:dyDescent="0.2">
      <c r="A62" s="8"/>
      <c r="B62" s="31" t="s">
        <v>137</v>
      </c>
      <c r="C62" s="10">
        <v>253800</v>
      </c>
      <c r="D62" s="34" t="s">
        <v>131</v>
      </c>
      <c r="E62" s="11" t="s">
        <v>11</v>
      </c>
      <c r="F62" s="12"/>
      <c r="G62" s="57" t="s">
        <v>138</v>
      </c>
      <c r="H62" s="75">
        <v>0</v>
      </c>
      <c r="I62" s="75">
        <v>0</v>
      </c>
      <c r="J62" s="58">
        <v>0</v>
      </c>
      <c r="K62" s="58">
        <v>0</v>
      </c>
      <c r="L62" s="58">
        <v>0</v>
      </c>
      <c r="M62" s="58">
        <v>0</v>
      </c>
      <c r="N62" s="76">
        <v>0</v>
      </c>
      <c r="O62" s="76">
        <v>0</v>
      </c>
      <c r="P62" s="76">
        <v>0</v>
      </c>
      <c r="Q62" s="76">
        <v>0</v>
      </c>
      <c r="R62" s="76">
        <v>0</v>
      </c>
      <c r="S62" s="58">
        <v>0</v>
      </c>
    </row>
    <row r="63" spans="1:19" ht="12" x14ac:dyDescent="0.2">
      <c r="A63" s="8"/>
      <c r="B63" s="31" t="s">
        <v>139</v>
      </c>
      <c r="C63" s="10">
        <v>150</v>
      </c>
      <c r="D63" s="34" t="s">
        <v>135</v>
      </c>
      <c r="E63" s="11" t="s">
        <v>89</v>
      </c>
      <c r="F63" s="12"/>
      <c r="G63" s="57" t="s">
        <v>140</v>
      </c>
      <c r="H63" s="75">
        <v>0</v>
      </c>
      <c r="I63" s="75">
        <v>0</v>
      </c>
      <c r="J63" s="58">
        <v>0</v>
      </c>
      <c r="K63" s="58">
        <v>0</v>
      </c>
      <c r="L63" s="58">
        <v>0</v>
      </c>
      <c r="M63" s="58">
        <v>0</v>
      </c>
      <c r="N63" s="76">
        <v>0</v>
      </c>
      <c r="O63" s="76">
        <v>0</v>
      </c>
      <c r="P63" s="76">
        <v>0</v>
      </c>
      <c r="Q63" s="76">
        <v>0</v>
      </c>
      <c r="R63" s="76">
        <v>0</v>
      </c>
      <c r="S63" s="58">
        <v>0</v>
      </c>
    </row>
    <row r="64" spans="1:19" ht="12" x14ac:dyDescent="0.2">
      <c r="A64" s="8"/>
      <c r="B64" s="31" t="s">
        <v>141</v>
      </c>
      <c r="C64" s="34" t="s">
        <v>142</v>
      </c>
      <c r="D64" s="34" t="s">
        <v>131</v>
      </c>
      <c r="E64" s="11" t="s">
        <v>11</v>
      </c>
      <c r="F64" s="12"/>
      <c r="G64" s="57" t="s">
        <v>143</v>
      </c>
      <c r="H64" s="75">
        <v>0</v>
      </c>
      <c r="I64" s="75">
        <v>0</v>
      </c>
      <c r="J64" s="58">
        <v>0</v>
      </c>
      <c r="K64" s="58">
        <v>0</v>
      </c>
      <c r="L64" s="58">
        <v>0</v>
      </c>
      <c r="M64" s="58">
        <v>0</v>
      </c>
      <c r="N64" s="76">
        <v>0</v>
      </c>
      <c r="O64" s="76">
        <v>0</v>
      </c>
      <c r="P64" s="76">
        <v>0</v>
      </c>
      <c r="Q64" s="76">
        <v>0</v>
      </c>
      <c r="R64" s="76">
        <v>0</v>
      </c>
      <c r="S64" s="58">
        <v>0</v>
      </c>
    </row>
    <row r="65" spans="1:19" ht="12" x14ac:dyDescent="0.2">
      <c r="A65" s="8"/>
      <c r="B65" s="31" t="s">
        <v>144</v>
      </c>
      <c r="C65" s="8" t="s">
        <v>373</v>
      </c>
      <c r="D65" s="34" t="s">
        <v>135</v>
      </c>
      <c r="E65" s="11" t="s">
        <v>89</v>
      </c>
      <c r="F65" s="12"/>
      <c r="G65" s="57" t="s">
        <v>145</v>
      </c>
      <c r="H65" s="75">
        <v>0</v>
      </c>
      <c r="I65" s="75">
        <v>0</v>
      </c>
      <c r="J65" s="58">
        <v>0</v>
      </c>
      <c r="K65" s="58">
        <v>0</v>
      </c>
      <c r="L65" s="58">
        <v>0</v>
      </c>
      <c r="M65" s="58">
        <v>0</v>
      </c>
      <c r="N65" s="76">
        <v>0</v>
      </c>
      <c r="O65" s="76">
        <v>0</v>
      </c>
      <c r="P65" s="76">
        <v>0</v>
      </c>
      <c r="Q65" s="76">
        <v>0</v>
      </c>
      <c r="R65" s="76">
        <v>0</v>
      </c>
      <c r="S65" s="58">
        <v>0</v>
      </c>
    </row>
    <row r="66" spans="1:19" ht="12" x14ac:dyDescent="0.2">
      <c r="A66" s="8"/>
      <c r="B66" s="31" t="s">
        <v>146</v>
      </c>
      <c r="C66" s="8" t="s">
        <v>373</v>
      </c>
      <c r="D66" s="34" t="s">
        <v>131</v>
      </c>
      <c r="E66" s="11" t="s">
        <v>11</v>
      </c>
      <c r="F66" s="12"/>
      <c r="G66" s="57" t="s">
        <v>147</v>
      </c>
      <c r="H66" s="75">
        <v>0</v>
      </c>
      <c r="I66" s="75">
        <v>0</v>
      </c>
      <c r="J66" s="58">
        <v>0</v>
      </c>
      <c r="K66" s="58">
        <v>0</v>
      </c>
      <c r="L66" s="58">
        <v>0</v>
      </c>
      <c r="M66" s="58">
        <v>0</v>
      </c>
      <c r="N66" s="76">
        <v>0</v>
      </c>
      <c r="O66" s="76">
        <v>0</v>
      </c>
      <c r="P66" s="76">
        <v>0</v>
      </c>
      <c r="Q66" s="76">
        <v>0</v>
      </c>
      <c r="R66" s="76">
        <v>0</v>
      </c>
      <c r="S66" s="58">
        <v>0</v>
      </c>
    </row>
    <row r="67" spans="1:19" ht="12" x14ac:dyDescent="0.2">
      <c r="A67" s="8"/>
      <c r="B67" s="31" t="s">
        <v>148</v>
      </c>
      <c r="C67" s="8" t="s">
        <v>149</v>
      </c>
      <c r="D67" s="34" t="s">
        <v>135</v>
      </c>
      <c r="E67" s="11" t="s">
        <v>89</v>
      </c>
      <c r="F67" s="12"/>
      <c r="G67" s="57" t="s">
        <v>150</v>
      </c>
      <c r="H67" s="75">
        <v>0</v>
      </c>
      <c r="I67" s="75">
        <v>0</v>
      </c>
      <c r="J67" s="58">
        <v>0</v>
      </c>
      <c r="K67" s="58">
        <v>0</v>
      </c>
      <c r="L67" s="58">
        <v>0</v>
      </c>
      <c r="M67" s="58">
        <v>0</v>
      </c>
      <c r="N67" s="76">
        <v>0</v>
      </c>
      <c r="O67" s="76">
        <v>0</v>
      </c>
      <c r="P67" s="76">
        <v>0</v>
      </c>
      <c r="Q67" s="76">
        <v>0</v>
      </c>
      <c r="R67" s="76">
        <v>0</v>
      </c>
      <c r="S67" s="58">
        <v>0</v>
      </c>
    </row>
    <row r="68" spans="1:19" ht="12" x14ac:dyDescent="0.2">
      <c r="A68" s="8"/>
      <c r="B68" s="31" t="s">
        <v>151</v>
      </c>
      <c r="C68" s="8" t="s">
        <v>149</v>
      </c>
      <c r="D68" s="34" t="s">
        <v>131</v>
      </c>
      <c r="E68" s="11" t="s">
        <v>11</v>
      </c>
      <c r="F68" s="12"/>
      <c r="G68" s="57" t="s">
        <v>152</v>
      </c>
      <c r="H68" s="75">
        <v>0</v>
      </c>
      <c r="I68" s="75">
        <v>0</v>
      </c>
      <c r="J68" s="58">
        <v>0</v>
      </c>
      <c r="K68" s="58">
        <v>0</v>
      </c>
      <c r="L68" s="58">
        <v>0</v>
      </c>
      <c r="M68" s="58">
        <v>0</v>
      </c>
      <c r="N68" s="76">
        <v>0</v>
      </c>
      <c r="O68" s="76">
        <v>0</v>
      </c>
      <c r="P68" s="76">
        <v>0</v>
      </c>
      <c r="Q68" s="76">
        <v>0</v>
      </c>
      <c r="R68" s="76">
        <v>0</v>
      </c>
      <c r="S68" s="58">
        <v>0</v>
      </c>
    </row>
    <row r="69" spans="1:19" ht="12" x14ac:dyDescent="0.2">
      <c r="A69" s="8"/>
      <c r="B69" s="31" t="s">
        <v>153</v>
      </c>
      <c r="C69" s="34" t="s">
        <v>142</v>
      </c>
      <c r="D69" s="34" t="s">
        <v>131</v>
      </c>
      <c r="E69" s="11" t="s">
        <v>11</v>
      </c>
      <c r="F69" s="12"/>
      <c r="G69" s="57" t="s">
        <v>154</v>
      </c>
      <c r="H69" s="75">
        <v>0</v>
      </c>
      <c r="I69" s="75">
        <v>0</v>
      </c>
      <c r="J69" s="58">
        <v>0</v>
      </c>
      <c r="K69" s="58">
        <v>0</v>
      </c>
      <c r="L69" s="58">
        <v>0</v>
      </c>
      <c r="M69" s="58">
        <v>0</v>
      </c>
      <c r="N69" s="76">
        <v>0</v>
      </c>
      <c r="O69" s="76">
        <v>0</v>
      </c>
      <c r="P69" s="76">
        <v>0</v>
      </c>
      <c r="Q69" s="76">
        <v>0</v>
      </c>
      <c r="R69" s="76">
        <v>0</v>
      </c>
      <c r="S69" s="58">
        <v>0</v>
      </c>
    </row>
    <row r="70" spans="1:19" ht="12" x14ac:dyDescent="0.2">
      <c r="A70" s="8"/>
      <c r="B70" s="31" t="s">
        <v>155</v>
      </c>
      <c r="C70" s="35" t="s">
        <v>156</v>
      </c>
      <c r="D70" s="8"/>
      <c r="E70" s="11" t="s">
        <v>72</v>
      </c>
      <c r="F70" s="12"/>
      <c r="G70" s="57" t="s">
        <v>107</v>
      </c>
      <c r="H70" s="75">
        <v>0</v>
      </c>
      <c r="I70" s="75">
        <v>0</v>
      </c>
      <c r="J70" s="58">
        <v>-1E-3</v>
      </c>
      <c r="K70" s="58">
        <v>0</v>
      </c>
      <c r="L70" s="58">
        <v>0</v>
      </c>
      <c r="M70" s="58">
        <v>0.88200000000000001</v>
      </c>
      <c r="N70" s="76">
        <v>0</v>
      </c>
      <c r="O70" s="76">
        <v>0</v>
      </c>
      <c r="P70" s="76">
        <v>0</v>
      </c>
      <c r="Q70" s="76">
        <v>0</v>
      </c>
      <c r="R70" s="76">
        <v>0</v>
      </c>
      <c r="S70" s="58">
        <v>0</v>
      </c>
    </row>
    <row r="71" spans="1:19" x14ac:dyDescent="0.2">
      <c r="A71" s="8"/>
      <c r="B71" s="31" t="s">
        <v>157</v>
      </c>
      <c r="C71" s="10"/>
      <c r="D71" s="8"/>
      <c r="E71" s="12"/>
      <c r="F71" s="12"/>
      <c r="G71" s="69" t="s">
        <v>158</v>
      </c>
      <c r="H71" s="75">
        <f t="shared" ref="H71:S71" si="18">SUM(H58:H70)</f>
        <v>0</v>
      </c>
      <c r="I71" s="75">
        <f t="shared" si="18"/>
        <v>0</v>
      </c>
      <c r="J71" s="56">
        <f t="shared" si="18"/>
        <v>0.376</v>
      </c>
      <c r="K71" s="56">
        <f t="shared" si="18"/>
        <v>-55.96</v>
      </c>
      <c r="L71" s="56">
        <f t="shared" si="18"/>
        <v>-84.162000000000006</v>
      </c>
      <c r="M71" s="56">
        <f t="shared" si="18"/>
        <v>-43.540999999999997</v>
      </c>
      <c r="N71" s="77">
        <f t="shared" si="18"/>
        <v>-123</v>
      </c>
      <c r="O71" s="77">
        <f t="shared" si="18"/>
        <v>0</v>
      </c>
      <c r="P71" s="77">
        <f t="shared" si="18"/>
        <v>0</v>
      </c>
      <c r="Q71" s="77">
        <f t="shared" si="18"/>
        <v>0</v>
      </c>
      <c r="R71" s="77">
        <f t="shared" si="18"/>
        <v>0</v>
      </c>
      <c r="S71" s="56">
        <f t="shared" si="18"/>
        <v>0</v>
      </c>
    </row>
    <row r="72" spans="1:19" x14ac:dyDescent="0.2">
      <c r="A72" s="8"/>
      <c r="B72" s="2"/>
      <c r="C72" s="10"/>
      <c r="D72" s="8"/>
      <c r="E72" s="9"/>
      <c r="G72" s="67"/>
      <c r="H72" s="48"/>
      <c r="I72" s="48"/>
      <c r="J72" s="48"/>
      <c r="K72" s="48"/>
      <c r="L72" s="48"/>
      <c r="M72" s="48"/>
      <c r="N72" s="4"/>
      <c r="O72" s="4"/>
      <c r="P72" s="4"/>
      <c r="Q72" s="4"/>
      <c r="R72" s="4"/>
      <c r="S72" s="48"/>
    </row>
    <row r="73" spans="1:19" x14ac:dyDescent="0.2">
      <c r="A73" s="8"/>
      <c r="B73" s="2"/>
      <c r="C73" s="10"/>
      <c r="D73" s="29" t="s">
        <v>120</v>
      </c>
      <c r="E73" s="30" t="s">
        <v>3</v>
      </c>
      <c r="F73" s="9"/>
      <c r="G73" s="53" t="s">
        <v>159</v>
      </c>
      <c r="H73" s="86">
        <f t="shared" ref="H73:S73" si="19">H57</f>
        <v>2011</v>
      </c>
      <c r="I73" s="86">
        <f t="shared" si="19"/>
        <v>2012</v>
      </c>
      <c r="J73" s="64">
        <f t="shared" si="19"/>
        <v>2013</v>
      </c>
      <c r="K73" s="64">
        <f t="shared" si="19"/>
        <v>2014</v>
      </c>
      <c r="L73" s="64">
        <f t="shared" si="19"/>
        <v>2015</v>
      </c>
      <c r="M73" s="64">
        <f t="shared" si="19"/>
        <v>2016</v>
      </c>
      <c r="N73" s="87">
        <f t="shared" si="19"/>
        <v>2017</v>
      </c>
      <c r="O73" s="87">
        <f t="shared" si="19"/>
        <v>2018</v>
      </c>
      <c r="P73" s="87">
        <f t="shared" si="19"/>
        <v>2019</v>
      </c>
      <c r="Q73" s="87">
        <f t="shared" si="19"/>
        <v>2020</v>
      </c>
      <c r="R73" s="87">
        <f t="shared" si="19"/>
        <v>2021</v>
      </c>
      <c r="S73" s="64">
        <f t="shared" si="19"/>
        <v>2022</v>
      </c>
    </row>
    <row r="74" spans="1:19" ht="12" x14ac:dyDescent="0.2">
      <c r="A74" s="8"/>
      <c r="B74" s="2" t="s">
        <v>160</v>
      </c>
      <c r="C74" s="34" t="s">
        <v>161</v>
      </c>
      <c r="D74" s="34" t="s">
        <v>128</v>
      </c>
      <c r="E74" s="11" t="s">
        <v>11</v>
      </c>
      <c r="G74" s="55" t="s">
        <v>162</v>
      </c>
      <c r="H74" s="75">
        <v>0</v>
      </c>
      <c r="I74" s="75">
        <v>0</v>
      </c>
      <c r="J74" s="58">
        <v>0</v>
      </c>
      <c r="K74" s="58">
        <v>0</v>
      </c>
      <c r="L74" s="58">
        <v>0</v>
      </c>
      <c r="M74" s="58">
        <v>0</v>
      </c>
      <c r="N74" s="76">
        <v>0</v>
      </c>
      <c r="O74" s="76">
        <v>0</v>
      </c>
      <c r="P74" s="76">
        <v>0</v>
      </c>
      <c r="Q74" s="76">
        <v>0</v>
      </c>
      <c r="R74" s="76">
        <v>0</v>
      </c>
      <c r="S74" s="58">
        <v>0</v>
      </c>
    </row>
    <row r="75" spans="1:19" ht="12" x14ac:dyDescent="0.2">
      <c r="A75" s="8"/>
      <c r="B75" s="2" t="s">
        <v>163</v>
      </c>
      <c r="C75" s="34" t="s">
        <v>161</v>
      </c>
      <c r="D75" s="34" t="s">
        <v>124</v>
      </c>
      <c r="E75" s="11" t="s">
        <v>89</v>
      </c>
      <c r="F75" s="12"/>
      <c r="G75" s="57" t="s">
        <v>164</v>
      </c>
      <c r="H75" s="75">
        <v>0</v>
      </c>
      <c r="I75" s="75">
        <v>0</v>
      </c>
      <c r="J75" s="58">
        <v>0</v>
      </c>
      <c r="K75" s="58">
        <v>0</v>
      </c>
      <c r="L75" s="58">
        <v>0</v>
      </c>
      <c r="M75" s="58">
        <v>0</v>
      </c>
      <c r="N75" s="76">
        <v>0</v>
      </c>
      <c r="O75" s="76">
        <v>0</v>
      </c>
      <c r="P75" s="76">
        <v>0</v>
      </c>
      <c r="Q75" s="76">
        <v>0</v>
      </c>
      <c r="R75" s="76">
        <v>0</v>
      </c>
      <c r="S75" s="58">
        <v>0</v>
      </c>
    </row>
    <row r="76" spans="1:19" ht="12" x14ac:dyDescent="0.2">
      <c r="A76" s="8"/>
      <c r="B76" s="2" t="s">
        <v>165</v>
      </c>
      <c r="C76" s="34" t="s">
        <v>166</v>
      </c>
      <c r="D76" s="34" t="s">
        <v>131</v>
      </c>
      <c r="E76" s="11" t="s">
        <v>11</v>
      </c>
      <c r="G76" s="57" t="s">
        <v>167</v>
      </c>
      <c r="H76" s="75">
        <v>0</v>
      </c>
      <c r="I76" s="75">
        <v>0</v>
      </c>
      <c r="J76" s="58">
        <v>0</v>
      </c>
      <c r="K76" s="58">
        <v>0</v>
      </c>
      <c r="L76" s="58">
        <v>0</v>
      </c>
      <c r="M76" s="58">
        <v>0</v>
      </c>
      <c r="N76" s="76">
        <v>0</v>
      </c>
      <c r="O76" s="76">
        <v>0</v>
      </c>
      <c r="P76" s="76">
        <v>0</v>
      </c>
      <c r="Q76" s="76">
        <v>0</v>
      </c>
      <c r="R76" s="76">
        <v>0</v>
      </c>
      <c r="S76" s="58">
        <v>0</v>
      </c>
    </row>
    <row r="77" spans="1:19" ht="12" x14ac:dyDescent="0.2">
      <c r="A77" s="8"/>
      <c r="B77" s="2" t="s">
        <v>168</v>
      </c>
      <c r="C77" s="34" t="s">
        <v>166</v>
      </c>
      <c r="D77" s="34" t="s">
        <v>135</v>
      </c>
      <c r="E77" s="11" t="s">
        <v>89</v>
      </c>
      <c r="F77" s="12"/>
      <c r="G77" s="57" t="s">
        <v>169</v>
      </c>
      <c r="H77" s="75">
        <v>0</v>
      </c>
      <c r="I77" s="75">
        <v>0</v>
      </c>
      <c r="J77" s="58">
        <v>0</v>
      </c>
      <c r="K77" s="58">
        <v>0</v>
      </c>
      <c r="L77" s="58">
        <v>0</v>
      </c>
      <c r="M77" s="58">
        <v>0</v>
      </c>
      <c r="N77" s="76">
        <v>0</v>
      </c>
      <c r="O77" s="76">
        <v>0</v>
      </c>
      <c r="P77" s="76">
        <v>0</v>
      </c>
      <c r="Q77" s="76">
        <v>0</v>
      </c>
      <c r="R77" s="76">
        <v>0</v>
      </c>
      <c r="S77" s="58">
        <v>0</v>
      </c>
    </row>
    <row r="78" spans="1:19" ht="12" x14ac:dyDescent="0.2">
      <c r="A78" s="8"/>
      <c r="B78" s="2" t="s">
        <v>170</v>
      </c>
      <c r="C78" s="34" t="s">
        <v>171</v>
      </c>
      <c r="D78" s="34" t="s">
        <v>135</v>
      </c>
      <c r="E78" s="11" t="s">
        <v>89</v>
      </c>
      <c r="F78" s="12"/>
      <c r="G78" s="57" t="s">
        <v>172</v>
      </c>
      <c r="H78" s="75">
        <v>0</v>
      </c>
      <c r="I78" s="75">
        <v>0</v>
      </c>
      <c r="J78" s="58">
        <v>0</v>
      </c>
      <c r="K78" s="58">
        <v>0</v>
      </c>
      <c r="L78" s="58">
        <v>0</v>
      </c>
      <c r="M78" s="58">
        <v>0</v>
      </c>
      <c r="N78" s="76">
        <v>0</v>
      </c>
      <c r="O78" s="76">
        <v>0</v>
      </c>
      <c r="P78" s="76">
        <v>0</v>
      </c>
      <c r="Q78" s="76">
        <v>0</v>
      </c>
      <c r="R78" s="76">
        <v>0</v>
      </c>
      <c r="S78" s="58">
        <v>0</v>
      </c>
    </row>
    <row r="79" spans="1:19" ht="12" x14ac:dyDescent="0.2">
      <c r="A79" s="8"/>
      <c r="B79" s="2" t="s">
        <v>173</v>
      </c>
      <c r="C79" s="34" t="s">
        <v>174</v>
      </c>
      <c r="D79" s="34" t="s">
        <v>135</v>
      </c>
      <c r="E79" s="11" t="s">
        <v>89</v>
      </c>
      <c r="F79" s="12"/>
      <c r="G79" s="57" t="s">
        <v>175</v>
      </c>
      <c r="H79" s="75">
        <v>0</v>
      </c>
      <c r="I79" s="75">
        <v>0</v>
      </c>
      <c r="J79" s="58">
        <v>0</v>
      </c>
      <c r="K79" s="58">
        <v>0</v>
      </c>
      <c r="L79" s="58">
        <v>0</v>
      </c>
      <c r="M79" s="58">
        <v>0</v>
      </c>
      <c r="N79" s="76">
        <v>0</v>
      </c>
      <c r="O79" s="76">
        <v>0</v>
      </c>
      <c r="P79" s="76">
        <v>0</v>
      </c>
      <c r="Q79" s="76">
        <v>0</v>
      </c>
      <c r="R79" s="76">
        <v>0</v>
      </c>
      <c r="S79" s="58">
        <v>0</v>
      </c>
    </row>
    <row r="80" spans="1:19" ht="12" x14ac:dyDescent="0.2">
      <c r="A80" s="8"/>
      <c r="B80" s="2" t="s">
        <v>176</v>
      </c>
      <c r="C80" s="34" t="s">
        <v>177</v>
      </c>
      <c r="D80" s="34" t="s">
        <v>135</v>
      </c>
      <c r="E80" s="11" t="s">
        <v>89</v>
      </c>
      <c r="F80" s="12"/>
      <c r="G80" s="57" t="s">
        <v>178</v>
      </c>
      <c r="H80" s="75">
        <v>0</v>
      </c>
      <c r="I80" s="75">
        <v>0</v>
      </c>
      <c r="J80" s="58">
        <v>0</v>
      </c>
      <c r="K80" s="58">
        <v>0</v>
      </c>
      <c r="L80" s="58">
        <v>0</v>
      </c>
      <c r="M80" s="58">
        <v>0</v>
      </c>
      <c r="N80" s="76">
        <v>0</v>
      </c>
      <c r="O80" s="76">
        <v>0</v>
      </c>
      <c r="P80" s="76">
        <v>0</v>
      </c>
      <c r="Q80" s="76">
        <v>0</v>
      </c>
      <c r="R80" s="76">
        <v>0</v>
      </c>
      <c r="S80" s="58">
        <v>0</v>
      </c>
    </row>
    <row r="81" spans="1:19" ht="12" x14ac:dyDescent="0.2">
      <c r="A81" s="8"/>
      <c r="B81" s="2" t="s">
        <v>179</v>
      </c>
      <c r="C81" s="34" t="s">
        <v>52</v>
      </c>
      <c r="D81" s="34" t="s">
        <v>135</v>
      </c>
      <c r="E81" s="11" t="s">
        <v>89</v>
      </c>
      <c r="F81" s="12"/>
      <c r="G81" s="57" t="s">
        <v>180</v>
      </c>
      <c r="H81" s="75">
        <v>0</v>
      </c>
      <c r="I81" s="75">
        <v>0</v>
      </c>
      <c r="J81" s="58">
        <v>0</v>
      </c>
      <c r="K81" s="58">
        <v>0</v>
      </c>
      <c r="L81" s="58">
        <v>0</v>
      </c>
      <c r="M81" s="58">
        <v>0</v>
      </c>
      <c r="N81" s="76">
        <v>0</v>
      </c>
      <c r="O81" s="76">
        <v>0</v>
      </c>
      <c r="P81" s="76">
        <v>0</v>
      </c>
      <c r="Q81" s="76">
        <v>0</v>
      </c>
      <c r="R81" s="76">
        <v>0</v>
      </c>
      <c r="S81" s="58">
        <v>0</v>
      </c>
    </row>
    <row r="82" spans="1:19" ht="12" x14ac:dyDescent="0.2">
      <c r="A82" s="8"/>
      <c r="B82" s="2" t="s">
        <v>181</v>
      </c>
      <c r="C82" s="34" t="s">
        <v>182</v>
      </c>
      <c r="D82" s="34" t="s">
        <v>131</v>
      </c>
      <c r="E82" s="11" t="s">
        <v>11</v>
      </c>
      <c r="G82" s="57" t="s">
        <v>183</v>
      </c>
      <c r="H82" s="75">
        <v>0</v>
      </c>
      <c r="I82" s="75">
        <v>0</v>
      </c>
      <c r="J82" s="58">
        <v>0</v>
      </c>
      <c r="K82" s="58">
        <v>0</v>
      </c>
      <c r="L82" s="58">
        <v>0</v>
      </c>
      <c r="M82" s="58">
        <v>0</v>
      </c>
      <c r="N82" s="76">
        <v>0</v>
      </c>
      <c r="O82" s="76">
        <v>0</v>
      </c>
      <c r="P82" s="76">
        <v>0</v>
      </c>
      <c r="Q82" s="76">
        <v>0</v>
      </c>
      <c r="R82" s="76">
        <v>0</v>
      </c>
      <c r="S82" s="58">
        <v>0</v>
      </c>
    </row>
    <row r="83" spans="1:19" ht="12" x14ac:dyDescent="0.2">
      <c r="A83" s="8"/>
      <c r="B83" s="2" t="s">
        <v>184</v>
      </c>
      <c r="C83" s="34" t="s">
        <v>182</v>
      </c>
      <c r="D83" s="34" t="s">
        <v>135</v>
      </c>
      <c r="E83" s="11" t="s">
        <v>89</v>
      </c>
      <c r="F83" s="12"/>
      <c r="G83" s="57" t="s">
        <v>374</v>
      </c>
      <c r="H83" s="75">
        <v>0</v>
      </c>
      <c r="I83" s="75">
        <v>0</v>
      </c>
      <c r="J83" s="58">
        <v>0</v>
      </c>
      <c r="K83" s="58">
        <v>0</v>
      </c>
      <c r="L83" s="58">
        <v>0</v>
      </c>
      <c r="M83" s="58">
        <v>0</v>
      </c>
      <c r="N83" s="76">
        <v>0</v>
      </c>
      <c r="O83" s="76">
        <v>0</v>
      </c>
      <c r="P83" s="76">
        <v>0</v>
      </c>
      <c r="Q83" s="76">
        <v>0</v>
      </c>
      <c r="R83" s="76">
        <v>0</v>
      </c>
      <c r="S83" s="58">
        <v>0</v>
      </c>
    </row>
    <row r="84" spans="1:19" ht="12" x14ac:dyDescent="0.2">
      <c r="A84" s="8"/>
      <c r="B84" s="2" t="s">
        <v>185</v>
      </c>
      <c r="C84" s="34" t="s">
        <v>375</v>
      </c>
      <c r="D84" s="34" t="s">
        <v>135</v>
      </c>
      <c r="E84" s="11" t="s">
        <v>89</v>
      </c>
      <c r="F84" s="12"/>
      <c r="G84" s="57" t="s">
        <v>376</v>
      </c>
      <c r="H84" s="75">
        <v>0</v>
      </c>
      <c r="I84" s="75">
        <v>0</v>
      </c>
      <c r="J84" s="58">
        <v>0</v>
      </c>
      <c r="K84" s="58">
        <v>0</v>
      </c>
      <c r="L84" s="58">
        <v>0</v>
      </c>
      <c r="M84" s="58">
        <v>0</v>
      </c>
      <c r="N84" s="76">
        <v>0</v>
      </c>
      <c r="O84" s="76">
        <v>0</v>
      </c>
      <c r="P84" s="76">
        <v>0</v>
      </c>
      <c r="Q84" s="76">
        <v>0</v>
      </c>
      <c r="R84" s="76">
        <v>0</v>
      </c>
      <c r="S84" s="58">
        <v>0</v>
      </c>
    </row>
    <row r="85" spans="1:19" ht="12" x14ac:dyDescent="0.2">
      <c r="A85" s="8"/>
      <c r="B85" s="2" t="s">
        <v>186</v>
      </c>
      <c r="C85" s="36">
        <v>68</v>
      </c>
      <c r="D85" s="34" t="s">
        <v>135</v>
      </c>
      <c r="E85" s="11" t="s">
        <v>89</v>
      </c>
      <c r="F85" s="12"/>
      <c r="G85" s="70" t="s">
        <v>111</v>
      </c>
      <c r="H85" s="75">
        <v>0</v>
      </c>
      <c r="I85" s="75">
        <v>0</v>
      </c>
      <c r="J85" s="58">
        <v>0</v>
      </c>
      <c r="K85" s="58">
        <v>0</v>
      </c>
      <c r="L85" s="58">
        <v>0</v>
      </c>
      <c r="M85" s="58">
        <v>0</v>
      </c>
      <c r="N85" s="76">
        <v>0</v>
      </c>
      <c r="O85" s="76">
        <v>0</v>
      </c>
      <c r="P85" s="76">
        <v>0</v>
      </c>
      <c r="Q85" s="76">
        <v>0</v>
      </c>
      <c r="R85" s="76">
        <v>0</v>
      </c>
      <c r="S85" s="58">
        <v>0</v>
      </c>
    </row>
    <row r="86" spans="1:19" x14ac:dyDescent="0.2">
      <c r="A86" s="8"/>
      <c r="B86" s="2" t="s">
        <v>377</v>
      </c>
      <c r="C86" s="10"/>
      <c r="D86" s="10"/>
      <c r="E86" s="9"/>
      <c r="G86" s="70" t="s">
        <v>158</v>
      </c>
      <c r="H86" s="75">
        <f t="shared" ref="H86:S86" si="20">SUM(H74:H85)</f>
        <v>0</v>
      </c>
      <c r="I86" s="75">
        <f t="shared" si="20"/>
        <v>0</v>
      </c>
      <c r="J86" s="56">
        <f t="shared" si="20"/>
        <v>0</v>
      </c>
      <c r="K86" s="56">
        <f t="shared" si="20"/>
        <v>0</v>
      </c>
      <c r="L86" s="56">
        <f t="shared" si="20"/>
        <v>0</v>
      </c>
      <c r="M86" s="56">
        <f t="shared" si="20"/>
        <v>0</v>
      </c>
      <c r="N86" s="56">
        <f t="shared" si="20"/>
        <v>0</v>
      </c>
      <c r="O86" s="56">
        <f t="shared" si="20"/>
        <v>0</v>
      </c>
      <c r="P86" s="56">
        <f t="shared" si="20"/>
        <v>0</v>
      </c>
      <c r="Q86" s="56">
        <f t="shared" si="20"/>
        <v>0</v>
      </c>
      <c r="R86" s="56">
        <f t="shared" si="20"/>
        <v>0</v>
      </c>
      <c r="S86" s="56">
        <f t="shared" si="20"/>
        <v>0</v>
      </c>
    </row>
    <row r="87" spans="1:19" s="4" customFormat="1" x14ac:dyDescent="0.2">
      <c r="A87" s="8"/>
      <c r="B87" s="2" t="s">
        <v>378</v>
      </c>
      <c r="C87" s="10"/>
      <c r="D87" s="10"/>
      <c r="E87" s="9"/>
      <c r="F87" s="8"/>
      <c r="G87" s="89" t="s">
        <v>379</v>
      </c>
      <c r="H87" s="90"/>
      <c r="I87" s="91">
        <f t="shared" ref="I87:S87" si="21">(I14+I15)-(H14+H15-I58-I59+I45)</f>
        <v>0</v>
      </c>
      <c r="J87" s="85">
        <f t="shared" si="21"/>
        <v>15.174000000000001</v>
      </c>
      <c r="K87" s="85">
        <f t="shared" si="21"/>
        <v>405.65800000000002</v>
      </c>
      <c r="L87" s="85">
        <f t="shared" si="21"/>
        <v>1.0939999999999372</v>
      </c>
      <c r="M87" s="85">
        <f t="shared" si="21"/>
        <v>-0.42899999999997362</v>
      </c>
      <c r="N87" s="92">
        <f>(N14+N15)-(M14+M15-N58-N59+N45)</f>
        <v>0</v>
      </c>
      <c r="O87" s="85">
        <f t="shared" si="21"/>
        <v>0</v>
      </c>
      <c r="P87" s="85">
        <f t="shared" si="21"/>
        <v>0</v>
      </c>
      <c r="Q87" s="85">
        <f t="shared" si="21"/>
        <v>0</v>
      </c>
      <c r="R87" s="85">
        <f t="shared" si="21"/>
        <v>0</v>
      </c>
      <c r="S87" s="85">
        <f t="shared" si="21"/>
        <v>0</v>
      </c>
    </row>
    <row r="88" spans="1:19" s="4" customFormat="1" x14ac:dyDescent="0.2">
      <c r="A88" s="8"/>
      <c r="B88" s="2" t="s">
        <v>380</v>
      </c>
      <c r="C88" s="10"/>
      <c r="D88" s="10"/>
      <c r="E88" s="9"/>
      <c r="F88" s="8"/>
      <c r="G88" s="89" t="s">
        <v>381</v>
      </c>
      <c r="H88" s="90"/>
      <c r="I88" s="91">
        <f>I24-(H24+(I74+I76)+(I75+I77)+(I78))</f>
        <v>0</v>
      </c>
      <c r="J88" s="85">
        <f>J24-(I24+(J74+J76)+(J75+J77)+(J78))</f>
        <v>0</v>
      </c>
      <c r="K88" s="85">
        <f>K24-(J24+(K74+K76)+(K75+K77)+(K78))</f>
        <v>0</v>
      </c>
      <c r="L88" s="85">
        <f>L24-(K24+(L74+L76)+(L75+L77)+(L78))</f>
        <v>0</v>
      </c>
      <c r="M88" s="85">
        <f>M24-(L24+(M74+M76)+(M75+M77)+(M78))</f>
        <v>0</v>
      </c>
      <c r="N88" s="85">
        <f t="shared" ref="N88:S88" si="22">N24-(M24+(N74+N76)+(N75+N77)+(N78))</f>
        <v>0</v>
      </c>
      <c r="O88" s="85">
        <f t="shared" si="22"/>
        <v>0</v>
      </c>
      <c r="P88" s="85">
        <f t="shared" si="22"/>
        <v>0</v>
      </c>
      <c r="Q88" s="85">
        <f t="shared" si="22"/>
        <v>0</v>
      </c>
      <c r="R88" s="85">
        <f t="shared" si="22"/>
        <v>0</v>
      </c>
      <c r="S88" s="85">
        <f t="shared" si="22"/>
        <v>0</v>
      </c>
    </row>
    <row r="89" spans="1:19" s="4" customFormat="1" x14ac:dyDescent="0.2">
      <c r="A89" s="8"/>
      <c r="B89" s="2" t="s">
        <v>382</v>
      </c>
      <c r="C89" s="10"/>
      <c r="D89" s="10"/>
      <c r="E89" s="9"/>
      <c r="F89" s="8"/>
      <c r="G89" s="89" t="s">
        <v>383</v>
      </c>
      <c r="H89" s="90"/>
      <c r="I89" s="91">
        <f t="shared" ref="I89:S89" si="23">I28-(H28+(I82+I83))</f>
        <v>0</v>
      </c>
      <c r="J89" s="85">
        <f t="shared" si="23"/>
        <v>14.797000000000001</v>
      </c>
      <c r="K89" s="85">
        <f t="shared" si="23"/>
        <v>432.21</v>
      </c>
      <c r="L89" s="85">
        <f t="shared" si="23"/>
        <v>0</v>
      </c>
      <c r="M89" s="85">
        <f t="shared" si="23"/>
        <v>0</v>
      </c>
      <c r="N89" s="85">
        <f t="shared" si="23"/>
        <v>-7.0000000000050022E-3</v>
      </c>
      <c r="O89" s="85">
        <f t="shared" si="23"/>
        <v>0</v>
      </c>
      <c r="P89" s="85">
        <f t="shared" si="23"/>
        <v>0</v>
      </c>
      <c r="Q89" s="85">
        <f t="shared" si="23"/>
        <v>0</v>
      </c>
      <c r="R89" s="85">
        <f t="shared" si="23"/>
        <v>0</v>
      </c>
      <c r="S89" s="85">
        <f t="shared" si="23"/>
        <v>0</v>
      </c>
    </row>
    <row r="90" spans="1:19" s="4" customFormat="1" x14ac:dyDescent="0.2">
      <c r="A90" s="8"/>
      <c r="B90" s="2" t="s">
        <v>384</v>
      </c>
      <c r="C90" s="10"/>
      <c r="D90" s="10"/>
      <c r="E90" s="9"/>
      <c r="F90" s="8"/>
      <c r="G90" s="89" t="s">
        <v>385</v>
      </c>
      <c r="H90" s="90"/>
      <c r="I90" s="91">
        <f t="shared" ref="I90:S90" si="24">I29-(H29+H30)-I84</f>
        <v>0</v>
      </c>
      <c r="J90" s="85">
        <f t="shared" si="24"/>
        <v>0</v>
      </c>
      <c r="K90" s="85">
        <f t="shared" si="24"/>
        <v>0</v>
      </c>
      <c r="L90" s="85">
        <f t="shared" si="24"/>
        <v>0</v>
      </c>
      <c r="M90" s="85">
        <f t="shared" si="24"/>
        <v>0</v>
      </c>
      <c r="N90" s="85">
        <f t="shared" si="24"/>
        <v>-0.22699999999997544</v>
      </c>
      <c r="O90" s="85">
        <f t="shared" si="24"/>
        <v>0</v>
      </c>
      <c r="P90" s="85">
        <f t="shared" si="24"/>
        <v>0</v>
      </c>
      <c r="Q90" s="85">
        <f t="shared" si="24"/>
        <v>0</v>
      </c>
      <c r="R90" s="85">
        <f t="shared" si="24"/>
        <v>0</v>
      </c>
      <c r="S90" s="85">
        <f t="shared" si="24"/>
        <v>0</v>
      </c>
    </row>
    <row r="91" spans="1:19" s="4" customFormat="1" x14ac:dyDescent="0.2">
      <c r="A91" s="8"/>
      <c r="B91" s="2"/>
      <c r="C91" s="10"/>
      <c r="D91" s="10"/>
      <c r="E91" s="9"/>
      <c r="F91" s="8"/>
      <c r="G91" s="28"/>
      <c r="L91" s="93">
        <f>L90-L87</f>
        <v>-1.0939999999999372</v>
      </c>
    </row>
    <row r="92" spans="1:19" s="4" customFormat="1" x14ac:dyDescent="0.2">
      <c r="A92" s="13" t="s">
        <v>0</v>
      </c>
      <c r="B92" s="2"/>
      <c r="C92" s="10"/>
      <c r="D92" s="753" t="s">
        <v>187</v>
      </c>
      <c r="E92" s="754"/>
      <c r="F92" s="8"/>
      <c r="G92" s="94" t="s">
        <v>386</v>
      </c>
      <c r="H92" s="87">
        <f>H73</f>
        <v>2011</v>
      </c>
      <c r="I92" s="87">
        <f t="shared" ref="I92:S92" si="25">I73</f>
        <v>2012</v>
      </c>
      <c r="J92" s="87">
        <f t="shared" si="25"/>
        <v>2013</v>
      </c>
      <c r="K92" s="87">
        <f t="shared" si="25"/>
        <v>2014</v>
      </c>
      <c r="L92" s="87">
        <f t="shared" si="25"/>
        <v>2015</v>
      </c>
      <c r="M92" s="87">
        <f t="shared" si="25"/>
        <v>2016</v>
      </c>
      <c r="N92" s="87">
        <f t="shared" si="25"/>
        <v>2017</v>
      </c>
      <c r="O92" s="87">
        <f t="shared" si="25"/>
        <v>2018</v>
      </c>
      <c r="P92" s="87">
        <f t="shared" si="25"/>
        <v>2019</v>
      </c>
      <c r="Q92" s="87">
        <f t="shared" si="25"/>
        <v>2020</v>
      </c>
      <c r="R92" s="87">
        <f t="shared" si="25"/>
        <v>2021</v>
      </c>
      <c r="S92" s="87">
        <f t="shared" si="25"/>
        <v>2022</v>
      </c>
    </row>
    <row r="93" spans="1:19" s="4" customFormat="1" x14ac:dyDescent="0.2">
      <c r="A93" s="8"/>
      <c r="B93" s="2" t="s">
        <v>387</v>
      </c>
      <c r="C93" s="10" t="s">
        <v>388</v>
      </c>
      <c r="D93" s="10"/>
      <c r="E93" s="9"/>
      <c r="F93" s="8"/>
      <c r="G93" s="95" t="s">
        <v>389</v>
      </c>
      <c r="H93" s="96">
        <f>H5+H11+H12+H13</f>
        <v>0</v>
      </c>
      <c r="I93" s="96">
        <f>I5+I11+I12+I13</f>
        <v>0</v>
      </c>
      <c r="J93" s="96">
        <f t="shared" ref="J93:S93" si="26">J5+J11+J12+J13</f>
        <v>0</v>
      </c>
      <c r="K93" s="96">
        <f t="shared" si="26"/>
        <v>265.97699999999998</v>
      </c>
      <c r="L93" s="96">
        <f t="shared" si="26"/>
        <v>298.77800000000002</v>
      </c>
      <c r="M93" s="96">
        <f t="shared" si="26"/>
        <v>330</v>
      </c>
      <c r="N93" s="96">
        <f t="shared" si="26"/>
        <v>240</v>
      </c>
      <c r="O93" s="96">
        <f>O5+O11+O12+O13</f>
        <v>296</v>
      </c>
      <c r="P93" s="96">
        <f t="shared" si="26"/>
        <v>326</v>
      </c>
      <c r="Q93" s="96">
        <f t="shared" si="26"/>
        <v>378</v>
      </c>
      <c r="R93" s="96">
        <f t="shared" si="26"/>
        <v>433</v>
      </c>
      <c r="S93" s="96">
        <f t="shared" si="26"/>
        <v>487</v>
      </c>
    </row>
    <row r="94" spans="1:19" s="4" customFormat="1" x14ac:dyDescent="0.2">
      <c r="A94" s="8"/>
      <c r="B94" s="2" t="s">
        <v>390</v>
      </c>
      <c r="C94" s="10"/>
      <c r="D94" s="10"/>
      <c r="E94" s="9"/>
      <c r="F94" s="8"/>
      <c r="G94" s="97" t="s">
        <v>391</v>
      </c>
      <c r="H94" s="98"/>
      <c r="I94" s="96">
        <f>I93-H93</f>
        <v>0</v>
      </c>
      <c r="J94" s="96">
        <f t="shared" ref="J94:S94" si="27">J93-I93</f>
        <v>0</v>
      </c>
      <c r="K94" s="96">
        <f t="shared" si="27"/>
        <v>265.97699999999998</v>
      </c>
      <c r="L94" s="96">
        <f t="shared" si="27"/>
        <v>32.801000000000045</v>
      </c>
      <c r="M94" s="96">
        <f t="shared" si="27"/>
        <v>31.22199999999998</v>
      </c>
      <c r="N94" s="96">
        <f t="shared" si="27"/>
        <v>-90</v>
      </c>
      <c r="O94" s="96">
        <f t="shared" si="27"/>
        <v>56</v>
      </c>
      <c r="P94" s="96">
        <f>P93-O93</f>
        <v>30</v>
      </c>
      <c r="Q94" s="96">
        <f t="shared" si="27"/>
        <v>52</v>
      </c>
      <c r="R94" s="96">
        <f t="shared" si="27"/>
        <v>55</v>
      </c>
      <c r="S94" s="96">
        <f t="shared" si="27"/>
        <v>54</v>
      </c>
    </row>
    <row r="95" spans="1:19" s="4" customFormat="1" x14ac:dyDescent="0.2">
      <c r="A95" s="8"/>
      <c r="B95" s="2" t="s">
        <v>392</v>
      </c>
      <c r="C95" s="10" t="s">
        <v>42</v>
      </c>
      <c r="D95" s="10"/>
      <c r="E95" s="9"/>
      <c r="F95" s="8"/>
      <c r="G95" s="95" t="s">
        <v>393</v>
      </c>
      <c r="H95" s="96">
        <f>H19</f>
        <v>0</v>
      </c>
      <c r="I95" s="96">
        <f t="shared" ref="I95:S95" si="28">I19</f>
        <v>0</v>
      </c>
      <c r="J95" s="96">
        <f t="shared" si="28"/>
        <v>0</v>
      </c>
      <c r="K95" s="96">
        <f t="shared" si="28"/>
        <v>182.649</v>
      </c>
      <c r="L95" s="96">
        <f t="shared" si="28"/>
        <v>24.786000000000001</v>
      </c>
      <c r="M95" s="96">
        <f t="shared" si="28"/>
        <v>30</v>
      </c>
      <c r="N95" s="96">
        <f>N19</f>
        <v>36</v>
      </c>
      <c r="O95" s="96">
        <f t="shared" si="28"/>
        <v>52</v>
      </c>
      <c r="P95" s="96">
        <f t="shared" si="28"/>
        <v>41</v>
      </c>
      <c r="Q95" s="96">
        <f t="shared" si="28"/>
        <v>41</v>
      </c>
      <c r="R95" s="96">
        <f t="shared" si="28"/>
        <v>41</v>
      </c>
      <c r="S95" s="96">
        <f t="shared" si="28"/>
        <v>41</v>
      </c>
    </row>
    <row r="96" spans="1:19" s="4" customFormat="1" x14ac:dyDescent="0.2">
      <c r="A96" s="8"/>
      <c r="B96" s="2" t="s">
        <v>394</v>
      </c>
      <c r="C96" s="10"/>
      <c r="D96" s="10"/>
      <c r="E96" s="9"/>
      <c r="F96" s="8"/>
      <c r="G96" s="97" t="s">
        <v>391</v>
      </c>
      <c r="H96" s="98"/>
      <c r="I96" s="96">
        <f>I95-H95</f>
        <v>0</v>
      </c>
      <c r="J96" s="96">
        <f t="shared" ref="J96:S96" si="29">J95-I95</f>
        <v>0</v>
      </c>
      <c r="K96" s="96">
        <f t="shared" si="29"/>
        <v>182.649</v>
      </c>
      <c r="L96" s="96">
        <f t="shared" si="29"/>
        <v>-157.863</v>
      </c>
      <c r="M96" s="96">
        <f t="shared" si="29"/>
        <v>5.2139999999999986</v>
      </c>
      <c r="N96" s="96">
        <f t="shared" si="29"/>
        <v>6</v>
      </c>
      <c r="O96" s="96">
        <f t="shared" si="29"/>
        <v>16</v>
      </c>
      <c r="P96" s="96">
        <f>P95-O95</f>
        <v>-11</v>
      </c>
      <c r="Q96" s="96">
        <f t="shared" si="29"/>
        <v>0</v>
      </c>
      <c r="R96" s="96">
        <f t="shared" si="29"/>
        <v>0</v>
      </c>
      <c r="S96" s="96">
        <f t="shared" si="29"/>
        <v>0</v>
      </c>
    </row>
    <row r="97" spans="1:20" s="40" customFormat="1" x14ac:dyDescent="0.2">
      <c r="A97" s="29" t="s">
        <v>395</v>
      </c>
      <c r="B97" s="2" t="s">
        <v>188</v>
      </c>
      <c r="C97" s="10" t="s">
        <v>396</v>
      </c>
      <c r="D97" s="99"/>
      <c r="E97" s="30"/>
      <c r="F97" s="29"/>
      <c r="G97" s="100" t="s">
        <v>386</v>
      </c>
      <c r="H97" s="101"/>
      <c r="I97" s="102">
        <f>I94-I96</f>
        <v>0</v>
      </c>
      <c r="J97" s="102">
        <f t="shared" ref="J97:S97" si="30">J94-J96</f>
        <v>0</v>
      </c>
      <c r="K97" s="102">
        <f t="shared" si="30"/>
        <v>83.327999999999975</v>
      </c>
      <c r="L97" s="102">
        <f t="shared" si="30"/>
        <v>190.66400000000004</v>
      </c>
      <c r="M97" s="102">
        <f t="shared" si="30"/>
        <v>26.007999999999981</v>
      </c>
      <c r="N97" s="102">
        <f>N94-N96</f>
        <v>-96</v>
      </c>
      <c r="O97" s="102">
        <f t="shared" si="30"/>
        <v>40</v>
      </c>
      <c r="P97" s="102">
        <f>P94-P96</f>
        <v>41</v>
      </c>
      <c r="Q97" s="102">
        <f t="shared" si="30"/>
        <v>52</v>
      </c>
      <c r="R97" s="102">
        <f t="shared" si="30"/>
        <v>55</v>
      </c>
      <c r="S97" s="102">
        <f t="shared" si="30"/>
        <v>54</v>
      </c>
    </row>
    <row r="98" spans="1:20" s="4" customFormat="1" x14ac:dyDescent="0.2">
      <c r="A98" s="8"/>
      <c r="B98" s="2"/>
      <c r="C98" s="10"/>
      <c r="D98" s="10"/>
      <c r="E98" s="9"/>
      <c r="F98" s="8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</row>
    <row r="99" spans="1:20" s="4" customFormat="1" x14ac:dyDescent="0.2">
      <c r="A99" s="8"/>
      <c r="B99" s="2" t="s">
        <v>397</v>
      </c>
      <c r="C99" s="10" t="s">
        <v>398</v>
      </c>
      <c r="D99" s="10"/>
      <c r="E99" s="9"/>
      <c r="F99" s="8"/>
      <c r="G99" s="95" t="s">
        <v>399</v>
      </c>
      <c r="H99" s="96">
        <f>H4-H93</f>
        <v>0</v>
      </c>
      <c r="I99" s="96">
        <f t="shared" ref="I99:S99" si="31">I4-I93</f>
        <v>0</v>
      </c>
      <c r="J99" s="96">
        <f t="shared" si="31"/>
        <v>14.797000000000001</v>
      </c>
      <c r="K99" s="96">
        <f t="shared" si="31"/>
        <v>442</v>
      </c>
      <c r="L99" s="96">
        <f t="shared" si="31"/>
        <v>490</v>
      </c>
      <c r="M99" s="96">
        <f t="shared" si="31"/>
        <v>500</v>
      </c>
      <c r="N99" s="96">
        <f t="shared" si="31"/>
        <v>558</v>
      </c>
      <c r="O99" s="96">
        <f t="shared" si="31"/>
        <v>524</v>
      </c>
      <c r="P99" s="96">
        <f t="shared" si="31"/>
        <v>490</v>
      </c>
      <c r="Q99" s="96">
        <f t="shared" si="31"/>
        <v>456</v>
      </c>
      <c r="R99" s="96">
        <f t="shared" si="31"/>
        <v>422</v>
      </c>
      <c r="S99" s="96">
        <f t="shared" si="31"/>
        <v>388</v>
      </c>
    </row>
    <row r="100" spans="1:20" s="4" customFormat="1" x14ac:dyDescent="0.2">
      <c r="A100" s="8"/>
      <c r="B100" s="2" t="s">
        <v>400</v>
      </c>
      <c r="C100" s="10"/>
      <c r="D100" s="10"/>
      <c r="E100" s="9"/>
      <c r="F100" s="8"/>
      <c r="G100" s="97" t="s">
        <v>391</v>
      </c>
      <c r="H100" s="98"/>
      <c r="I100" s="96">
        <f>I99-H99</f>
        <v>0</v>
      </c>
      <c r="J100" s="96">
        <f t="shared" ref="J100:S100" si="32">J99-I99</f>
        <v>14.797000000000001</v>
      </c>
      <c r="K100" s="96">
        <f t="shared" si="32"/>
        <v>427.20299999999997</v>
      </c>
      <c r="L100" s="96">
        <f t="shared" si="32"/>
        <v>48</v>
      </c>
      <c r="M100" s="96">
        <f t="shared" si="32"/>
        <v>10</v>
      </c>
      <c r="N100" s="96">
        <f t="shared" si="32"/>
        <v>58</v>
      </c>
      <c r="O100" s="96">
        <f t="shared" si="32"/>
        <v>-34</v>
      </c>
      <c r="P100" s="96">
        <f>P99-O99</f>
        <v>-34</v>
      </c>
      <c r="Q100" s="96">
        <f t="shared" si="32"/>
        <v>-34</v>
      </c>
      <c r="R100" s="96">
        <f t="shared" si="32"/>
        <v>-34</v>
      </c>
      <c r="S100" s="96">
        <f t="shared" si="32"/>
        <v>-34</v>
      </c>
    </row>
    <row r="101" spans="1:20" s="4" customFormat="1" x14ac:dyDescent="0.2">
      <c r="A101" s="8"/>
      <c r="B101" s="2" t="s">
        <v>401</v>
      </c>
      <c r="C101" s="10" t="s">
        <v>64</v>
      </c>
      <c r="D101" s="10"/>
      <c r="E101" s="9"/>
      <c r="F101" s="8"/>
      <c r="G101" s="95" t="s">
        <v>402</v>
      </c>
      <c r="H101" s="96">
        <f>H27</f>
        <v>0</v>
      </c>
      <c r="I101" s="96">
        <f t="shared" ref="I101:S101" si="33">I27</f>
        <v>0</v>
      </c>
      <c r="J101" s="96">
        <f t="shared" si="33"/>
        <v>14.797000000000001</v>
      </c>
      <c r="K101" s="96">
        <f t="shared" si="33"/>
        <v>525.56899999999996</v>
      </c>
      <c r="L101" s="96">
        <f t="shared" si="33"/>
        <v>763.51499999999999</v>
      </c>
      <c r="M101" s="96">
        <f t="shared" si="33"/>
        <v>800.23400000000004</v>
      </c>
      <c r="N101" s="96">
        <f t="shared" si="33"/>
        <v>762</v>
      </c>
      <c r="O101" s="96">
        <f t="shared" si="33"/>
        <v>767.67200000000003</v>
      </c>
      <c r="P101" s="96">
        <f t="shared" si="33"/>
        <v>774.81200000000001</v>
      </c>
      <c r="Q101" s="96">
        <f t="shared" si="33"/>
        <v>792.94200000000001</v>
      </c>
      <c r="R101" s="96">
        <f t="shared" si="33"/>
        <v>814.072</v>
      </c>
      <c r="S101" s="96">
        <f t="shared" si="33"/>
        <v>834.202</v>
      </c>
    </row>
    <row r="102" spans="1:20" s="4" customFormat="1" x14ac:dyDescent="0.2">
      <c r="A102" s="8"/>
      <c r="B102" s="2" t="s">
        <v>403</v>
      </c>
      <c r="C102" s="10"/>
      <c r="D102" s="10"/>
      <c r="E102" s="9"/>
      <c r="F102" s="8"/>
      <c r="G102" s="97" t="s">
        <v>391</v>
      </c>
      <c r="H102" s="98"/>
      <c r="I102" s="96">
        <f>I101-H101</f>
        <v>0</v>
      </c>
      <c r="J102" s="96">
        <f t="shared" ref="J102:S102" si="34">J101-I101</f>
        <v>14.797000000000001</v>
      </c>
      <c r="K102" s="96">
        <f t="shared" si="34"/>
        <v>510.77199999999993</v>
      </c>
      <c r="L102" s="96">
        <f t="shared" si="34"/>
        <v>237.94600000000003</v>
      </c>
      <c r="M102" s="96">
        <f t="shared" si="34"/>
        <v>36.719000000000051</v>
      </c>
      <c r="N102" s="96">
        <f t="shared" si="34"/>
        <v>-38.234000000000037</v>
      </c>
      <c r="O102" s="96">
        <f t="shared" si="34"/>
        <v>5.6720000000000255</v>
      </c>
      <c r="P102" s="96">
        <f t="shared" si="34"/>
        <v>7.1399999999999864</v>
      </c>
      <c r="Q102" s="96">
        <f t="shared" si="34"/>
        <v>18.129999999999995</v>
      </c>
      <c r="R102" s="96">
        <f t="shared" si="34"/>
        <v>21.129999999999995</v>
      </c>
      <c r="S102" s="96">
        <f t="shared" si="34"/>
        <v>20.129999999999995</v>
      </c>
    </row>
    <row r="103" spans="1:20" s="40" customFormat="1" x14ac:dyDescent="0.2">
      <c r="A103" s="29" t="s">
        <v>404</v>
      </c>
      <c r="B103" s="2" t="s">
        <v>189</v>
      </c>
      <c r="C103" s="10" t="s">
        <v>405</v>
      </c>
      <c r="D103" s="10"/>
      <c r="E103" s="9"/>
      <c r="F103" s="8"/>
      <c r="G103" s="100" t="s">
        <v>406</v>
      </c>
      <c r="H103" s="101"/>
      <c r="I103" s="102">
        <f>I102-I100</f>
        <v>0</v>
      </c>
      <c r="J103" s="102">
        <f t="shared" ref="J103:S103" si="35">J102-J100</f>
        <v>0</v>
      </c>
      <c r="K103" s="102">
        <f t="shared" si="35"/>
        <v>83.56899999999996</v>
      </c>
      <c r="L103" s="102">
        <f t="shared" si="35"/>
        <v>189.94600000000003</v>
      </c>
      <c r="M103" s="102">
        <f t="shared" si="35"/>
        <v>26.719000000000051</v>
      </c>
      <c r="N103" s="102">
        <f t="shared" si="35"/>
        <v>-96.234000000000037</v>
      </c>
      <c r="O103" s="102">
        <f t="shared" si="35"/>
        <v>39.672000000000025</v>
      </c>
      <c r="P103" s="102">
        <f>P102-P100</f>
        <v>41.139999999999986</v>
      </c>
      <c r="Q103" s="102">
        <f t="shared" si="35"/>
        <v>52.129999999999995</v>
      </c>
      <c r="R103" s="102">
        <f t="shared" si="35"/>
        <v>55.129999999999995</v>
      </c>
      <c r="S103" s="102">
        <f t="shared" si="35"/>
        <v>54.129999999999995</v>
      </c>
    </row>
    <row r="104" spans="1:20" s="4" customFormat="1" x14ac:dyDescent="0.2">
      <c r="A104" s="8"/>
      <c r="B104" s="2"/>
      <c r="C104" s="10"/>
      <c r="D104" s="10"/>
      <c r="E104" s="9"/>
      <c r="F104" s="8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</row>
    <row r="105" spans="1:20" s="4" customFormat="1" x14ac:dyDescent="0.2">
      <c r="A105" s="13"/>
      <c r="B105" s="2"/>
      <c r="C105" s="10"/>
      <c r="D105" s="10"/>
      <c r="E105" s="9"/>
      <c r="F105" s="8"/>
      <c r="G105" s="94" t="s">
        <v>407</v>
      </c>
      <c r="H105" s="87">
        <f t="shared" ref="H105:S105" si="36">H32</f>
        <v>2011</v>
      </c>
      <c r="I105" s="87">
        <f t="shared" si="36"/>
        <v>2012</v>
      </c>
      <c r="J105" s="87">
        <f t="shared" si="36"/>
        <v>2013</v>
      </c>
      <c r="K105" s="87">
        <f t="shared" si="36"/>
        <v>2014</v>
      </c>
      <c r="L105" s="87">
        <f t="shared" si="36"/>
        <v>2015</v>
      </c>
      <c r="M105" s="87">
        <f t="shared" si="36"/>
        <v>2016</v>
      </c>
      <c r="N105" s="87">
        <f t="shared" si="36"/>
        <v>2017</v>
      </c>
      <c r="O105" s="87">
        <f t="shared" si="36"/>
        <v>2018</v>
      </c>
      <c r="P105" s="87">
        <f t="shared" si="36"/>
        <v>2019</v>
      </c>
      <c r="Q105" s="87">
        <f t="shared" si="36"/>
        <v>2020</v>
      </c>
      <c r="R105" s="87">
        <f t="shared" si="36"/>
        <v>2021</v>
      </c>
      <c r="S105" s="87">
        <f t="shared" si="36"/>
        <v>2022</v>
      </c>
    </row>
    <row r="106" spans="1:20" s="40" customFormat="1" x14ac:dyDescent="0.2">
      <c r="A106" s="29" t="s">
        <v>408</v>
      </c>
      <c r="B106" s="2" t="s">
        <v>192</v>
      </c>
      <c r="C106" s="29" t="s">
        <v>409</v>
      </c>
      <c r="D106" s="10"/>
      <c r="E106" s="9"/>
      <c r="F106" s="8"/>
      <c r="G106" s="103" t="s">
        <v>407</v>
      </c>
      <c r="H106" s="101" t="s">
        <v>358</v>
      </c>
      <c r="I106" s="104">
        <f t="shared" ref="I106:N106" si="37">(I48-I45+I50)+(I58+I59)+(I82+I83+I84+I85)-(I85-I49)</f>
        <v>-0.128</v>
      </c>
      <c r="J106" s="104">
        <f t="shared" si="37"/>
        <v>0.248</v>
      </c>
      <c r="K106" s="104">
        <f t="shared" si="37"/>
        <v>56.617000000000026</v>
      </c>
      <c r="L106" s="104">
        <f t="shared" si="37"/>
        <v>191.11600000000001</v>
      </c>
      <c r="M106" s="104">
        <f t="shared" si="37"/>
        <v>26.2899999999999</v>
      </c>
      <c r="N106" s="104">
        <f t="shared" si="37"/>
        <v>-96</v>
      </c>
      <c r="O106" s="104">
        <f>(O48-O45+O50)+(O58+O59)+(O82+O83+O84+O85)-(O85-O49)</f>
        <v>39.672000000000025</v>
      </c>
      <c r="P106" s="104">
        <f>(P48-P45+P50)+(P58+P59)+(P82+P83+P84+P85)-(P85-P49)</f>
        <v>41.139999999999986</v>
      </c>
      <c r="Q106" s="104">
        <f>(Q48-Q45+Q50)+(Q58+Q59)+(Q82+Q83+Q84+Q85)-(Q85-Q49)</f>
        <v>52.129999999999995</v>
      </c>
      <c r="R106" s="104">
        <f>(R48-R45+R50)+(R58+R59)+(R82+R83+R84+R85)-(R85-R49)</f>
        <v>55.129999999999995</v>
      </c>
      <c r="S106" s="104">
        <f>(S48-S45+S50)+(S58+S59)+(S82+S83+S84+S85)-(S85-S49)</f>
        <v>54.129999999999995</v>
      </c>
    </row>
    <row r="107" spans="1:20" s="40" customFormat="1" x14ac:dyDescent="0.2">
      <c r="A107" s="29" t="s">
        <v>410</v>
      </c>
      <c r="B107" s="2" t="s">
        <v>194</v>
      </c>
      <c r="C107" s="29" t="s">
        <v>411</v>
      </c>
      <c r="D107" s="10"/>
      <c r="E107" s="9"/>
      <c r="F107" s="8"/>
      <c r="G107" s="89" t="s">
        <v>412</v>
      </c>
      <c r="H107" s="101" t="s">
        <v>358</v>
      </c>
      <c r="I107" s="85">
        <f>I97-I106</f>
        <v>0.128</v>
      </c>
      <c r="J107" s="85">
        <f t="shared" ref="J107:S107" si="38">J97-J106</f>
        <v>-0.248</v>
      </c>
      <c r="K107" s="85">
        <f t="shared" si="38"/>
        <v>26.710999999999949</v>
      </c>
      <c r="L107" s="85">
        <f t="shared" si="38"/>
        <v>-0.45199999999996976</v>
      </c>
      <c r="M107" s="85">
        <f t="shared" si="38"/>
        <v>-0.28199999999991832</v>
      </c>
      <c r="N107" s="85">
        <f t="shared" si="38"/>
        <v>0</v>
      </c>
      <c r="O107" s="85">
        <f t="shared" si="38"/>
        <v>0.32799999999997453</v>
      </c>
      <c r="P107" s="85">
        <f>P97-P106</f>
        <v>-0.13999999999998636</v>
      </c>
      <c r="Q107" s="85">
        <f t="shared" si="38"/>
        <v>-0.12999999999999545</v>
      </c>
      <c r="R107" s="85">
        <f t="shared" si="38"/>
        <v>-0.12999999999999545</v>
      </c>
      <c r="S107" s="85">
        <f t="shared" si="38"/>
        <v>-0.12999999999999545</v>
      </c>
    </row>
    <row r="108" spans="1:20" s="40" customFormat="1" x14ac:dyDescent="0.2">
      <c r="A108" s="29"/>
      <c r="B108" s="2"/>
      <c r="C108" s="29"/>
      <c r="D108" s="10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</row>
    <row r="109" spans="1:20" s="40" customFormat="1" x14ac:dyDescent="0.2">
      <c r="A109" s="29"/>
      <c r="B109" s="2"/>
      <c r="C109" s="29"/>
      <c r="D109" s="10"/>
      <c r="E109" s="9"/>
      <c r="F109" s="8"/>
      <c r="G109" s="94" t="s">
        <v>413</v>
      </c>
      <c r="H109" s="87">
        <f>H105</f>
        <v>2011</v>
      </c>
      <c r="I109" s="87">
        <f t="shared" ref="I109:S109" si="39">I105</f>
        <v>2012</v>
      </c>
      <c r="J109" s="87">
        <f t="shared" si="39"/>
        <v>2013</v>
      </c>
      <c r="K109" s="87">
        <f t="shared" si="39"/>
        <v>2014</v>
      </c>
      <c r="L109" s="87">
        <f t="shared" si="39"/>
        <v>2015</v>
      </c>
      <c r="M109" s="87">
        <f t="shared" si="39"/>
        <v>2016</v>
      </c>
      <c r="N109" s="87">
        <f t="shared" si="39"/>
        <v>2017</v>
      </c>
      <c r="O109" s="87">
        <f t="shared" si="39"/>
        <v>2018</v>
      </c>
      <c r="P109" s="87">
        <f t="shared" si="39"/>
        <v>2019</v>
      </c>
      <c r="Q109" s="87">
        <f t="shared" si="39"/>
        <v>2020</v>
      </c>
      <c r="R109" s="87">
        <f t="shared" si="39"/>
        <v>2021</v>
      </c>
      <c r="S109" s="87">
        <f t="shared" si="39"/>
        <v>2022</v>
      </c>
    </row>
    <row r="110" spans="1:20" s="4" customFormat="1" x14ac:dyDescent="0.2">
      <c r="A110" s="8" t="s">
        <v>414</v>
      </c>
      <c r="B110" s="2" t="s">
        <v>415</v>
      </c>
      <c r="C110" s="34" t="s">
        <v>190</v>
      </c>
      <c r="D110" s="10"/>
      <c r="E110" s="9"/>
      <c r="F110" s="8"/>
      <c r="G110" s="103" t="s">
        <v>191</v>
      </c>
      <c r="H110" s="105">
        <f t="shared" ref="H110:S110" si="40">H33+H38+H41-H45</f>
        <v>-0.128</v>
      </c>
      <c r="I110" s="77">
        <f t="shared" si="40"/>
        <v>-0.128</v>
      </c>
      <c r="J110" s="77">
        <f t="shared" si="40"/>
        <v>-0.128</v>
      </c>
      <c r="K110" s="77">
        <f t="shared" si="40"/>
        <v>112.57700000000003</v>
      </c>
      <c r="L110" s="77">
        <f t="shared" si="40"/>
        <v>274.27800000000002</v>
      </c>
      <c r="M110" s="77">
        <f t="shared" si="40"/>
        <v>69.983999999999895</v>
      </c>
      <c r="N110" s="77">
        <f t="shared" si="40"/>
        <v>27</v>
      </c>
      <c r="O110" s="77">
        <f t="shared" si="40"/>
        <v>39.672000000000025</v>
      </c>
      <c r="P110" s="77">
        <f t="shared" si="40"/>
        <v>41.139999999999986</v>
      </c>
      <c r="Q110" s="77">
        <f t="shared" si="40"/>
        <v>52.129999999999995</v>
      </c>
      <c r="R110" s="77">
        <f t="shared" si="40"/>
        <v>55.129999999999995</v>
      </c>
      <c r="S110" s="77">
        <f t="shared" si="40"/>
        <v>54.129999999999995</v>
      </c>
    </row>
    <row r="111" spans="1:20" s="4" customFormat="1" x14ac:dyDescent="0.2">
      <c r="A111" s="8" t="s">
        <v>416</v>
      </c>
      <c r="B111" s="2" t="s">
        <v>197</v>
      </c>
      <c r="C111" s="8" t="s">
        <v>417</v>
      </c>
      <c r="D111" s="10"/>
      <c r="E111" s="106">
        <v>0</v>
      </c>
      <c r="F111" s="8"/>
      <c r="G111" s="46" t="s">
        <v>193</v>
      </c>
      <c r="H111" s="107" t="e">
        <f t="shared" ref="H111:S111" si="41">H110/H33</f>
        <v>#DIV/0!</v>
      </c>
      <c r="I111" s="108" t="e">
        <f t="shared" si="41"/>
        <v>#DIV/0!</v>
      </c>
      <c r="J111" s="108" t="e">
        <f t="shared" si="41"/>
        <v>#DIV/0!</v>
      </c>
      <c r="K111" s="108">
        <f t="shared" si="41"/>
        <v>0.17468911088973099</v>
      </c>
      <c r="L111" s="108">
        <f t="shared" si="41"/>
        <v>0.24968275093627162</v>
      </c>
      <c r="M111" s="108">
        <f t="shared" si="41"/>
        <v>7.2837936008692483E-2</v>
      </c>
      <c r="N111" s="108">
        <f t="shared" si="41"/>
        <v>2.8784648187633263E-2</v>
      </c>
      <c r="O111" s="108">
        <f t="shared" si="41"/>
        <v>4.2247761524633901E-2</v>
      </c>
      <c r="P111" s="108">
        <f t="shared" si="41"/>
        <v>4.3626723223753959E-2</v>
      </c>
      <c r="Q111" s="108">
        <f t="shared" si="41"/>
        <v>5.4873684210526311E-2</v>
      </c>
      <c r="R111" s="108">
        <f t="shared" si="41"/>
        <v>5.7848898216159489E-2</v>
      </c>
      <c r="S111" s="108">
        <f t="shared" si="41"/>
        <v>5.691903259726603E-2</v>
      </c>
    </row>
    <row r="112" spans="1:20" s="4" customFormat="1" x14ac:dyDescent="0.2">
      <c r="A112" s="8" t="s">
        <v>418</v>
      </c>
      <c r="B112" s="2" t="s">
        <v>200</v>
      </c>
      <c r="C112" s="34" t="s">
        <v>195</v>
      </c>
      <c r="D112" s="10"/>
      <c r="E112" s="109"/>
      <c r="F112" s="8"/>
      <c r="G112" s="110" t="s">
        <v>196</v>
      </c>
      <c r="H112" s="111">
        <f t="shared" ref="H112:S112" si="42">-H33/(H38+H41)</f>
        <v>0</v>
      </c>
      <c r="I112" s="111">
        <f t="shared" si="42"/>
        <v>0</v>
      </c>
      <c r="J112" s="111">
        <f t="shared" si="42"/>
        <v>0</v>
      </c>
      <c r="K112" s="111">
        <f t="shared" si="42"/>
        <v>1.1380271243907609</v>
      </c>
      <c r="L112" s="111">
        <f t="shared" si="42"/>
        <v>1.2751322137149383</v>
      </c>
      <c r="M112" s="111">
        <f t="shared" si="42"/>
        <v>1.0389153442586079</v>
      </c>
      <c r="N112" s="111">
        <f t="shared" si="42"/>
        <v>0.96106557377049184</v>
      </c>
      <c r="O112" s="111">
        <f t="shared" si="42"/>
        <v>1.0060769692294507</v>
      </c>
      <c r="P112" s="111">
        <f t="shared" si="42"/>
        <v>1.0076293462697412</v>
      </c>
      <c r="Q112" s="111">
        <f t="shared" si="42"/>
        <v>1.0194555034500521</v>
      </c>
      <c r="R112" s="111">
        <f t="shared" si="42"/>
        <v>1.0226748366188416</v>
      </c>
      <c r="S112" s="111">
        <f t="shared" si="42"/>
        <v>1.0216249315156789</v>
      </c>
    </row>
    <row r="113" spans="1:20" s="4" customFormat="1" x14ac:dyDescent="0.2">
      <c r="A113" s="8" t="s">
        <v>419</v>
      </c>
      <c r="B113" s="2" t="s">
        <v>420</v>
      </c>
      <c r="C113" s="8" t="s">
        <v>198</v>
      </c>
      <c r="D113" s="10"/>
      <c r="E113" s="109"/>
      <c r="F113" s="8"/>
      <c r="G113" s="103" t="s">
        <v>199</v>
      </c>
      <c r="H113" s="105">
        <f t="shared" ref="H113:S113" si="43">H46</f>
        <v>-0.128</v>
      </c>
      <c r="I113" s="105">
        <f t="shared" si="43"/>
        <v>-0.128</v>
      </c>
      <c r="J113" s="105">
        <f t="shared" si="43"/>
        <v>-0.128</v>
      </c>
      <c r="K113" s="105">
        <f t="shared" si="43"/>
        <v>78.162000000000035</v>
      </c>
      <c r="L113" s="105">
        <f t="shared" si="43"/>
        <v>237.02200000000005</v>
      </c>
      <c r="M113" s="105">
        <f t="shared" si="43"/>
        <v>35.989999999999895</v>
      </c>
      <c r="N113" s="105">
        <f t="shared" si="43"/>
        <v>-38</v>
      </c>
      <c r="O113" s="105">
        <f t="shared" si="43"/>
        <v>5.6720000000000255</v>
      </c>
      <c r="P113" s="105">
        <f t="shared" si="43"/>
        <v>7.1399999999999864</v>
      </c>
      <c r="Q113" s="105">
        <f t="shared" si="43"/>
        <v>18.129999999999995</v>
      </c>
      <c r="R113" s="105">
        <f t="shared" si="43"/>
        <v>21.129999999999995</v>
      </c>
      <c r="S113" s="105">
        <f t="shared" si="43"/>
        <v>20.129999999999995</v>
      </c>
    </row>
    <row r="114" spans="1:20" s="4" customFormat="1" x14ac:dyDescent="0.2">
      <c r="A114" s="8" t="s">
        <v>421</v>
      </c>
      <c r="B114" s="2" t="s">
        <v>422</v>
      </c>
      <c r="C114" s="8" t="s">
        <v>201</v>
      </c>
      <c r="D114" s="106">
        <v>-0.3</v>
      </c>
      <c r="E114" s="106">
        <v>0</v>
      </c>
      <c r="F114" s="8"/>
      <c r="G114" s="110" t="s">
        <v>202</v>
      </c>
      <c r="H114" s="112" t="e">
        <f t="shared" ref="H114:S114" si="44">H46/H33</f>
        <v>#DIV/0!</v>
      </c>
      <c r="I114" s="113" t="e">
        <f t="shared" si="44"/>
        <v>#DIV/0!</v>
      </c>
      <c r="J114" s="113" t="e">
        <f t="shared" si="44"/>
        <v>#DIV/0!</v>
      </c>
      <c r="K114" s="113">
        <f t="shared" si="44"/>
        <v>0.12128632212053224</v>
      </c>
      <c r="L114" s="113">
        <f t="shared" si="44"/>
        <v>0.21576759708185483</v>
      </c>
      <c r="M114" s="113">
        <f t="shared" si="44"/>
        <v>3.7457666280190316E-2</v>
      </c>
      <c r="N114" s="113">
        <f t="shared" si="44"/>
        <v>-4.0511727078891259E-2</v>
      </c>
      <c r="O114" s="113">
        <f t="shared" si="44"/>
        <v>6.0402627386500407E-3</v>
      </c>
      <c r="P114" s="113">
        <f t="shared" si="44"/>
        <v>7.5715800636267086E-3</v>
      </c>
      <c r="Q114" s="113">
        <f t="shared" si="44"/>
        <v>1.9084210526315783E-2</v>
      </c>
      <c r="R114" s="113">
        <f t="shared" si="44"/>
        <v>2.2172088142707234E-2</v>
      </c>
      <c r="S114" s="113">
        <f t="shared" si="44"/>
        <v>2.1167192429022076E-2</v>
      </c>
    </row>
    <row r="115" spans="1:20" s="4" customFormat="1" x14ac:dyDescent="0.2">
      <c r="A115" s="8" t="s">
        <v>423</v>
      </c>
      <c r="B115" s="2" t="s">
        <v>424</v>
      </c>
      <c r="C115" s="8" t="s">
        <v>204</v>
      </c>
      <c r="D115" s="10"/>
      <c r="E115" s="109"/>
      <c r="F115" s="8"/>
      <c r="G115" s="46" t="s">
        <v>205</v>
      </c>
      <c r="H115" s="105">
        <f t="shared" ref="H115:S115" si="45">H29+H30</f>
        <v>0</v>
      </c>
      <c r="I115" s="105">
        <f t="shared" si="45"/>
        <v>0</v>
      </c>
      <c r="J115" s="105">
        <f t="shared" si="45"/>
        <v>0</v>
      </c>
      <c r="K115" s="105">
        <f t="shared" si="45"/>
        <v>78.561999999999998</v>
      </c>
      <c r="L115" s="105">
        <f t="shared" si="45"/>
        <v>316.50799999999998</v>
      </c>
      <c r="M115" s="105">
        <f t="shared" si="45"/>
        <v>353.22699999999998</v>
      </c>
      <c r="N115" s="105">
        <f t="shared" si="45"/>
        <v>315</v>
      </c>
      <c r="O115" s="105">
        <f t="shared" si="45"/>
        <v>320.67200000000003</v>
      </c>
      <c r="P115" s="105">
        <f t="shared" si="45"/>
        <v>327.81200000000001</v>
      </c>
      <c r="Q115" s="105">
        <f t="shared" si="45"/>
        <v>345.94200000000001</v>
      </c>
      <c r="R115" s="105">
        <f t="shared" si="45"/>
        <v>367.072</v>
      </c>
      <c r="S115" s="105">
        <f t="shared" si="45"/>
        <v>387.202</v>
      </c>
    </row>
    <row r="116" spans="1:20" s="4" customFormat="1" x14ac:dyDescent="0.2">
      <c r="A116" s="8"/>
      <c r="B116" s="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</row>
    <row r="117" spans="1:20" s="4" customFormat="1" x14ac:dyDescent="0.2">
      <c r="A117" s="8"/>
      <c r="B117" s="2"/>
      <c r="C117" s="10"/>
      <c r="D117" s="10"/>
      <c r="E117" s="8"/>
      <c r="F117" s="8"/>
      <c r="G117" s="94" t="s">
        <v>206</v>
      </c>
      <c r="H117" s="87">
        <f t="shared" ref="H117:S117" si="46">H105</f>
        <v>2011</v>
      </c>
      <c r="I117" s="87">
        <f t="shared" si="46"/>
        <v>2012</v>
      </c>
      <c r="J117" s="87">
        <f t="shared" si="46"/>
        <v>2013</v>
      </c>
      <c r="K117" s="87">
        <f t="shared" si="46"/>
        <v>2014</v>
      </c>
      <c r="L117" s="87">
        <f t="shared" si="46"/>
        <v>2015</v>
      </c>
      <c r="M117" s="87">
        <f t="shared" si="46"/>
        <v>2016</v>
      </c>
      <c r="N117" s="87">
        <f t="shared" si="46"/>
        <v>2017</v>
      </c>
      <c r="O117" s="87">
        <f t="shared" si="46"/>
        <v>2018</v>
      </c>
      <c r="P117" s="87">
        <f t="shared" si="46"/>
        <v>2019</v>
      </c>
      <c r="Q117" s="87">
        <f t="shared" si="46"/>
        <v>2020</v>
      </c>
      <c r="R117" s="87">
        <f t="shared" si="46"/>
        <v>2021</v>
      </c>
      <c r="S117" s="87">
        <f t="shared" si="46"/>
        <v>2022</v>
      </c>
    </row>
    <row r="118" spans="1:20" s="4" customFormat="1" x14ac:dyDescent="0.2">
      <c r="A118" s="34" t="s">
        <v>425</v>
      </c>
      <c r="B118" s="2" t="s">
        <v>426</v>
      </c>
      <c r="C118" s="10" t="s">
        <v>208</v>
      </c>
      <c r="D118" s="10"/>
      <c r="E118" s="109"/>
      <c r="F118" s="37"/>
      <c r="G118" s="103" t="s">
        <v>209</v>
      </c>
      <c r="H118" s="105">
        <f t="shared" ref="H118:S118" si="47">H6+H12</f>
        <v>0</v>
      </c>
      <c r="I118" s="77">
        <f t="shared" si="47"/>
        <v>0</v>
      </c>
      <c r="J118" s="77">
        <f t="shared" si="47"/>
        <v>0</v>
      </c>
      <c r="K118" s="77">
        <f t="shared" si="47"/>
        <v>250.62299999999999</v>
      </c>
      <c r="L118" s="77">
        <f t="shared" si="47"/>
        <v>245.38399999999999</v>
      </c>
      <c r="M118" s="77">
        <f t="shared" si="47"/>
        <v>260</v>
      </c>
      <c r="N118" s="77">
        <f t="shared" si="47"/>
        <v>160</v>
      </c>
      <c r="O118" s="77">
        <f t="shared" si="47"/>
        <v>247</v>
      </c>
      <c r="P118" s="77">
        <f t="shared" si="47"/>
        <v>292</v>
      </c>
      <c r="Q118" s="77">
        <f t="shared" si="47"/>
        <v>343</v>
      </c>
      <c r="R118" s="77">
        <f t="shared" si="47"/>
        <v>398</v>
      </c>
      <c r="S118" s="77">
        <f t="shared" si="47"/>
        <v>452</v>
      </c>
    </row>
    <row r="119" spans="1:20" s="4" customFormat="1" x14ac:dyDescent="0.2">
      <c r="A119" s="8" t="s">
        <v>427</v>
      </c>
      <c r="B119" s="2" t="s">
        <v>428</v>
      </c>
      <c r="C119" s="8" t="s">
        <v>42</v>
      </c>
      <c r="D119" s="10"/>
      <c r="E119" s="109"/>
      <c r="F119" s="37"/>
      <c r="G119" s="110" t="s">
        <v>211</v>
      </c>
      <c r="H119" s="105">
        <f t="shared" ref="H119:S119" si="48">H19</f>
        <v>0</v>
      </c>
      <c r="I119" s="105">
        <f t="shared" si="48"/>
        <v>0</v>
      </c>
      <c r="J119" s="105">
        <f t="shared" si="48"/>
        <v>0</v>
      </c>
      <c r="K119" s="105">
        <f t="shared" si="48"/>
        <v>182.649</v>
      </c>
      <c r="L119" s="105">
        <f t="shared" si="48"/>
        <v>24.786000000000001</v>
      </c>
      <c r="M119" s="105">
        <f t="shared" si="48"/>
        <v>30</v>
      </c>
      <c r="N119" s="105">
        <f t="shared" si="48"/>
        <v>36</v>
      </c>
      <c r="O119" s="105">
        <f t="shared" si="48"/>
        <v>52</v>
      </c>
      <c r="P119" s="105">
        <f t="shared" si="48"/>
        <v>41</v>
      </c>
      <c r="Q119" s="105">
        <f t="shared" si="48"/>
        <v>41</v>
      </c>
      <c r="R119" s="105">
        <f t="shared" si="48"/>
        <v>41</v>
      </c>
      <c r="S119" s="105">
        <f t="shared" si="48"/>
        <v>41</v>
      </c>
    </row>
    <row r="120" spans="1:20" s="4" customFormat="1" x14ac:dyDescent="0.2">
      <c r="A120" s="8" t="s">
        <v>429</v>
      </c>
      <c r="B120" s="2" t="s">
        <v>203</v>
      </c>
      <c r="C120" s="8" t="s">
        <v>430</v>
      </c>
      <c r="D120" s="10"/>
      <c r="E120" s="109"/>
      <c r="F120" s="37"/>
      <c r="G120" s="110" t="s">
        <v>212</v>
      </c>
      <c r="H120" s="105">
        <f t="shared" ref="H120:S120" si="49">H119-H118</f>
        <v>0</v>
      </c>
      <c r="I120" s="77">
        <f t="shared" si="49"/>
        <v>0</v>
      </c>
      <c r="J120" s="77">
        <f t="shared" si="49"/>
        <v>0</v>
      </c>
      <c r="K120" s="77">
        <f t="shared" si="49"/>
        <v>-67.97399999999999</v>
      </c>
      <c r="L120" s="77">
        <f t="shared" si="49"/>
        <v>-220.59799999999998</v>
      </c>
      <c r="M120" s="77">
        <f>M119-M118</f>
        <v>-230</v>
      </c>
      <c r="N120" s="77">
        <f t="shared" si="49"/>
        <v>-124</v>
      </c>
      <c r="O120" s="77">
        <f t="shared" si="49"/>
        <v>-195</v>
      </c>
      <c r="P120" s="77">
        <f t="shared" si="49"/>
        <v>-251</v>
      </c>
      <c r="Q120" s="77">
        <f t="shared" si="49"/>
        <v>-302</v>
      </c>
      <c r="R120" s="77">
        <f t="shared" si="49"/>
        <v>-357</v>
      </c>
      <c r="S120" s="77">
        <f t="shared" si="49"/>
        <v>-411</v>
      </c>
    </row>
    <row r="121" spans="1:20" s="4" customFormat="1" x14ac:dyDescent="0.2">
      <c r="A121" s="34" t="s">
        <v>431</v>
      </c>
      <c r="B121" s="2" t="s">
        <v>207</v>
      </c>
      <c r="C121" s="8" t="s">
        <v>432</v>
      </c>
      <c r="D121" s="10"/>
      <c r="E121" s="106">
        <v>0.4</v>
      </c>
      <c r="F121" s="114" t="s">
        <v>433</v>
      </c>
      <c r="G121" s="46" t="s">
        <v>213</v>
      </c>
      <c r="H121" s="115" t="e">
        <f t="shared" ref="H121:S121" si="50">H120/H33</f>
        <v>#DIV/0!</v>
      </c>
      <c r="I121" s="108" t="e">
        <f t="shared" si="50"/>
        <v>#DIV/0!</v>
      </c>
      <c r="J121" s="108" t="e">
        <f t="shared" si="50"/>
        <v>#DIV/0!</v>
      </c>
      <c r="K121" s="108">
        <f t="shared" si="50"/>
        <v>-0.10547729663802172</v>
      </c>
      <c r="L121" s="108">
        <f t="shared" si="50"/>
        <v>-0.20081638152181233</v>
      </c>
      <c r="M121" s="108">
        <f t="shared" si="50"/>
        <v>-0.2393793621684856</v>
      </c>
      <c r="N121" s="108">
        <f t="shared" si="50"/>
        <v>-0.13219616204690832</v>
      </c>
      <c r="O121" s="108">
        <f t="shared" si="50"/>
        <v>-0.20766065480196627</v>
      </c>
      <c r="P121" s="108">
        <f t="shared" si="50"/>
        <v>-0.26617179215270415</v>
      </c>
      <c r="Q121" s="108">
        <f t="shared" si="50"/>
        <v>-0.31789473684210529</v>
      </c>
      <c r="R121" s="108">
        <f t="shared" si="50"/>
        <v>-0.37460650577124871</v>
      </c>
      <c r="S121" s="108">
        <f t="shared" si="50"/>
        <v>-0.43217665615141954</v>
      </c>
    </row>
    <row r="122" spans="1:20" s="4" customFormat="1" x14ac:dyDescent="0.2">
      <c r="A122" s="8" t="s">
        <v>434</v>
      </c>
      <c r="B122" s="2" t="s">
        <v>210</v>
      </c>
      <c r="C122" s="8" t="s">
        <v>435</v>
      </c>
      <c r="D122" s="116">
        <v>0</v>
      </c>
      <c r="E122" s="116">
        <v>5</v>
      </c>
      <c r="F122" s="37"/>
      <c r="G122" s="100" t="s">
        <v>215</v>
      </c>
      <c r="H122" s="111">
        <f t="shared" ref="H122:S122" si="51">H120/H110</f>
        <v>0</v>
      </c>
      <c r="I122" s="111">
        <f t="shared" si="51"/>
        <v>0</v>
      </c>
      <c r="J122" s="111">
        <f t="shared" si="51"/>
        <v>0</v>
      </c>
      <c r="K122" s="111">
        <f t="shared" si="51"/>
        <v>-0.60380006573278711</v>
      </c>
      <c r="L122" s="111">
        <f t="shared" si="51"/>
        <v>-0.80428616221497884</v>
      </c>
      <c r="M122" s="111">
        <f>M120/M110</f>
        <v>-3.2864654778235076</v>
      </c>
      <c r="N122" s="111">
        <f t="shared" si="51"/>
        <v>-4.5925925925925926</v>
      </c>
      <c r="O122" s="111">
        <f t="shared" si="51"/>
        <v>-4.9153055051421628</v>
      </c>
      <c r="P122" s="111">
        <f t="shared" si="51"/>
        <v>-6.1011181332036966</v>
      </c>
      <c r="Q122" s="111">
        <f t="shared" si="51"/>
        <v>-5.7932092844811054</v>
      </c>
      <c r="R122" s="111">
        <f t="shared" si="51"/>
        <v>-6.4756031198984223</v>
      </c>
      <c r="S122" s="111">
        <f t="shared" si="51"/>
        <v>-7.5928320709403296</v>
      </c>
    </row>
    <row r="123" spans="1:20" s="4" customFormat="1" x14ac:dyDescent="0.2">
      <c r="A123" s="8" t="s">
        <v>436</v>
      </c>
      <c r="B123" s="2" t="s">
        <v>437</v>
      </c>
      <c r="C123" s="8" t="s">
        <v>217</v>
      </c>
      <c r="D123" s="10"/>
      <c r="E123" s="109"/>
      <c r="F123" s="37"/>
      <c r="G123" s="110" t="s">
        <v>218</v>
      </c>
      <c r="H123" s="105">
        <f t="shared" ref="H123:S123" si="52">-(H75+H77+H78+H79+H80+H81)</f>
        <v>0</v>
      </c>
      <c r="I123" s="105">
        <f t="shared" si="52"/>
        <v>0</v>
      </c>
      <c r="J123" s="105">
        <f t="shared" si="52"/>
        <v>0</v>
      </c>
      <c r="K123" s="105">
        <f t="shared" si="52"/>
        <v>0</v>
      </c>
      <c r="L123" s="105">
        <f t="shared" si="52"/>
        <v>0</v>
      </c>
      <c r="M123" s="105">
        <f t="shared" si="52"/>
        <v>0</v>
      </c>
      <c r="N123" s="105">
        <f t="shared" si="52"/>
        <v>0</v>
      </c>
      <c r="O123" s="105">
        <f t="shared" si="52"/>
        <v>0</v>
      </c>
      <c r="P123" s="105">
        <f t="shared" si="52"/>
        <v>0</v>
      </c>
      <c r="Q123" s="105">
        <f t="shared" si="52"/>
        <v>0</v>
      </c>
      <c r="R123" s="105">
        <f t="shared" si="52"/>
        <v>0</v>
      </c>
      <c r="S123" s="105">
        <f t="shared" si="52"/>
        <v>0</v>
      </c>
    </row>
    <row r="124" spans="1:20" s="4" customFormat="1" x14ac:dyDescent="0.2">
      <c r="A124" s="8" t="s">
        <v>438</v>
      </c>
      <c r="B124" s="2" t="s">
        <v>439</v>
      </c>
      <c r="C124" s="8" t="s">
        <v>440</v>
      </c>
      <c r="D124" s="10"/>
      <c r="E124" s="116">
        <v>1.2</v>
      </c>
      <c r="F124" s="114" t="s">
        <v>433</v>
      </c>
      <c r="G124" s="110" t="s">
        <v>220</v>
      </c>
      <c r="H124" s="117" t="e">
        <f t="shared" ref="H124:S124" si="53">H110/H123</f>
        <v>#DIV/0!</v>
      </c>
      <c r="I124" s="111" t="e">
        <f t="shared" si="53"/>
        <v>#DIV/0!</v>
      </c>
      <c r="J124" s="111" t="e">
        <f t="shared" si="53"/>
        <v>#DIV/0!</v>
      </c>
      <c r="K124" s="111" t="e">
        <f t="shared" si="53"/>
        <v>#DIV/0!</v>
      </c>
      <c r="L124" s="111" t="e">
        <f t="shared" si="53"/>
        <v>#DIV/0!</v>
      </c>
      <c r="M124" s="111" t="e">
        <f t="shared" si="53"/>
        <v>#DIV/0!</v>
      </c>
      <c r="N124" s="111" t="e">
        <f t="shared" si="53"/>
        <v>#DIV/0!</v>
      </c>
      <c r="O124" s="111" t="e">
        <f t="shared" si="53"/>
        <v>#DIV/0!</v>
      </c>
      <c r="P124" s="111" t="e">
        <f t="shared" si="53"/>
        <v>#DIV/0!</v>
      </c>
      <c r="Q124" s="111" t="e">
        <f t="shared" si="53"/>
        <v>#DIV/0!</v>
      </c>
      <c r="R124" s="111" t="e">
        <f t="shared" si="53"/>
        <v>#DIV/0!</v>
      </c>
      <c r="S124" s="111" t="e">
        <f t="shared" si="53"/>
        <v>#DIV/0!</v>
      </c>
    </row>
    <row r="125" spans="1:20" s="4" customFormat="1" x14ac:dyDescent="0.2">
      <c r="A125" s="38" t="s">
        <v>441</v>
      </c>
      <c r="B125" s="2" t="s">
        <v>442</v>
      </c>
      <c r="C125" s="8" t="s">
        <v>222</v>
      </c>
      <c r="D125" s="10"/>
      <c r="E125" s="116">
        <v>0</v>
      </c>
      <c r="F125" s="37"/>
      <c r="G125" s="103" t="s">
        <v>223</v>
      </c>
      <c r="H125" s="105">
        <f t="shared" ref="H125:S125" si="54">H5-H20</f>
        <v>0</v>
      </c>
      <c r="I125" s="105">
        <f t="shared" si="54"/>
        <v>0</v>
      </c>
      <c r="J125" s="105">
        <f t="shared" si="54"/>
        <v>0</v>
      </c>
      <c r="K125" s="105">
        <f t="shared" si="54"/>
        <v>83.327999999999975</v>
      </c>
      <c r="L125" s="105">
        <f t="shared" si="54"/>
        <v>273.99200000000002</v>
      </c>
      <c r="M125" s="105">
        <f t="shared" si="54"/>
        <v>300.45</v>
      </c>
      <c r="N125" s="105">
        <f t="shared" si="54"/>
        <v>240</v>
      </c>
      <c r="O125" s="105">
        <f t="shared" si="54"/>
        <v>296</v>
      </c>
      <c r="P125" s="105">
        <f t="shared" si="54"/>
        <v>326</v>
      </c>
      <c r="Q125" s="105">
        <f t="shared" si="54"/>
        <v>378</v>
      </c>
      <c r="R125" s="105">
        <f t="shared" si="54"/>
        <v>433</v>
      </c>
      <c r="S125" s="105">
        <f t="shared" si="54"/>
        <v>487</v>
      </c>
    </row>
    <row r="126" spans="1:20" s="4" customFormat="1" x14ac:dyDescent="0.2">
      <c r="A126" s="34" t="s">
        <v>443</v>
      </c>
      <c r="B126" s="2" t="s">
        <v>444</v>
      </c>
      <c r="C126" s="8" t="s">
        <v>225</v>
      </c>
      <c r="D126" s="10"/>
      <c r="E126" s="116">
        <v>1</v>
      </c>
      <c r="F126" s="114" t="s">
        <v>433</v>
      </c>
      <c r="G126" s="110" t="s">
        <v>226</v>
      </c>
      <c r="H126" s="117" t="e">
        <f t="shared" ref="H126:S126" si="55">H5/H20</f>
        <v>#DIV/0!</v>
      </c>
      <c r="I126" s="117" t="e">
        <f t="shared" si="55"/>
        <v>#DIV/0!</v>
      </c>
      <c r="J126" s="117" t="e">
        <f t="shared" si="55"/>
        <v>#DIV/0!</v>
      </c>
      <c r="K126" s="117">
        <f t="shared" si="55"/>
        <v>1.4562193058817732</v>
      </c>
      <c r="L126" s="117">
        <f t="shared" si="55"/>
        <v>12.054304849511821</v>
      </c>
      <c r="M126" s="117">
        <f t="shared" si="55"/>
        <v>11.167512690355331</v>
      </c>
      <c r="N126" s="117" t="e">
        <f t="shared" si="55"/>
        <v>#DIV/0!</v>
      </c>
      <c r="O126" s="117" t="e">
        <f t="shared" si="55"/>
        <v>#DIV/0!</v>
      </c>
      <c r="P126" s="117" t="e">
        <f t="shared" si="55"/>
        <v>#DIV/0!</v>
      </c>
      <c r="Q126" s="117" t="e">
        <f t="shared" si="55"/>
        <v>#DIV/0!</v>
      </c>
      <c r="R126" s="117" t="e">
        <f t="shared" si="55"/>
        <v>#DIV/0!</v>
      </c>
      <c r="S126" s="117" t="e">
        <f t="shared" si="55"/>
        <v>#DIV/0!</v>
      </c>
    </row>
    <row r="127" spans="1:20" s="4" customFormat="1" x14ac:dyDescent="0.2">
      <c r="A127" s="34" t="s">
        <v>445</v>
      </c>
      <c r="B127" s="2" t="s">
        <v>214</v>
      </c>
      <c r="C127" s="34" t="s">
        <v>228</v>
      </c>
      <c r="D127" s="10"/>
      <c r="E127" s="116">
        <v>1</v>
      </c>
      <c r="F127" s="37"/>
      <c r="G127" s="46" t="s">
        <v>229</v>
      </c>
      <c r="H127" s="117">
        <f t="shared" ref="H127:S127" si="56">-H6/((H38+H41-H45+H47)/12)</f>
        <v>0</v>
      </c>
      <c r="I127" s="117">
        <f t="shared" si="56"/>
        <v>0</v>
      </c>
      <c r="J127" s="117">
        <f t="shared" si="56"/>
        <v>0</v>
      </c>
      <c r="K127" s="117">
        <f t="shared" si="56"/>
        <v>5.6545852800992735</v>
      </c>
      <c r="L127" s="117">
        <f t="shared" si="56"/>
        <v>3.5769045756461146</v>
      </c>
      <c r="M127" s="117">
        <f t="shared" si="56"/>
        <v>3.5052044421725528</v>
      </c>
      <c r="N127" s="117">
        <f t="shared" si="56"/>
        <v>2.1075740944017562</v>
      </c>
      <c r="O127" s="117">
        <f t="shared" si="56"/>
        <v>3.295676925813912</v>
      </c>
      <c r="P127" s="117">
        <f t="shared" si="56"/>
        <v>3.8853037056749384</v>
      </c>
      <c r="Q127" s="117">
        <f t="shared" si="56"/>
        <v>4.5841825654047907</v>
      </c>
      <c r="R127" s="117">
        <f t="shared" si="56"/>
        <v>5.3192555715192622</v>
      </c>
      <c r="S127" s="117">
        <f t="shared" si="56"/>
        <v>6.0476992206228335</v>
      </c>
    </row>
    <row r="128" spans="1:20" s="4" customFormat="1" x14ac:dyDescent="0.2">
      <c r="A128" s="34"/>
      <c r="B128" s="2"/>
      <c r="C128" s="34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</row>
    <row r="129" spans="1:20" s="4" customFormat="1" x14ac:dyDescent="0.2">
      <c r="A129" s="8"/>
      <c r="B129" s="2"/>
      <c r="C129" s="8"/>
      <c r="D129" s="10"/>
      <c r="E129" s="9"/>
      <c r="F129" s="37"/>
      <c r="G129" s="94" t="s">
        <v>230</v>
      </c>
      <c r="H129" s="87">
        <f t="shared" ref="H129:S129" si="57">H117</f>
        <v>2011</v>
      </c>
      <c r="I129" s="87">
        <f t="shared" si="57"/>
        <v>2012</v>
      </c>
      <c r="J129" s="87">
        <f t="shared" si="57"/>
        <v>2013</v>
      </c>
      <c r="K129" s="87">
        <f t="shared" si="57"/>
        <v>2014</v>
      </c>
      <c r="L129" s="87">
        <f t="shared" si="57"/>
        <v>2015</v>
      </c>
      <c r="M129" s="87">
        <f t="shared" si="57"/>
        <v>2016</v>
      </c>
      <c r="N129" s="87">
        <f t="shared" si="57"/>
        <v>2017</v>
      </c>
      <c r="O129" s="87">
        <f t="shared" si="57"/>
        <v>2018</v>
      </c>
      <c r="P129" s="87">
        <f t="shared" si="57"/>
        <v>2019</v>
      </c>
      <c r="Q129" s="87">
        <f t="shared" si="57"/>
        <v>2020</v>
      </c>
      <c r="R129" s="87">
        <f t="shared" si="57"/>
        <v>2021</v>
      </c>
      <c r="S129" s="87">
        <f t="shared" si="57"/>
        <v>2022</v>
      </c>
    </row>
    <row r="130" spans="1:20" s="4" customFormat="1" x14ac:dyDescent="0.2">
      <c r="A130" s="34" t="s">
        <v>446</v>
      </c>
      <c r="B130" s="2" t="s">
        <v>216</v>
      </c>
      <c r="C130" s="34" t="s">
        <v>232</v>
      </c>
      <c r="D130" s="10"/>
      <c r="E130" s="106">
        <v>0.6</v>
      </c>
      <c r="F130" s="37"/>
      <c r="G130" s="103" t="s">
        <v>233</v>
      </c>
      <c r="H130" s="115" t="e">
        <f t="shared" ref="H130:S130" si="58">H17/H4</f>
        <v>#DIV/0!</v>
      </c>
      <c r="I130" s="115" t="e">
        <f t="shared" si="58"/>
        <v>#DIV/0!</v>
      </c>
      <c r="J130" s="115">
        <f t="shared" si="58"/>
        <v>0</v>
      </c>
      <c r="K130" s="115">
        <f t="shared" si="58"/>
        <v>0</v>
      </c>
      <c r="L130" s="115">
        <f t="shared" si="58"/>
        <v>0</v>
      </c>
      <c r="M130" s="115">
        <f t="shared" si="58"/>
        <v>0</v>
      </c>
      <c r="N130" s="115">
        <f t="shared" si="58"/>
        <v>0</v>
      </c>
      <c r="O130" s="115">
        <f t="shared" si="58"/>
        <v>0</v>
      </c>
      <c r="P130" s="115">
        <f t="shared" si="58"/>
        <v>0</v>
      </c>
      <c r="Q130" s="115">
        <f t="shared" si="58"/>
        <v>0</v>
      </c>
      <c r="R130" s="115">
        <f t="shared" si="58"/>
        <v>0</v>
      </c>
      <c r="S130" s="115">
        <f t="shared" si="58"/>
        <v>0</v>
      </c>
    </row>
    <row r="131" spans="1:20" s="4" customFormat="1" x14ac:dyDescent="0.2">
      <c r="A131" s="34" t="s">
        <v>447</v>
      </c>
      <c r="B131" s="2" t="s">
        <v>219</v>
      </c>
      <c r="C131" s="34" t="s">
        <v>235</v>
      </c>
      <c r="D131" s="10"/>
      <c r="E131" s="106">
        <v>0.4</v>
      </c>
      <c r="F131" s="37"/>
      <c r="G131" s="46" t="s">
        <v>236</v>
      </c>
      <c r="H131" s="115" t="e">
        <f t="shared" ref="H131:S131" si="59">H27/H17</f>
        <v>#DIV/0!</v>
      </c>
      <c r="I131" s="115" t="e">
        <f t="shared" si="59"/>
        <v>#DIV/0!</v>
      </c>
      <c r="J131" s="115" t="e">
        <f t="shared" si="59"/>
        <v>#DIV/0!</v>
      </c>
      <c r="K131" s="115" t="e">
        <f t="shared" si="59"/>
        <v>#DIV/0!</v>
      </c>
      <c r="L131" s="115" t="e">
        <f t="shared" si="59"/>
        <v>#DIV/0!</v>
      </c>
      <c r="M131" s="115" t="e">
        <f t="shared" si="59"/>
        <v>#DIV/0!</v>
      </c>
      <c r="N131" s="115" t="e">
        <f t="shared" si="59"/>
        <v>#DIV/0!</v>
      </c>
      <c r="O131" s="115" t="e">
        <f t="shared" si="59"/>
        <v>#DIV/0!</v>
      </c>
      <c r="P131" s="115" t="e">
        <f t="shared" si="59"/>
        <v>#DIV/0!</v>
      </c>
      <c r="Q131" s="115" t="e">
        <f t="shared" si="59"/>
        <v>#DIV/0!</v>
      </c>
      <c r="R131" s="115" t="e">
        <f t="shared" si="59"/>
        <v>#DIV/0!</v>
      </c>
      <c r="S131" s="115" t="e">
        <f t="shared" si="59"/>
        <v>#DIV/0!</v>
      </c>
    </row>
    <row r="132" spans="1:20" s="4" customFormat="1" x14ac:dyDescent="0.2">
      <c r="A132" s="34"/>
      <c r="B132" s="2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</row>
    <row r="133" spans="1:20" s="4" customFormat="1" x14ac:dyDescent="0.2">
      <c r="A133" s="8"/>
      <c r="B133" s="2"/>
      <c r="C133" s="8"/>
      <c r="D133" s="10"/>
      <c r="E133" s="9"/>
      <c r="F133" s="37"/>
      <c r="G133" s="94" t="s">
        <v>237</v>
      </c>
      <c r="H133" s="87">
        <f t="shared" ref="H133:S133" si="60">H117</f>
        <v>2011</v>
      </c>
      <c r="I133" s="87">
        <f t="shared" si="60"/>
        <v>2012</v>
      </c>
      <c r="J133" s="87">
        <f t="shared" si="60"/>
        <v>2013</v>
      </c>
      <c r="K133" s="87">
        <f t="shared" si="60"/>
        <v>2014</v>
      </c>
      <c r="L133" s="87">
        <f t="shared" si="60"/>
        <v>2015</v>
      </c>
      <c r="M133" s="87">
        <f t="shared" si="60"/>
        <v>2016</v>
      </c>
      <c r="N133" s="87">
        <f t="shared" si="60"/>
        <v>2017</v>
      </c>
      <c r="O133" s="87">
        <f t="shared" si="60"/>
        <v>2018</v>
      </c>
      <c r="P133" s="87">
        <f t="shared" si="60"/>
        <v>2019</v>
      </c>
      <c r="Q133" s="87">
        <f t="shared" si="60"/>
        <v>2020</v>
      </c>
      <c r="R133" s="87">
        <f t="shared" si="60"/>
        <v>2021</v>
      </c>
      <c r="S133" s="87">
        <f t="shared" si="60"/>
        <v>2022</v>
      </c>
    </row>
    <row r="134" spans="1:20" s="4" customFormat="1" x14ac:dyDescent="0.2">
      <c r="A134" s="34" t="s">
        <v>448</v>
      </c>
      <c r="B134" s="2" t="s">
        <v>221</v>
      </c>
      <c r="C134" s="39" t="s">
        <v>239</v>
      </c>
      <c r="D134" s="10"/>
      <c r="E134" s="109"/>
      <c r="F134" s="37"/>
      <c r="G134" s="110" t="s">
        <v>240</v>
      </c>
      <c r="H134" s="118" t="e">
        <f t="shared" ref="H134:S134" si="61">H10/H4</f>
        <v>#DIV/0!</v>
      </c>
      <c r="I134" s="118" t="e">
        <f t="shared" si="61"/>
        <v>#DIV/0!</v>
      </c>
      <c r="J134" s="118">
        <f t="shared" si="61"/>
        <v>1</v>
      </c>
      <c r="K134" s="118">
        <f t="shared" si="61"/>
        <v>0.62431406669990697</v>
      </c>
      <c r="L134" s="118">
        <f t="shared" si="61"/>
        <v>0.62121408051441596</v>
      </c>
      <c r="M134" s="118">
        <f t="shared" si="61"/>
        <v>0.60240963855421692</v>
      </c>
      <c r="N134" s="118">
        <f t="shared" si="61"/>
        <v>0.6992481203007519</v>
      </c>
      <c r="O134" s="118">
        <f t="shared" si="61"/>
        <v>0.63902439024390245</v>
      </c>
      <c r="P134" s="118">
        <f t="shared" si="61"/>
        <v>0.60049019607843135</v>
      </c>
      <c r="Q134" s="118">
        <f t="shared" si="61"/>
        <v>0.5467625899280576</v>
      </c>
      <c r="R134" s="118">
        <f t="shared" si="61"/>
        <v>0.49356725146198832</v>
      </c>
      <c r="S134" s="118">
        <f t="shared" si="61"/>
        <v>0.44342857142857145</v>
      </c>
    </row>
    <row r="135" spans="1:20" s="4" customFormat="1" x14ac:dyDescent="0.2">
      <c r="A135" s="34" t="s">
        <v>449</v>
      </c>
      <c r="B135" s="2" t="s">
        <v>224</v>
      </c>
      <c r="C135" s="39" t="s">
        <v>242</v>
      </c>
      <c r="D135" s="10"/>
      <c r="E135" s="109"/>
      <c r="F135" s="37"/>
      <c r="G135" s="110" t="s">
        <v>243</v>
      </c>
      <c r="H135" s="118" t="e">
        <f t="shared" ref="H135:S135" si="62">-(H58)/H15</f>
        <v>#DIV/0!</v>
      </c>
      <c r="I135" s="118" t="e">
        <f t="shared" si="62"/>
        <v>#DIV/0!</v>
      </c>
      <c r="J135" s="118">
        <f t="shared" si="62"/>
        <v>0</v>
      </c>
      <c r="K135" s="118">
        <f t="shared" si="62"/>
        <v>0.12745927601809956</v>
      </c>
      <c r="L135" s="118">
        <f t="shared" si="62"/>
        <v>0.17252857142857142</v>
      </c>
      <c r="M135" s="118">
        <f t="shared" si="62"/>
        <v>8.9599999999999999E-2</v>
      </c>
      <c r="N135" s="118">
        <f t="shared" si="62"/>
        <v>0.22043010752688172</v>
      </c>
      <c r="O135" s="118">
        <f t="shared" si="62"/>
        <v>0</v>
      </c>
      <c r="P135" s="118">
        <f t="shared" si="62"/>
        <v>0</v>
      </c>
      <c r="Q135" s="118">
        <f t="shared" si="62"/>
        <v>0</v>
      </c>
      <c r="R135" s="118">
        <f t="shared" si="62"/>
        <v>0</v>
      </c>
      <c r="S135" s="118">
        <f t="shared" si="62"/>
        <v>0</v>
      </c>
    </row>
    <row r="136" spans="1:20" s="4" customFormat="1" x14ac:dyDescent="0.2">
      <c r="A136" s="34" t="s">
        <v>450</v>
      </c>
      <c r="B136" s="2" t="s">
        <v>227</v>
      </c>
      <c r="C136" s="8" t="s">
        <v>245</v>
      </c>
      <c r="D136" s="10"/>
      <c r="E136" s="109"/>
      <c r="F136" s="37"/>
      <c r="G136" s="103" t="s">
        <v>246</v>
      </c>
      <c r="H136" s="111" t="e">
        <f t="shared" ref="H136:S136" si="63">H33/H4</f>
        <v>#DIV/0!</v>
      </c>
      <c r="I136" s="111" t="e">
        <f t="shared" si="63"/>
        <v>#DIV/0!</v>
      </c>
      <c r="J136" s="111">
        <f t="shared" si="63"/>
        <v>0</v>
      </c>
      <c r="K136" s="111">
        <f t="shared" si="63"/>
        <v>0.91025838410004845</v>
      </c>
      <c r="L136" s="111">
        <f t="shared" si="63"/>
        <v>1.3926681525093245</v>
      </c>
      <c r="M136" s="111">
        <f t="shared" si="63"/>
        <v>1.157612048192771</v>
      </c>
      <c r="N136" s="111">
        <f t="shared" si="63"/>
        <v>1.1754385964912282</v>
      </c>
      <c r="O136" s="111">
        <f t="shared" si="63"/>
        <v>1.145160975609756</v>
      </c>
      <c r="P136" s="111">
        <f t="shared" si="63"/>
        <v>1.1556372549019607</v>
      </c>
      <c r="Q136" s="111">
        <f t="shared" si="63"/>
        <v>1.1390887290167866</v>
      </c>
      <c r="R136" s="111">
        <f t="shared" si="63"/>
        <v>1.1146198830409357</v>
      </c>
      <c r="S136" s="111">
        <f t="shared" si="63"/>
        <v>1.086857142857143</v>
      </c>
    </row>
    <row r="137" spans="1:20" s="4" customFormat="1" x14ac:dyDescent="0.2">
      <c r="A137" s="34" t="s">
        <v>451</v>
      </c>
      <c r="B137" s="2" t="s">
        <v>231</v>
      </c>
      <c r="C137" s="39" t="s">
        <v>248</v>
      </c>
      <c r="D137" s="10"/>
      <c r="E137" s="109"/>
      <c r="F137" s="37"/>
      <c r="G137" s="46" t="s">
        <v>249</v>
      </c>
      <c r="H137" s="111" t="e">
        <f t="shared" ref="H137:S137" si="64">H33/H15</f>
        <v>#DIV/0!</v>
      </c>
      <c r="I137" s="111" t="e">
        <f t="shared" si="64"/>
        <v>#DIV/0!</v>
      </c>
      <c r="J137" s="111">
        <f t="shared" si="64"/>
        <v>0</v>
      </c>
      <c r="K137" s="111">
        <f t="shared" si="64"/>
        <v>1.4580135746606335</v>
      </c>
      <c r="L137" s="111">
        <f t="shared" si="64"/>
        <v>2.241848979591837</v>
      </c>
      <c r="M137" s="111">
        <f t="shared" si="64"/>
        <v>1.9216359999999999</v>
      </c>
      <c r="N137" s="111">
        <f t="shared" si="64"/>
        <v>1.6810035842293907</v>
      </c>
      <c r="O137" s="111">
        <f t="shared" si="64"/>
        <v>1.7920458015267176</v>
      </c>
      <c r="P137" s="111">
        <f t="shared" si="64"/>
        <v>1.9244897959183673</v>
      </c>
      <c r="Q137" s="111">
        <f t="shared" si="64"/>
        <v>2.0833333333333335</v>
      </c>
      <c r="R137" s="111">
        <f t="shared" si="64"/>
        <v>2.2582938388625591</v>
      </c>
      <c r="S137" s="111">
        <f t="shared" si="64"/>
        <v>2.4510309278350517</v>
      </c>
    </row>
    <row r="138" spans="1:20" s="4" customFormat="1" x14ac:dyDescent="0.2">
      <c r="A138" s="8" t="s">
        <v>452</v>
      </c>
      <c r="B138" s="2" t="s">
        <v>234</v>
      </c>
      <c r="C138" s="39" t="s">
        <v>251</v>
      </c>
      <c r="D138" s="106">
        <v>0.5</v>
      </c>
      <c r="E138" s="106">
        <f>1/3</f>
        <v>0.33333333333333331</v>
      </c>
      <c r="F138" s="114" t="s">
        <v>433</v>
      </c>
      <c r="G138" s="100" t="s">
        <v>252</v>
      </c>
      <c r="H138" s="118" t="e">
        <f t="shared" ref="H138:S138" si="65">H27/H4</f>
        <v>#DIV/0!</v>
      </c>
      <c r="I138" s="118" t="e">
        <f t="shared" si="65"/>
        <v>#DIV/0!</v>
      </c>
      <c r="J138" s="118">
        <f t="shared" si="65"/>
        <v>1</v>
      </c>
      <c r="K138" s="118">
        <f t="shared" si="65"/>
        <v>0.7423532120393741</v>
      </c>
      <c r="L138" s="118">
        <f t="shared" si="65"/>
        <v>0.96797197690604952</v>
      </c>
      <c r="M138" s="118">
        <f t="shared" si="65"/>
        <v>0.96413734939759044</v>
      </c>
      <c r="N138" s="118">
        <f t="shared" si="65"/>
        <v>0.95488721804511278</v>
      </c>
      <c r="O138" s="118">
        <f t="shared" si="65"/>
        <v>0.93618536585365852</v>
      </c>
      <c r="P138" s="118">
        <f t="shared" si="65"/>
        <v>0.94952450980392156</v>
      </c>
      <c r="Q138" s="118">
        <f t="shared" si="65"/>
        <v>0.95076978417266189</v>
      </c>
      <c r="R138" s="118">
        <f t="shared" si="65"/>
        <v>0.95213099415204683</v>
      </c>
      <c r="S138" s="118">
        <f t="shared" si="65"/>
        <v>0.95337371428571427</v>
      </c>
    </row>
    <row r="139" spans="1:20" s="4" customFormat="1" x14ac:dyDescent="0.2">
      <c r="A139" s="8"/>
      <c r="B139" s="2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</row>
    <row r="140" spans="1:20" s="4" customFormat="1" x14ac:dyDescent="0.2">
      <c r="A140" s="40"/>
      <c r="B140" s="2"/>
      <c r="C140" s="2"/>
      <c r="D140" s="41"/>
      <c r="E140" s="42"/>
      <c r="F140" s="37"/>
      <c r="G140" s="94" t="s">
        <v>253</v>
      </c>
      <c r="H140" s="87">
        <f t="shared" ref="H140:S140" si="66">H133</f>
        <v>2011</v>
      </c>
      <c r="I140" s="87">
        <f t="shared" si="66"/>
        <v>2012</v>
      </c>
      <c r="J140" s="87">
        <f t="shared" si="66"/>
        <v>2013</v>
      </c>
      <c r="K140" s="87">
        <f t="shared" si="66"/>
        <v>2014</v>
      </c>
      <c r="L140" s="87">
        <f t="shared" si="66"/>
        <v>2015</v>
      </c>
      <c r="M140" s="87">
        <f t="shared" si="66"/>
        <v>2016</v>
      </c>
      <c r="N140" s="87">
        <f t="shared" si="66"/>
        <v>2017</v>
      </c>
      <c r="O140" s="87">
        <f t="shared" si="66"/>
        <v>2018</v>
      </c>
      <c r="P140" s="87">
        <f t="shared" si="66"/>
        <v>2019</v>
      </c>
      <c r="Q140" s="87">
        <f t="shared" si="66"/>
        <v>2020</v>
      </c>
      <c r="R140" s="87">
        <f t="shared" si="66"/>
        <v>2021</v>
      </c>
      <c r="S140" s="87">
        <f t="shared" si="66"/>
        <v>2022</v>
      </c>
    </row>
    <row r="141" spans="1:20" s="4" customFormat="1" x14ac:dyDescent="0.2">
      <c r="A141" s="8" t="s">
        <v>453</v>
      </c>
      <c r="B141" s="2" t="s">
        <v>238</v>
      </c>
      <c r="C141" s="8" t="s">
        <v>255</v>
      </c>
      <c r="D141" s="43"/>
      <c r="E141" s="106">
        <v>0.05</v>
      </c>
      <c r="F141" s="8"/>
      <c r="G141" s="103" t="s">
        <v>256</v>
      </c>
      <c r="H141" s="108" t="e">
        <f t="shared" ref="H141:S141" si="67">H35/H33</f>
        <v>#DIV/0!</v>
      </c>
      <c r="I141" s="108" t="e">
        <f t="shared" si="67"/>
        <v>#DIV/0!</v>
      </c>
      <c r="J141" s="108" t="e">
        <f t="shared" si="67"/>
        <v>#DIV/0!</v>
      </c>
      <c r="K141" s="108">
        <f t="shared" si="67"/>
        <v>0.11778251572678379</v>
      </c>
      <c r="L141" s="108">
        <f t="shared" si="67"/>
        <v>0.13813397468925978</v>
      </c>
      <c r="M141" s="108">
        <f t="shared" si="67"/>
        <v>0.16853243798513351</v>
      </c>
      <c r="N141" s="108">
        <f t="shared" si="67"/>
        <v>0.20149253731343283</v>
      </c>
      <c r="O141" s="108">
        <f t="shared" si="67"/>
        <v>0.21618006628102129</v>
      </c>
      <c r="P141" s="108">
        <f t="shared" si="67"/>
        <v>0.19724284199363734</v>
      </c>
      <c r="Q141" s="108">
        <f t="shared" si="67"/>
        <v>0.19894736842105262</v>
      </c>
      <c r="R141" s="108">
        <f t="shared" si="67"/>
        <v>0.20146904512067157</v>
      </c>
      <c r="S141" s="108">
        <f t="shared" si="67"/>
        <v>0.19978969505783387</v>
      </c>
    </row>
    <row r="142" spans="1:20" s="4" customFormat="1" x14ac:dyDescent="0.2">
      <c r="A142" s="8" t="s">
        <v>454</v>
      </c>
      <c r="B142" s="2" t="s">
        <v>241</v>
      </c>
      <c r="C142" s="8" t="s">
        <v>258</v>
      </c>
      <c r="D142" s="10"/>
      <c r="E142" s="106">
        <v>0.95</v>
      </c>
      <c r="F142" s="8"/>
      <c r="G142" s="110" t="s">
        <v>259</v>
      </c>
      <c r="H142" s="118" t="e">
        <f t="shared" ref="H142:S142" si="68">(H36+H34)/H33</f>
        <v>#DIV/0!</v>
      </c>
      <c r="I142" s="118" t="e">
        <f t="shared" si="68"/>
        <v>#DIV/0!</v>
      </c>
      <c r="J142" s="118" t="e">
        <f t="shared" si="68"/>
        <v>#DIV/0!</v>
      </c>
      <c r="K142" s="118">
        <f t="shared" si="68"/>
        <v>0.88221748427321622</v>
      </c>
      <c r="L142" s="118">
        <f t="shared" si="68"/>
        <v>0.86186602531074019</v>
      </c>
      <c r="M142" s="118">
        <f t="shared" si="68"/>
        <v>0.83146756201486649</v>
      </c>
      <c r="N142" s="118">
        <f t="shared" si="68"/>
        <v>0.79850746268656714</v>
      </c>
      <c r="O142" s="118">
        <f t="shared" si="68"/>
        <v>0.78381993371897873</v>
      </c>
      <c r="P142" s="118">
        <f t="shared" si="68"/>
        <v>0.80275715800636271</v>
      </c>
      <c r="Q142" s="118">
        <f t="shared" si="68"/>
        <v>0.80105263157894735</v>
      </c>
      <c r="R142" s="118">
        <f t="shared" si="68"/>
        <v>0.79853095487932846</v>
      </c>
      <c r="S142" s="118">
        <f t="shared" si="68"/>
        <v>0.80021030494216616</v>
      </c>
    </row>
    <row r="143" spans="1:20" s="4" customFormat="1" x14ac:dyDescent="0.2">
      <c r="A143" s="8" t="s">
        <v>455</v>
      </c>
      <c r="B143" s="2" t="s">
        <v>244</v>
      </c>
      <c r="C143" s="8" t="s">
        <v>261</v>
      </c>
      <c r="D143" s="10"/>
      <c r="E143" s="106">
        <v>0.95</v>
      </c>
      <c r="F143" s="8"/>
      <c r="G143" s="46" t="s">
        <v>262</v>
      </c>
      <c r="H143" s="108">
        <f t="shared" ref="H143:S143" si="69">H38/(H38+H41)</f>
        <v>1</v>
      </c>
      <c r="I143" s="108">
        <f t="shared" si="69"/>
        <v>1</v>
      </c>
      <c r="J143" s="108">
        <f t="shared" si="69"/>
        <v>1</v>
      </c>
      <c r="K143" s="108">
        <f t="shared" si="69"/>
        <v>3.5318217136398955E-3</v>
      </c>
      <c r="L143" s="108">
        <f t="shared" si="69"/>
        <v>2.3215753281546725E-3</v>
      </c>
      <c r="M143" s="108">
        <f t="shared" si="69"/>
        <v>6.7580133819477781E-4</v>
      </c>
      <c r="N143" s="108">
        <f t="shared" si="69"/>
        <v>0</v>
      </c>
      <c r="O143" s="108">
        <f t="shared" si="69"/>
        <v>0</v>
      </c>
      <c r="P143" s="108">
        <f t="shared" si="69"/>
        <v>0</v>
      </c>
      <c r="Q143" s="108">
        <f t="shared" si="69"/>
        <v>0</v>
      </c>
      <c r="R143" s="108">
        <f t="shared" si="69"/>
        <v>0</v>
      </c>
      <c r="S143" s="108">
        <f t="shared" si="69"/>
        <v>0</v>
      </c>
    </row>
    <row r="144" spans="1:20" s="4" customFormat="1" x14ac:dyDescent="0.2">
      <c r="A144" s="8"/>
      <c r="B144" s="2"/>
      <c r="C144" s="8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</row>
    <row r="145" spans="1:19" s="4" customFormat="1" x14ac:dyDescent="0.2">
      <c r="A145" s="40"/>
      <c r="B145" s="2"/>
      <c r="C145" s="119"/>
      <c r="D145" s="41"/>
      <c r="E145" s="42"/>
      <c r="F145" s="37"/>
      <c r="G145" s="94"/>
      <c r="H145" s="87">
        <f>H140</f>
        <v>2011</v>
      </c>
      <c r="I145" s="87">
        <f t="shared" ref="I145:S145" si="70">I140</f>
        <v>2012</v>
      </c>
      <c r="J145" s="87">
        <f t="shared" si="70"/>
        <v>2013</v>
      </c>
      <c r="K145" s="87">
        <f t="shared" si="70"/>
        <v>2014</v>
      </c>
      <c r="L145" s="87">
        <f t="shared" si="70"/>
        <v>2015</v>
      </c>
      <c r="M145" s="87">
        <f t="shared" si="70"/>
        <v>2016</v>
      </c>
      <c r="N145" s="87">
        <f t="shared" si="70"/>
        <v>2017</v>
      </c>
      <c r="O145" s="87">
        <f t="shared" si="70"/>
        <v>2018</v>
      </c>
      <c r="P145" s="87">
        <f t="shared" si="70"/>
        <v>2019</v>
      </c>
      <c r="Q145" s="87">
        <f t="shared" si="70"/>
        <v>2020</v>
      </c>
      <c r="R145" s="87">
        <f t="shared" si="70"/>
        <v>2021</v>
      </c>
      <c r="S145" s="87">
        <f t="shared" si="70"/>
        <v>2022</v>
      </c>
    </row>
    <row r="146" spans="1:19" s="4" customFormat="1" x14ac:dyDescent="0.2">
      <c r="A146" s="4" t="s">
        <v>456</v>
      </c>
      <c r="B146" s="2" t="s">
        <v>247</v>
      </c>
      <c r="C146" s="8" t="s">
        <v>264</v>
      </c>
      <c r="D146" s="120">
        <v>0.5</v>
      </c>
      <c r="E146" s="121" t="s">
        <v>265</v>
      </c>
      <c r="G146" s="103" t="s">
        <v>266</v>
      </c>
      <c r="H146" s="111" t="e">
        <f t="shared" ref="H146:S146" si="71">IF(H141&lt;$D$146,$E$146,H35/H4)</f>
        <v>#DIV/0!</v>
      </c>
      <c r="I146" s="111" t="e">
        <f t="shared" si="71"/>
        <v>#DIV/0!</v>
      </c>
      <c r="J146" s="111" t="e">
        <f t="shared" si="71"/>
        <v>#DIV/0!</v>
      </c>
      <c r="K146" s="111" t="str">
        <f t="shared" si="71"/>
        <v>N/A</v>
      </c>
      <c r="L146" s="111" t="str">
        <f t="shared" si="71"/>
        <v>N/A</v>
      </c>
      <c r="M146" s="111" t="str">
        <f t="shared" si="71"/>
        <v>N/A</v>
      </c>
      <c r="N146" s="111" t="str">
        <f t="shared" si="71"/>
        <v>N/A</v>
      </c>
      <c r="O146" s="111" t="str">
        <f t="shared" si="71"/>
        <v>N/A</v>
      </c>
      <c r="P146" s="111" t="str">
        <f t="shared" si="71"/>
        <v>N/A</v>
      </c>
      <c r="Q146" s="111" t="str">
        <f t="shared" si="71"/>
        <v>N/A</v>
      </c>
      <c r="R146" s="111" t="str">
        <f t="shared" si="71"/>
        <v>N/A</v>
      </c>
      <c r="S146" s="111" t="str">
        <f t="shared" si="71"/>
        <v>N/A</v>
      </c>
    </row>
    <row r="147" spans="1:19" s="4" customFormat="1" x14ac:dyDescent="0.2">
      <c r="A147" s="4" t="s">
        <v>457</v>
      </c>
      <c r="B147" s="2" t="s">
        <v>250</v>
      </c>
      <c r="C147" s="8" t="s">
        <v>267</v>
      </c>
      <c r="D147" s="120">
        <v>0.5</v>
      </c>
      <c r="E147" s="121" t="s">
        <v>265</v>
      </c>
      <c r="G147" s="110" t="s">
        <v>268</v>
      </c>
      <c r="H147" s="111" t="e">
        <f t="shared" ref="H147:S147" si="72">IF(H141&lt;$D$147,$E$147,H35/H15)</f>
        <v>#DIV/0!</v>
      </c>
      <c r="I147" s="111" t="e">
        <f t="shared" si="72"/>
        <v>#DIV/0!</v>
      </c>
      <c r="J147" s="111" t="e">
        <f t="shared" si="72"/>
        <v>#DIV/0!</v>
      </c>
      <c r="K147" s="111" t="str">
        <f t="shared" si="72"/>
        <v>N/A</v>
      </c>
      <c r="L147" s="111" t="str">
        <f t="shared" si="72"/>
        <v>N/A</v>
      </c>
      <c r="M147" s="111" t="str">
        <f t="shared" si="72"/>
        <v>N/A</v>
      </c>
      <c r="N147" s="111" t="str">
        <f t="shared" si="72"/>
        <v>N/A</v>
      </c>
      <c r="O147" s="111" t="str">
        <f t="shared" si="72"/>
        <v>N/A</v>
      </c>
      <c r="P147" s="111" t="str">
        <f t="shared" si="72"/>
        <v>N/A</v>
      </c>
      <c r="Q147" s="111" t="str">
        <f t="shared" si="72"/>
        <v>N/A</v>
      </c>
      <c r="R147" s="111" t="str">
        <f t="shared" si="72"/>
        <v>N/A</v>
      </c>
      <c r="S147" s="111" t="str">
        <f t="shared" si="72"/>
        <v>N/A</v>
      </c>
    </row>
    <row r="148" spans="1:19" s="4" customFormat="1" x14ac:dyDescent="0.2">
      <c r="A148" s="4" t="s">
        <v>458</v>
      </c>
      <c r="B148" s="2" t="s">
        <v>254</v>
      </c>
      <c r="C148" s="8" t="s">
        <v>201</v>
      </c>
      <c r="D148" s="120">
        <v>0.5</v>
      </c>
      <c r="E148" s="121" t="s">
        <v>265</v>
      </c>
      <c r="G148" s="103" t="s">
        <v>269</v>
      </c>
      <c r="H148" s="118" t="e">
        <f t="shared" ref="H148:S148" si="73">IF(H141&lt;$D$148,$E$148,H46/H33)</f>
        <v>#DIV/0!</v>
      </c>
      <c r="I148" s="118" t="e">
        <f t="shared" si="73"/>
        <v>#DIV/0!</v>
      </c>
      <c r="J148" s="118" t="e">
        <f t="shared" si="73"/>
        <v>#DIV/0!</v>
      </c>
      <c r="K148" s="118" t="str">
        <f t="shared" si="73"/>
        <v>N/A</v>
      </c>
      <c r="L148" s="118" t="str">
        <f t="shared" si="73"/>
        <v>N/A</v>
      </c>
      <c r="M148" s="118" t="str">
        <f t="shared" si="73"/>
        <v>N/A</v>
      </c>
      <c r="N148" s="118" t="str">
        <f t="shared" si="73"/>
        <v>N/A</v>
      </c>
      <c r="O148" s="118" t="str">
        <f t="shared" si="73"/>
        <v>N/A</v>
      </c>
      <c r="P148" s="118" t="str">
        <f t="shared" si="73"/>
        <v>N/A</v>
      </c>
      <c r="Q148" s="118" t="str">
        <f t="shared" si="73"/>
        <v>N/A</v>
      </c>
      <c r="R148" s="118" t="str">
        <f t="shared" si="73"/>
        <v>N/A</v>
      </c>
      <c r="S148" s="118" t="str">
        <f t="shared" si="73"/>
        <v>N/A</v>
      </c>
    </row>
    <row r="149" spans="1:19" s="4" customFormat="1" x14ac:dyDescent="0.2">
      <c r="A149" s="4" t="s">
        <v>459</v>
      </c>
      <c r="B149" s="2" t="s">
        <v>257</v>
      </c>
      <c r="C149" s="8" t="s">
        <v>270</v>
      </c>
      <c r="D149" s="120">
        <v>0.5</v>
      </c>
      <c r="E149" s="121" t="s">
        <v>265</v>
      </c>
      <c r="G149" s="110" t="s">
        <v>271</v>
      </c>
      <c r="H149" s="118" t="e">
        <f t="shared" ref="H149:S149" si="74">IF(H141&lt;$D$148,$E$149,H51/H33)</f>
        <v>#DIV/0!</v>
      </c>
      <c r="I149" s="118" t="e">
        <f t="shared" si="74"/>
        <v>#DIV/0!</v>
      </c>
      <c r="J149" s="118" t="e">
        <f t="shared" si="74"/>
        <v>#DIV/0!</v>
      </c>
      <c r="K149" s="118" t="str">
        <f t="shared" si="74"/>
        <v>N/A</v>
      </c>
      <c r="L149" s="118" t="str">
        <f t="shared" si="74"/>
        <v>N/A</v>
      </c>
      <c r="M149" s="118" t="str">
        <f t="shared" si="74"/>
        <v>N/A</v>
      </c>
      <c r="N149" s="118" t="str">
        <f t="shared" si="74"/>
        <v>N/A</v>
      </c>
      <c r="O149" s="118" t="str">
        <f t="shared" si="74"/>
        <v>N/A</v>
      </c>
      <c r="P149" s="118" t="str">
        <f t="shared" si="74"/>
        <v>N/A</v>
      </c>
      <c r="Q149" s="118" t="str">
        <f t="shared" si="74"/>
        <v>N/A</v>
      </c>
      <c r="R149" s="118" t="str">
        <f t="shared" si="74"/>
        <v>N/A</v>
      </c>
      <c r="S149" s="118" t="str">
        <f t="shared" si="74"/>
        <v>N/A</v>
      </c>
    </row>
    <row r="150" spans="1:19" s="4" customFormat="1" x14ac:dyDescent="0.2">
      <c r="A150" s="4" t="s">
        <v>460</v>
      </c>
      <c r="B150" s="2" t="s">
        <v>260</v>
      </c>
      <c r="C150" s="8" t="s">
        <v>272</v>
      </c>
      <c r="D150" s="120">
        <v>0.5</v>
      </c>
      <c r="E150" s="121" t="s">
        <v>265</v>
      </c>
      <c r="G150" s="110" t="s">
        <v>273</v>
      </c>
      <c r="H150" s="118" t="e">
        <f t="shared" ref="H150:S150" si="75">IF(H141&lt;$D$150,$E$150,H51/H4)</f>
        <v>#DIV/0!</v>
      </c>
      <c r="I150" s="118" t="e">
        <f t="shared" si="75"/>
        <v>#DIV/0!</v>
      </c>
      <c r="J150" s="118" t="e">
        <f t="shared" si="75"/>
        <v>#DIV/0!</v>
      </c>
      <c r="K150" s="118" t="str">
        <f t="shared" si="75"/>
        <v>N/A</v>
      </c>
      <c r="L150" s="118" t="str">
        <f t="shared" si="75"/>
        <v>N/A</v>
      </c>
      <c r="M150" s="118" t="str">
        <f t="shared" si="75"/>
        <v>N/A</v>
      </c>
      <c r="N150" s="118" t="str">
        <f t="shared" si="75"/>
        <v>N/A</v>
      </c>
      <c r="O150" s="118" t="str">
        <f t="shared" si="75"/>
        <v>N/A</v>
      </c>
      <c r="P150" s="118" t="str">
        <f t="shared" si="75"/>
        <v>N/A</v>
      </c>
      <c r="Q150" s="118" t="str">
        <f t="shared" si="75"/>
        <v>N/A</v>
      </c>
      <c r="R150" s="118" t="str">
        <f t="shared" si="75"/>
        <v>N/A</v>
      </c>
      <c r="S150" s="118" t="str">
        <f t="shared" si="75"/>
        <v>N/A</v>
      </c>
    </row>
    <row r="151" spans="1:19" s="4" customFormat="1" x14ac:dyDescent="0.2">
      <c r="A151" s="4" t="s">
        <v>461</v>
      </c>
      <c r="B151" s="2" t="s">
        <v>263</v>
      </c>
      <c r="C151" s="8" t="s">
        <v>274</v>
      </c>
      <c r="D151" s="120">
        <v>0.5</v>
      </c>
      <c r="E151" s="121" t="s">
        <v>265</v>
      </c>
      <c r="G151" s="46" t="s">
        <v>275</v>
      </c>
      <c r="H151" s="118" t="e">
        <f>IF(H141&lt;$D$151,$E$151,H51/H27)</f>
        <v>#DIV/0!</v>
      </c>
      <c r="I151" s="118" t="e">
        <f>IF(I141&lt;$D$151,$E$151,I51/((H27+I27)/2))</f>
        <v>#DIV/0!</v>
      </c>
      <c r="J151" s="118" t="e">
        <f>IF(J141&lt;$D$151,$E$151,J51/((I27+J27)/2))</f>
        <v>#DIV/0!</v>
      </c>
      <c r="K151" s="118" t="str">
        <f>IF(K141&lt;$D$151,$E$151,K51/((J27+K27)/2))</f>
        <v>N/A</v>
      </c>
      <c r="L151" s="118" t="str">
        <f>IF(L141&lt;$D$151,$E$151,L51/((K27+L27)/2))</f>
        <v>N/A</v>
      </c>
      <c r="M151" s="118" t="str">
        <f>IF(M141&lt;$D$151,$E$151,M51/((L27+M27)/2))</f>
        <v>N/A</v>
      </c>
      <c r="N151" s="118" t="str">
        <f t="shared" ref="N151:S151" si="76">IF(N141&lt;$D$151,$E$151,N51/((M27+N27)/2))</f>
        <v>N/A</v>
      </c>
      <c r="O151" s="118" t="str">
        <f t="shared" si="76"/>
        <v>N/A</v>
      </c>
      <c r="P151" s="118" t="str">
        <f t="shared" si="76"/>
        <v>N/A</v>
      </c>
      <c r="Q151" s="118" t="str">
        <f t="shared" si="76"/>
        <v>N/A</v>
      </c>
      <c r="R151" s="118" t="str">
        <f t="shared" si="76"/>
        <v>N/A</v>
      </c>
      <c r="S151" s="118" t="str">
        <f t="shared" si="76"/>
        <v>N/A</v>
      </c>
    </row>
    <row r="152" spans="1:19" s="4" customFormat="1" x14ac:dyDescent="0.2">
      <c r="A152" s="8"/>
      <c r="B152" s="2"/>
      <c r="C152" s="119"/>
      <c r="D152" s="41"/>
      <c r="E152" s="42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</row>
    <row r="153" spans="1:19" s="4" customFormat="1" x14ac:dyDescent="0.2">
      <c r="A153" s="8"/>
      <c r="B153" s="2"/>
      <c r="C153" s="10"/>
      <c r="D153" s="10"/>
      <c r="E153" s="9"/>
      <c r="F153" s="8"/>
      <c r="G153" s="94" t="s">
        <v>462</v>
      </c>
      <c r="H153" s="87">
        <f>H145</f>
        <v>2011</v>
      </c>
      <c r="I153" s="87">
        <f t="shared" ref="I153:S153" si="77">I145</f>
        <v>2012</v>
      </c>
      <c r="J153" s="87">
        <f t="shared" si="77"/>
        <v>2013</v>
      </c>
      <c r="K153" s="87">
        <f t="shared" si="77"/>
        <v>2014</v>
      </c>
      <c r="L153" s="87">
        <f t="shared" si="77"/>
        <v>2015</v>
      </c>
      <c r="M153" s="87">
        <f t="shared" si="77"/>
        <v>2016</v>
      </c>
      <c r="N153" s="87">
        <f t="shared" si="77"/>
        <v>2017</v>
      </c>
      <c r="O153" s="87">
        <f t="shared" si="77"/>
        <v>2018</v>
      </c>
      <c r="P153" s="87">
        <f t="shared" si="77"/>
        <v>2019</v>
      </c>
      <c r="Q153" s="87">
        <f t="shared" si="77"/>
        <v>2020</v>
      </c>
      <c r="R153" s="87">
        <f t="shared" si="77"/>
        <v>2021</v>
      </c>
      <c r="S153" s="87">
        <f t="shared" si="77"/>
        <v>2022</v>
      </c>
    </row>
    <row r="154" spans="1:19" s="4" customFormat="1" x14ac:dyDescent="0.2">
      <c r="A154" s="8"/>
      <c r="B154" s="2"/>
      <c r="C154" s="10"/>
      <c r="D154" s="10"/>
      <c r="E154" s="9"/>
      <c r="F154" s="8"/>
      <c r="G154" s="95" t="s">
        <v>276</v>
      </c>
      <c r="H154" s="96">
        <f t="shared" ref="H154:S154" si="78">H33</f>
        <v>0</v>
      </c>
      <c r="I154" s="96">
        <f t="shared" si="78"/>
        <v>0</v>
      </c>
      <c r="J154" s="96">
        <f t="shared" si="78"/>
        <v>0</v>
      </c>
      <c r="K154" s="96">
        <f t="shared" si="78"/>
        <v>644.44200000000001</v>
      </c>
      <c r="L154" s="96">
        <f>L33</f>
        <v>1098.5060000000001</v>
      </c>
      <c r="M154" s="96">
        <f t="shared" si="78"/>
        <v>960.81799999999998</v>
      </c>
      <c r="N154" s="96">
        <f t="shared" si="78"/>
        <v>938</v>
      </c>
      <c r="O154" s="96">
        <f t="shared" si="78"/>
        <v>939.03200000000004</v>
      </c>
      <c r="P154" s="96">
        <f t="shared" si="78"/>
        <v>943</v>
      </c>
      <c r="Q154" s="96">
        <f t="shared" si="78"/>
        <v>950</v>
      </c>
      <c r="R154" s="96">
        <f t="shared" si="78"/>
        <v>953</v>
      </c>
      <c r="S154" s="96">
        <f t="shared" si="78"/>
        <v>951</v>
      </c>
    </row>
    <row r="155" spans="1:19" s="4" customFormat="1" x14ac:dyDescent="0.2">
      <c r="A155" s="8"/>
      <c r="B155" s="2"/>
      <c r="C155" s="10"/>
      <c r="D155" s="10"/>
      <c r="E155" s="9"/>
      <c r="F155" s="8"/>
      <c r="G155" s="95" t="s">
        <v>277</v>
      </c>
      <c r="H155" s="96">
        <f t="shared" ref="H155:S156" si="79">H35</f>
        <v>0</v>
      </c>
      <c r="I155" s="96">
        <f t="shared" si="79"/>
        <v>0</v>
      </c>
      <c r="J155" s="96">
        <f t="shared" si="79"/>
        <v>0</v>
      </c>
      <c r="K155" s="96">
        <f t="shared" si="79"/>
        <v>75.903999999999996</v>
      </c>
      <c r="L155" s="96">
        <f t="shared" si="79"/>
        <v>151.74100000000001</v>
      </c>
      <c r="M155" s="96">
        <f t="shared" si="79"/>
        <v>161.929</v>
      </c>
      <c r="N155" s="96">
        <f t="shared" si="79"/>
        <v>189</v>
      </c>
      <c r="O155" s="96">
        <f t="shared" si="79"/>
        <v>203</v>
      </c>
      <c r="P155" s="96">
        <f t="shared" si="79"/>
        <v>186</v>
      </c>
      <c r="Q155" s="96">
        <f t="shared" si="79"/>
        <v>189</v>
      </c>
      <c r="R155" s="96">
        <f t="shared" si="79"/>
        <v>192</v>
      </c>
      <c r="S155" s="96">
        <f t="shared" si="79"/>
        <v>190</v>
      </c>
    </row>
    <row r="156" spans="1:19" s="4" customFormat="1" x14ac:dyDescent="0.2">
      <c r="A156" s="8"/>
      <c r="B156" s="2"/>
      <c r="C156" s="10"/>
      <c r="D156" s="10"/>
      <c r="E156" s="9"/>
      <c r="F156" s="8"/>
      <c r="G156" s="95" t="s">
        <v>278</v>
      </c>
      <c r="H156" s="96">
        <f t="shared" si="79"/>
        <v>0</v>
      </c>
      <c r="I156" s="96">
        <f t="shared" si="79"/>
        <v>0</v>
      </c>
      <c r="J156" s="96">
        <f t="shared" si="79"/>
        <v>0</v>
      </c>
      <c r="K156" s="96">
        <f t="shared" si="79"/>
        <v>568.53800000000001</v>
      </c>
      <c r="L156" s="96">
        <f t="shared" si="79"/>
        <v>946.76499999999999</v>
      </c>
      <c r="M156" s="96">
        <f t="shared" si="79"/>
        <v>798.88900000000001</v>
      </c>
      <c r="N156" s="96">
        <f t="shared" si="79"/>
        <v>749</v>
      </c>
      <c r="O156" s="96">
        <f t="shared" si="79"/>
        <v>736.03200000000004</v>
      </c>
      <c r="P156" s="96">
        <f t="shared" si="79"/>
        <v>757</v>
      </c>
      <c r="Q156" s="96">
        <f t="shared" si="79"/>
        <v>761</v>
      </c>
      <c r="R156" s="96">
        <f t="shared" si="79"/>
        <v>761</v>
      </c>
      <c r="S156" s="96">
        <f t="shared" si="79"/>
        <v>761</v>
      </c>
    </row>
    <row r="157" spans="1:19" s="4" customFormat="1" x14ac:dyDescent="0.2">
      <c r="A157" s="8"/>
      <c r="B157" s="2"/>
      <c r="C157" s="10"/>
      <c r="D157" s="10"/>
      <c r="E157" s="9"/>
      <c r="F157" s="8"/>
      <c r="G157" s="95" t="s">
        <v>279</v>
      </c>
      <c r="H157" s="96">
        <f t="shared" ref="H157:S157" si="80">H38+H41</f>
        <v>-0.128</v>
      </c>
      <c r="I157" s="96">
        <f t="shared" si="80"/>
        <v>-0.128</v>
      </c>
      <c r="J157" s="96">
        <f t="shared" si="80"/>
        <v>-0.128</v>
      </c>
      <c r="K157" s="96">
        <f t="shared" si="80"/>
        <v>-566.28</v>
      </c>
      <c r="L157" s="96">
        <f t="shared" si="80"/>
        <v>-861.48400000000004</v>
      </c>
      <c r="M157" s="96">
        <f t="shared" si="80"/>
        <v>-924.82800000000009</v>
      </c>
      <c r="N157" s="96">
        <f t="shared" si="80"/>
        <v>-976</v>
      </c>
      <c r="O157" s="96">
        <f t="shared" si="80"/>
        <v>-933.36</v>
      </c>
      <c r="P157" s="96">
        <f t="shared" si="80"/>
        <v>-935.86</v>
      </c>
      <c r="Q157" s="96">
        <f t="shared" si="80"/>
        <v>-931.87</v>
      </c>
      <c r="R157" s="96">
        <f t="shared" si="80"/>
        <v>-931.87</v>
      </c>
      <c r="S157" s="96">
        <f t="shared" si="80"/>
        <v>-930.87</v>
      </c>
    </row>
    <row r="158" spans="1:19" s="4" customFormat="1" x14ac:dyDescent="0.2">
      <c r="A158" s="8"/>
      <c r="B158" s="2"/>
      <c r="C158" s="10"/>
      <c r="D158" s="10"/>
      <c r="E158" s="9"/>
      <c r="F158" s="8"/>
      <c r="G158" s="95" t="s">
        <v>280</v>
      </c>
      <c r="H158" s="96">
        <f t="shared" ref="H158:S158" si="81">H41</f>
        <v>0</v>
      </c>
      <c r="I158" s="96">
        <f t="shared" si="81"/>
        <v>0</v>
      </c>
      <c r="J158" s="96">
        <f t="shared" si="81"/>
        <v>0</v>
      </c>
      <c r="K158" s="96">
        <f t="shared" si="81"/>
        <v>-564.28</v>
      </c>
      <c r="L158" s="96">
        <f t="shared" si="81"/>
        <v>-859.48400000000004</v>
      </c>
      <c r="M158" s="96">
        <f t="shared" si="81"/>
        <v>-924.20300000000009</v>
      </c>
      <c r="N158" s="96">
        <f t="shared" si="81"/>
        <v>-976</v>
      </c>
      <c r="O158" s="96">
        <f t="shared" si="81"/>
        <v>-933.36</v>
      </c>
      <c r="P158" s="96">
        <f t="shared" si="81"/>
        <v>-935.86</v>
      </c>
      <c r="Q158" s="96">
        <f t="shared" si="81"/>
        <v>-931.87</v>
      </c>
      <c r="R158" s="96">
        <f t="shared" si="81"/>
        <v>-931.87</v>
      </c>
      <c r="S158" s="96">
        <f t="shared" si="81"/>
        <v>-930.87</v>
      </c>
    </row>
    <row r="159" spans="1:19" s="4" customFormat="1" x14ac:dyDescent="0.2">
      <c r="A159" s="8"/>
      <c r="B159" s="2"/>
      <c r="C159" s="10"/>
      <c r="D159" s="10"/>
      <c r="E159" s="9"/>
      <c r="F159" s="8"/>
      <c r="G159" s="95" t="s">
        <v>281</v>
      </c>
      <c r="H159" s="96">
        <f t="shared" ref="H159:S159" si="82">H38</f>
        <v>-0.128</v>
      </c>
      <c r="I159" s="96">
        <f t="shared" si="82"/>
        <v>-0.128</v>
      </c>
      <c r="J159" s="96">
        <f t="shared" si="82"/>
        <v>-0.128</v>
      </c>
      <c r="K159" s="96">
        <f t="shared" si="82"/>
        <v>-2</v>
      </c>
      <c r="L159" s="96">
        <f t="shared" si="82"/>
        <v>-2</v>
      </c>
      <c r="M159" s="96">
        <f t="shared" si="82"/>
        <v>-0.625</v>
      </c>
      <c r="N159" s="96">
        <f t="shared" si="82"/>
        <v>0</v>
      </c>
      <c r="O159" s="96">
        <f t="shared" si="82"/>
        <v>0</v>
      </c>
      <c r="P159" s="96">
        <f t="shared" si="82"/>
        <v>0</v>
      </c>
      <c r="Q159" s="96">
        <f t="shared" si="82"/>
        <v>0</v>
      </c>
      <c r="R159" s="96">
        <f t="shared" si="82"/>
        <v>0</v>
      </c>
      <c r="S159" s="96">
        <f t="shared" si="82"/>
        <v>0</v>
      </c>
    </row>
    <row r="160" spans="1:19" s="4" customFormat="1" x14ac:dyDescent="0.2">
      <c r="A160" s="8"/>
      <c r="B160" s="2"/>
      <c r="C160" s="10"/>
      <c r="D160" s="10"/>
      <c r="E160" s="9"/>
      <c r="F160" s="8"/>
      <c r="G160" s="95" t="s">
        <v>282</v>
      </c>
      <c r="H160" s="96">
        <f t="shared" ref="H160:S160" si="83">H46</f>
        <v>-0.128</v>
      </c>
      <c r="I160" s="96">
        <f t="shared" si="83"/>
        <v>-0.128</v>
      </c>
      <c r="J160" s="96">
        <f t="shared" si="83"/>
        <v>-0.128</v>
      </c>
      <c r="K160" s="96">
        <f t="shared" si="83"/>
        <v>78.162000000000035</v>
      </c>
      <c r="L160" s="96">
        <f t="shared" si="83"/>
        <v>237.02200000000005</v>
      </c>
      <c r="M160" s="96">
        <f t="shared" si="83"/>
        <v>35.989999999999895</v>
      </c>
      <c r="N160" s="96">
        <f t="shared" si="83"/>
        <v>-38</v>
      </c>
      <c r="O160" s="96">
        <f t="shared" si="83"/>
        <v>5.6720000000000255</v>
      </c>
      <c r="P160" s="96">
        <f t="shared" si="83"/>
        <v>7.1399999999999864</v>
      </c>
      <c r="Q160" s="96">
        <f t="shared" si="83"/>
        <v>18.129999999999995</v>
      </c>
      <c r="R160" s="96">
        <f t="shared" si="83"/>
        <v>21.129999999999995</v>
      </c>
      <c r="S160" s="96">
        <f t="shared" si="83"/>
        <v>20.129999999999995</v>
      </c>
    </row>
    <row r="161" spans="1:19" s="4" customFormat="1" x14ac:dyDescent="0.2">
      <c r="A161" s="8"/>
      <c r="B161" s="2"/>
      <c r="C161" s="10"/>
      <c r="D161" s="10"/>
      <c r="E161" s="9"/>
      <c r="F161" s="8"/>
      <c r="G161" s="95" t="s">
        <v>283</v>
      </c>
      <c r="H161" s="96">
        <f t="shared" ref="H161:S161" si="84">H51</f>
        <v>-0.128</v>
      </c>
      <c r="I161" s="96">
        <f t="shared" si="84"/>
        <v>-0.128</v>
      </c>
      <c r="J161" s="96">
        <f t="shared" si="84"/>
        <v>-0.129</v>
      </c>
      <c r="K161" s="96">
        <f t="shared" si="84"/>
        <v>78.162000000000035</v>
      </c>
      <c r="L161" s="96">
        <f t="shared" si="84"/>
        <v>238.02200000000005</v>
      </c>
      <c r="M161" s="96">
        <f t="shared" si="84"/>
        <v>36.718999999999895</v>
      </c>
      <c r="N161" s="96">
        <f t="shared" si="84"/>
        <v>-38</v>
      </c>
      <c r="O161" s="96">
        <f t="shared" si="84"/>
        <v>5.6720000000000255</v>
      </c>
      <c r="P161" s="96">
        <f t="shared" si="84"/>
        <v>7.1399999999999864</v>
      </c>
      <c r="Q161" s="96">
        <f t="shared" si="84"/>
        <v>18.129999999999995</v>
      </c>
      <c r="R161" s="96">
        <f t="shared" si="84"/>
        <v>21.129999999999995</v>
      </c>
      <c r="S161" s="96">
        <f t="shared" si="84"/>
        <v>20.129999999999995</v>
      </c>
    </row>
    <row r="162" spans="1:19" s="4" customFormat="1" x14ac:dyDescent="0.2">
      <c r="A162" s="8"/>
      <c r="B162" s="2"/>
      <c r="C162" s="10"/>
      <c r="D162" s="10"/>
      <c r="E162" s="9"/>
      <c r="F162" s="8"/>
      <c r="G162" s="95" t="s">
        <v>284</v>
      </c>
      <c r="H162" s="96">
        <f t="shared" ref="H162:S163" si="85">H4</f>
        <v>0</v>
      </c>
      <c r="I162" s="96">
        <f t="shared" si="85"/>
        <v>0</v>
      </c>
      <c r="J162" s="96">
        <f t="shared" si="85"/>
        <v>14.797000000000001</v>
      </c>
      <c r="K162" s="96">
        <f t="shared" si="85"/>
        <v>707.97699999999998</v>
      </c>
      <c r="L162" s="96">
        <f t="shared" si="85"/>
        <v>788.77800000000002</v>
      </c>
      <c r="M162" s="96">
        <f t="shared" si="85"/>
        <v>830</v>
      </c>
      <c r="N162" s="96">
        <f t="shared" si="85"/>
        <v>798</v>
      </c>
      <c r="O162" s="96">
        <f t="shared" si="85"/>
        <v>820</v>
      </c>
      <c r="P162" s="96">
        <f t="shared" si="85"/>
        <v>816</v>
      </c>
      <c r="Q162" s="96">
        <f t="shared" si="85"/>
        <v>834</v>
      </c>
      <c r="R162" s="96">
        <f t="shared" si="85"/>
        <v>855</v>
      </c>
      <c r="S162" s="96">
        <f t="shared" si="85"/>
        <v>875</v>
      </c>
    </row>
    <row r="163" spans="1:19" s="4" customFormat="1" x14ac:dyDescent="0.2">
      <c r="A163" s="8"/>
      <c r="B163" s="2"/>
      <c r="C163" s="10"/>
      <c r="D163" s="10"/>
      <c r="E163" s="9"/>
      <c r="F163" s="8"/>
      <c r="G163" s="95" t="s">
        <v>285</v>
      </c>
      <c r="H163" s="96">
        <f t="shared" si="85"/>
        <v>0</v>
      </c>
      <c r="I163" s="96">
        <f t="shared" si="85"/>
        <v>0</v>
      </c>
      <c r="J163" s="96">
        <f t="shared" si="85"/>
        <v>0</v>
      </c>
      <c r="K163" s="96">
        <f t="shared" si="85"/>
        <v>265.97699999999998</v>
      </c>
      <c r="L163" s="96">
        <f t="shared" si="85"/>
        <v>298.77800000000002</v>
      </c>
      <c r="M163" s="96">
        <f t="shared" si="85"/>
        <v>330</v>
      </c>
      <c r="N163" s="96">
        <f t="shared" si="85"/>
        <v>240</v>
      </c>
      <c r="O163" s="96">
        <f t="shared" si="85"/>
        <v>296</v>
      </c>
      <c r="P163" s="96">
        <f t="shared" si="85"/>
        <v>326</v>
      </c>
      <c r="Q163" s="96">
        <f t="shared" si="85"/>
        <v>378</v>
      </c>
      <c r="R163" s="96">
        <f t="shared" si="85"/>
        <v>433</v>
      </c>
      <c r="S163" s="96">
        <f t="shared" si="85"/>
        <v>487</v>
      </c>
    </row>
    <row r="164" spans="1:19" s="4" customFormat="1" x14ac:dyDescent="0.2">
      <c r="A164" s="8"/>
      <c r="B164" s="2"/>
      <c r="C164" s="10"/>
      <c r="D164" s="10"/>
      <c r="E164" s="9"/>
      <c r="F164" s="8"/>
      <c r="G164" s="95" t="s">
        <v>286</v>
      </c>
      <c r="H164" s="96">
        <f t="shared" ref="H164:S164" si="86">H10</f>
        <v>0</v>
      </c>
      <c r="I164" s="96">
        <f t="shared" si="86"/>
        <v>0</v>
      </c>
      <c r="J164" s="96">
        <f t="shared" si="86"/>
        <v>14.797000000000001</v>
      </c>
      <c r="K164" s="96">
        <f t="shared" si="86"/>
        <v>442</v>
      </c>
      <c r="L164" s="96">
        <f t="shared" si="86"/>
        <v>490</v>
      </c>
      <c r="M164" s="96">
        <f t="shared" si="86"/>
        <v>500</v>
      </c>
      <c r="N164" s="96">
        <f t="shared" si="86"/>
        <v>558</v>
      </c>
      <c r="O164" s="96">
        <f t="shared" si="86"/>
        <v>524</v>
      </c>
      <c r="P164" s="96">
        <f t="shared" si="86"/>
        <v>490</v>
      </c>
      <c r="Q164" s="96">
        <f t="shared" si="86"/>
        <v>456</v>
      </c>
      <c r="R164" s="96">
        <f t="shared" si="86"/>
        <v>422</v>
      </c>
      <c r="S164" s="96">
        <f t="shared" si="86"/>
        <v>388</v>
      </c>
    </row>
    <row r="165" spans="1:19" s="4" customFormat="1" x14ac:dyDescent="0.2">
      <c r="A165" s="8"/>
      <c r="B165" s="2"/>
      <c r="C165" s="10"/>
      <c r="D165" s="10"/>
      <c r="E165" s="9"/>
      <c r="F165" s="8"/>
      <c r="G165" s="95" t="s">
        <v>287</v>
      </c>
      <c r="H165" s="96">
        <f t="shared" ref="H165:S166" si="87">H19</f>
        <v>0</v>
      </c>
      <c r="I165" s="96">
        <f t="shared" si="87"/>
        <v>0</v>
      </c>
      <c r="J165" s="96">
        <f t="shared" si="87"/>
        <v>0</v>
      </c>
      <c r="K165" s="96">
        <f t="shared" si="87"/>
        <v>182.649</v>
      </c>
      <c r="L165" s="96">
        <f t="shared" si="87"/>
        <v>24.786000000000001</v>
      </c>
      <c r="M165" s="96">
        <f t="shared" si="87"/>
        <v>30</v>
      </c>
      <c r="N165" s="96">
        <f t="shared" si="87"/>
        <v>36</v>
      </c>
      <c r="O165" s="96">
        <f t="shared" si="87"/>
        <v>52</v>
      </c>
      <c r="P165" s="96">
        <f t="shared" si="87"/>
        <v>41</v>
      </c>
      <c r="Q165" s="96">
        <f t="shared" si="87"/>
        <v>41</v>
      </c>
      <c r="R165" s="96">
        <f t="shared" si="87"/>
        <v>41</v>
      </c>
      <c r="S165" s="96">
        <f t="shared" si="87"/>
        <v>41</v>
      </c>
    </row>
    <row r="166" spans="1:19" s="4" customFormat="1" x14ac:dyDescent="0.2">
      <c r="A166" s="8"/>
      <c r="B166" s="2"/>
      <c r="C166" s="10"/>
      <c r="D166" s="10"/>
      <c r="E166" s="9"/>
      <c r="F166" s="8"/>
      <c r="G166" s="95" t="s">
        <v>288</v>
      </c>
      <c r="H166" s="96">
        <f t="shared" si="87"/>
        <v>0</v>
      </c>
      <c r="I166" s="96">
        <f t="shared" si="87"/>
        <v>0</v>
      </c>
      <c r="J166" s="96">
        <f t="shared" si="87"/>
        <v>0</v>
      </c>
      <c r="K166" s="96">
        <f t="shared" si="87"/>
        <v>182.649</v>
      </c>
      <c r="L166" s="96">
        <f t="shared" si="87"/>
        <v>24.786000000000001</v>
      </c>
      <c r="M166" s="96">
        <f t="shared" si="87"/>
        <v>29.55</v>
      </c>
      <c r="N166" s="96">
        <f t="shared" si="87"/>
        <v>0</v>
      </c>
      <c r="O166" s="96">
        <f t="shared" si="87"/>
        <v>0</v>
      </c>
      <c r="P166" s="96">
        <f t="shared" si="87"/>
        <v>0</v>
      </c>
      <c r="Q166" s="96">
        <f t="shared" si="87"/>
        <v>0</v>
      </c>
      <c r="R166" s="96">
        <f t="shared" si="87"/>
        <v>0</v>
      </c>
      <c r="S166" s="96">
        <f t="shared" si="87"/>
        <v>0</v>
      </c>
    </row>
    <row r="167" spans="1:19" s="4" customFormat="1" x14ac:dyDescent="0.2">
      <c r="A167" s="8"/>
      <c r="B167" s="2"/>
      <c r="C167" s="10"/>
      <c r="D167" s="10"/>
      <c r="E167" s="9"/>
      <c r="F167" s="8"/>
      <c r="G167" s="95" t="s">
        <v>289</v>
      </c>
      <c r="H167" s="96">
        <f t="shared" ref="H167:S167" si="88">H24</f>
        <v>0</v>
      </c>
      <c r="I167" s="96">
        <f t="shared" si="88"/>
        <v>0</v>
      </c>
      <c r="J167" s="96">
        <f t="shared" si="88"/>
        <v>0</v>
      </c>
      <c r="K167" s="96">
        <f t="shared" si="88"/>
        <v>0</v>
      </c>
      <c r="L167" s="96">
        <f t="shared" si="88"/>
        <v>0</v>
      </c>
      <c r="M167" s="96">
        <f t="shared" si="88"/>
        <v>0</v>
      </c>
      <c r="N167" s="96">
        <f t="shared" si="88"/>
        <v>0</v>
      </c>
      <c r="O167" s="96">
        <f t="shared" si="88"/>
        <v>0</v>
      </c>
      <c r="P167" s="96">
        <f t="shared" si="88"/>
        <v>0</v>
      </c>
      <c r="Q167" s="96">
        <f t="shared" si="88"/>
        <v>0</v>
      </c>
      <c r="R167" s="96">
        <f t="shared" si="88"/>
        <v>0</v>
      </c>
      <c r="S167" s="96">
        <f t="shared" si="88"/>
        <v>0</v>
      </c>
    </row>
    <row r="168" spans="1:19" s="4" customFormat="1" x14ac:dyDescent="0.2">
      <c r="A168" s="8"/>
      <c r="B168" s="2"/>
      <c r="C168" s="10"/>
      <c r="D168" s="10"/>
      <c r="E168" s="9"/>
      <c r="F168" s="8"/>
      <c r="G168" s="95" t="s">
        <v>290</v>
      </c>
      <c r="H168" s="96">
        <f t="shared" ref="H168:S168" si="89">H27</f>
        <v>0</v>
      </c>
      <c r="I168" s="96">
        <f t="shared" si="89"/>
        <v>0</v>
      </c>
      <c r="J168" s="96">
        <f t="shared" si="89"/>
        <v>14.797000000000001</v>
      </c>
      <c r="K168" s="96">
        <f t="shared" si="89"/>
        <v>525.56899999999996</v>
      </c>
      <c r="L168" s="96">
        <f t="shared" si="89"/>
        <v>763.51499999999999</v>
      </c>
      <c r="M168" s="96">
        <f t="shared" si="89"/>
        <v>800.23400000000004</v>
      </c>
      <c r="N168" s="96">
        <f t="shared" si="89"/>
        <v>762</v>
      </c>
      <c r="O168" s="96">
        <f t="shared" si="89"/>
        <v>767.67200000000003</v>
      </c>
      <c r="P168" s="96">
        <f t="shared" si="89"/>
        <v>774.81200000000001</v>
      </c>
      <c r="Q168" s="96">
        <f t="shared" si="89"/>
        <v>792.94200000000001</v>
      </c>
      <c r="R168" s="96">
        <f t="shared" si="89"/>
        <v>814.072</v>
      </c>
      <c r="S168" s="96">
        <f t="shared" si="89"/>
        <v>834.202</v>
      </c>
    </row>
    <row r="169" spans="1:19" s="4" customFormat="1" x14ac:dyDescent="0.2">
      <c r="A169" s="8"/>
      <c r="B169" s="2"/>
      <c r="C169" s="119"/>
      <c r="D169" s="41"/>
      <c r="E169" s="42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</row>
    <row r="170" spans="1:19" s="4" customFormat="1" x14ac:dyDescent="0.2">
      <c r="A170" s="8"/>
      <c r="B170" s="2"/>
      <c r="C170" s="119" t="s">
        <v>463</v>
      </c>
      <c r="D170" s="41"/>
      <c r="E170" s="42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</row>
    <row r="171" spans="1:19" s="4" customFormat="1" x14ac:dyDescent="0.2">
      <c r="A171" s="8"/>
      <c r="B171" s="2"/>
      <c r="C171" s="119"/>
      <c r="D171" s="41"/>
      <c r="E171" s="42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</row>
    <row r="172" spans="1:19" s="40" customFormat="1" x14ac:dyDescent="0.2">
      <c r="A172" s="29"/>
      <c r="B172" s="2"/>
      <c r="C172" s="29" t="s">
        <v>464</v>
      </c>
      <c r="D172" s="99"/>
      <c r="E172" s="30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</row>
    <row r="173" spans="1:19" s="4" customFormat="1" x14ac:dyDescent="0.2">
      <c r="A173" s="8"/>
      <c r="B173" s="2"/>
      <c r="C173" s="8"/>
      <c r="D173" s="10"/>
      <c r="E173" s="9"/>
      <c r="F173" s="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</row>
    <row r="174" spans="1:19" s="4" customFormat="1" x14ac:dyDescent="0.2">
      <c r="A174" s="8"/>
      <c r="B174" s="2"/>
      <c r="C174" s="8" t="s">
        <v>291</v>
      </c>
      <c r="D174" s="10"/>
      <c r="E174" s="9"/>
      <c r="F174" s="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</row>
    <row r="175" spans="1:19" s="4" customFormat="1" x14ac:dyDescent="0.2">
      <c r="A175" s="8"/>
      <c r="B175" s="2"/>
      <c r="C175" s="8" t="s">
        <v>292</v>
      </c>
      <c r="D175" s="10"/>
      <c r="E175" s="9"/>
      <c r="F175" s="12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  <c r="R175" s="44"/>
    </row>
    <row r="176" spans="1:19" s="4" customFormat="1" x14ac:dyDescent="0.2">
      <c r="A176" s="8"/>
      <c r="B176" s="2"/>
      <c r="C176" s="8"/>
      <c r="D176" s="10"/>
      <c r="E176" s="9"/>
      <c r="F176" s="12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</row>
    <row r="177" spans="1:7" s="4" customFormat="1" x14ac:dyDescent="0.2">
      <c r="A177" s="8"/>
      <c r="B177" s="2"/>
      <c r="C177" s="8" t="s">
        <v>293</v>
      </c>
      <c r="D177" s="10"/>
      <c r="E177" s="9"/>
      <c r="F177" s="12"/>
      <c r="G177" s="28"/>
    </row>
    <row r="178" spans="1:7" s="4" customFormat="1" x14ac:dyDescent="0.2">
      <c r="A178" s="8"/>
      <c r="B178" s="2"/>
      <c r="C178" s="8" t="s">
        <v>294</v>
      </c>
      <c r="D178" s="10"/>
      <c r="E178" s="9"/>
      <c r="F178" s="12"/>
      <c r="G178" s="28"/>
    </row>
    <row r="179" spans="1:7" s="4" customFormat="1" x14ac:dyDescent="0.2">
      <c r="A179" s="8"/>
      <c r="B179" s="2"/>
      <c r="C179" s="10"/>
      <c r="D179" s="10"/>
      <c r="E179" s="9"/>
      <c r="F179" s="8"/>
      <c r="G179" s="28"/>
    </row>
    <row r="180" spans="1:7" s="4" customFormat="1" x14ac:dyDescent="0.2">
      <c r="A180" s="8"/>
      <c r="B180" s="2"/>
      <c r="C180" s="10"/>
      <c r="D180" s="10"/>
      <c r="E180" s="9"/>
      <c r="F180" s="8"/>
      <c r="G180" s="28"/>
    </row>
    <row r="181" spans="1:7" s="4" customFormat="1" x14ac:dyDescent="0.2">
      <c r="A181" s="8"/>
      <c r="B181" s="2"/>
      <c r="C181" s="10"/>
      <c r="D181" s="10"/>
      <c r="E181" s="9"/>
      <c r="F181" s="8"/>
      <c r="G181" s="28"/>
    </row>
    <row r="182" spans="1:7" s="4" customFormat="1" x14ac:dyDescent="0.2">
      <c r="A182" s="8"/>
      <c r="B182" s="2"/>
      <c r="C182" s="10"/>
      <c r="D182" s="10"/>
      <c r="E182" s="9"/>
      <c r="F182" s="8"/>
      <c r="G182" s="28"/>
    </row>
    <row r="183" spans="1:7" s="4" customFormat="1" x14ac:dyDescent="0.2">
      <c r="A183" s="8"/>
      <c r="B183" s="2"/>
      <c r="C183" s="10"/>
      <c r="D183" s="10"/>
      <c r="E183" s="9"/>
      <c r="F183" s="8"/>
      <c r="G183" s="28"/>
    </row>
    <row r="184" spans="1:7" s="4" customFormat="1" x14ac:dyDescent="0.2">
      <c r="A184" s="8"/>
      <c r="B184" s="2"/>
      <c r="C184" s="10"/>
      <c r="D184" s="10"/>
      <c r="E184" s="9"/>
      <c r="F184" s="8"/>
      <c r="G184" s="28"/>
    </row>
    <row r="185" spans="1:7" s="4" customFormat="1" x14ac:dyDescent="0.2">
      <c r="A185" s="8"/>
      <c r="B185" s="2"/>
      <c r="C185" s="10"/>
      <c r="D185" s="10"/>
      <c r="E185" s="9"/>
      <c r="F185" s="8"/>
      <c r="G185" s="28"/>
    </row>
    <row r="186" spans="1:7" s="4" customFormat="1" x14ac:dyDescent="0.2">
      <c r="A186" s="8"/>
      <c r="B186" s="2"/>
      <c r="C186" s="10"/>
      <c r="D186" s="10"/>
      <c r="E186" s="9"/>
      <c r="F186" s="8"/>
      <c r="G186" s="28"/>
    </row>
    <row r="187" spans="1:7" s="4" customFormat="1" x14ac:dyDescent="0.2">
      <c r="A187" s="8"/>
      <c r="B187" s="2"/>
      <c r="C187" s="10"/>
      <c r="D187" s="10"/>
      <c r="E187" s="9"/>
      <c r="F187" s="8"/>
      <c r="G187" s="28"/>
    </row>
    <row r="188" spans="1:7" s="4" customFormat="1" x14ac:dyDescent="0.2">
      <c r="A188" s="8"/>
      <c r="B188" s="2"/>
      <c r="C188" s="10"/>
      <c r="D188" s="10"/>
      <c r="E188" s="9"/>
      <c r="F188" s="8"/>
      <c r="G188" s="28"/>
    </row>
    <row r="189" spans="1:7" s="4" customFormat="1" x14ac:dyDescent="0.2">
      <c r="A189" s="8"/>
      <c r="B189" s="2"/>
      <c r="C189" s="10"/>
      <c r="D189" s="10"/>
      <c r="E189" s="9"/>
      <c r="F189" s="8"/>
      <c r="G189" s="28"/>
    </row>
    <row r="190" spans="1:7" s="4" customFormat="1" x14ac:dyDescent="0.2">
      <c r="A190" s="8"/>
      <c r="B190" s="2"/>
      <c r="C190" s="10"/>
      <c r="D190" s="10"/>
      <c r="E190" s="9"/>
      <c r="F190" s="8"/>
      <c r="G190" s="28"/>
    </row>
    <row r="191" spans="1:7" s="4" customFormat="1" x14ac:dyDescent="0.2">
      <c r="A191" s="8"/>
      <c r="B191" s="2"/>
      <c r="C191" s="10"/>
      <c r="D191" s="10"/>
      <c r="E191" s="9"/>
      <c r="F191" s="8"/>
      <c r="G191" s="28"/>
    </row>
    <row r="192" spans="1:7" s="4" customFormat="1" x14ac:dyDescent="0.2">
      <c r="A192" s="8"/>
      <c r="B192" s="2"/>
      <c r="C192" s="10"/>
      <c r="D192" s="10"/>
      <c r="E192" s="9"/>
      <c r="F192" s="8"/>
      <c r="G192" s="28"/>
    </row>
    <row r="193" spans="1:7" s="4" customFormat="1" x14ac:dyDescent="0.2">
      <c r="A193" s="8"/>
      <c r="B193" s="2"/>
      <c r="C193" s="10"/>
      <c r="D193" s="10"/>
      <c r="E193" s="9"/>
      <c r="F193" s="8"/>
      <c r="G193" s="28"/>
    </row>
    <row r="194" spans="1:7" s="4" customFormat="1" x14ac:dyDescent="0.2">
      <c r="A194" s="8"/>
      <c r="B194" s="2"/>
      <c r="C194" s="10"/>
      <c r="D194" s="10"/>
      <c r="E194" s="9"/>
      <c r="F194" s="8"/>
      <c r="G194" s="28"/>
    </row>
    <row r="195" spans="1:7" s="4" customFormat="1" x14ac:dyDescent="0.2">
      <c r="A195" s="8"/>
      <c r="B195" s="2"/>
      <c r="C195" s="10"/>
      <c r="D195" s="10"/>
      <c r="E195" s="9"/>
      <c r="F195" s="8"/>
      <c r="G195" s="28"/>
    </row>
    <row r="196" spans="1:7" s="4" customFormat="1" x14ac:dyDescent="0.2">
      <c r="A196" s="8"/>
      <c r="B196" s="2"/>
      <c r="C196" s="10"/>
      <c r="D196" s="10"/>
      <c r="E196" s="9"/>
      <c r="F196" s="8"/>
      <c r="G196" s="28"/>
    </row>
    <row r="197" spans="1:7" s="4" customFormat="1" x14ac:dyDescent="0.2">
      <c r="A197" s="8"/>
      <c r="B197" s="2"/>
      <c r="C197" s="10"/>
      <c r="D197" s="10"/>
      <c r="E197" s="9"/>
      <c r="F197" s="8"/>
      <c r="G197" s="28"/>
    </row>
    <row r="198" spans="1:7" s="4" customFormat="1" x14ac:dyDescent="0.2">
      <c r="A198" s="8"/>
      <c r="B198" s="2"/>
      <c r="C198" s="10"/>
      <c r="D198" s="10"/>
      <c r="E198" s="9"/>
      <c r="F198" s="8"/>
      <c r="G198" s="28"/>
    </row>
    <row r="199" spans="1:7" s="4" customFormat="1" x14ac:dyDescent="0.2">
      <c r="A199" s="8"/>
      <c r="B199" s="2"/>
      <c r="C199" s="10"/>
      <c r="D199" s="10"/>
      <c r="E199" s="9"/>
      <c r="F199" s="8"/>
      <c r="G199" s="28"/>
    </row>
    <row r="200" spans="1:7" s="4" customFormat="1" x14ac:dyDescent="0.2">
      <c r="A200" s="8"/>
      <c r="B200" s="2"/>
      <c r="C200" s="10"/>
      <c r="D200" s="10"/>
      <c r="E200" s="9"/>
      <c r="F200" s="8"/>
      <c r="G200" s="28"/>
    </row>
    <row r="201" spans="1:7" s="4" customFormat="1" x14ac:dyDescent="0.2">
      <c r="A201" s="8"/>
      <c r="B201" s="2"/>
      <c r="C201" s="10"/>
      <c r="D201" s="10"/>
      <c r="E201" s="9"/>
      <c r="F201" s="8"/>
      <c r="G201" s="28"/>
    </row>
    <row r="202" spans="1:7" s="4" customFormat="1" x14ac:dyDescent="0.2">
      <c r="A202" s="8"/>
      <c r="B202" s="2"/>
      <c r="C202" s="10"/>
      <c r="D202" s="10"/>
      <c r="E202" s="9"/>
      <c r="F202" s="8"/>
      <c r="G202" s="28"/>
    </row>
  </sheetData>
  <mergeCells count="1">
    <mergeCell ref="D92:E92"/>
  </mergeCells>
  <conditionalFormatting sqref="H141:Q141">
    <cfRule type="cellIs" dxfId="1389" priority="51" stopIfTrue="1" operator="greaterThan">
      <formula>$E$141</formula>
    </cfRule>
    <cfRule type="cellIs" dxfId="1388" priority="52" stopIfTrue="1" operator="lessThanOrEqual">
      <formula>$E$141</formula>
    </cfRule>
  </conditionalFormatting>
  <conditionalFormatting sqref="H143:Q143">
    <cfRule type="cellIs" dxfId="1387" priority="49" stopIfTrue="1" operator="lessThanOrEqual">
      <formula>$E$143</formula>
    </cfRule>
    <cfRule type="cellIs" dxfId="1386" priority="50" stopIfTrue="1" operator="greaterThan">
      <formula>$E$143</formula>
    </cfRule>
  </conditionalFormatting>
  <conditionalFormatting sqref="H121:Q121">
    <cfRule type="cellIs" dxfId="1385" priority="47" operator="greaterThan">
      <formula>$E$121</formula>
    </cfRule>
    <cfRule type="cellIs" dxfId="1384" priority="48" operator="lessThanOrEqual">
      <formula>$E$121</formula>
    </cfRule>
  </conditionalFormatting>
  <conditionalFormatting sqref="H124:Q124">
    <cfRule type="cellIs" dxfId="1383" priority="45" stopIfTrue="1" operator="greaterThanOrEqual">
      <formula>$E$124</formula>
    </cfRule>
    <cfRule type="cellIs" dxfId="1382" priority="46" stopIfTrue="1" operator="lessThan">
      <formula>$E$124</formula>
    </cfRule>
  </conditionalFormatting>
  <conditionalFormatting sqref="H126:Q126">
    <cfRule type="cellIs" dxfId="1381" priority="43" stopIfTrue="1" operator="lessThan">
      <formula>$E$126</formula>
    </cfRule>
    <cfRule type="cellIs" dxfId="1380" priority="44" stopIfTrue="1" operator="greaterThanOrEqual">
      <formula>$E$126</formula>
    </cfRule>
  </conditionalFormatting>
  <conditionalFormatting sqref="H125:Q125">
    <cfRule type="cellIs" dxfId="1379" priority="41" stopIfTrue="1" operator="greaterThan">
      <formula>$E$125</formula>
    </cfRule>
    <cfRule type="cellIs" dxfId="1378" priority="42" stopIfTrue="1" operator="lessThanOrEqual">
      <formula>$E$125</formula>
    </cfRule>
  </conditionalFormatting>
  <conditionalFormatting sqref="H122:Q122">
    <cfRule type="cellIs" dxfId="1377" priority="30" stopIfTrue="1" operator="between">
      <formula>$D$122</formula>
      <formula>$E$122</formula>
    </cfRule>
    <cfRule type="cellIs" dxfId="1376" priority="39" stopIfTrue="1" operator="lessThanOrEqual">
      <formula>$D$122</formula>
    </cfRule>
    <cfRule type="cellIs" dxfId="1375" priority="40" stopIfTrue="1" operator="greaterThan">
      <formula>$E$122</formula>
    </cfRule>
  </conditionalFormatting>
  <conditionalFormatting sqref="H142:Q142">
    <cfRule type="cellIs" dxfId="1374" priority="37" stopIfTrue="1" operator="greaterThan">
      <formula>$E$142</formula>
    </cfRule>
    <cfRule type="cellIs" dxfId="1373" priority="38" stopIfTrue="1" operator="lessThanOrEqual">
      <formula>$E$142</formula>
    </cfRule>
  </conditionalFormatting>
  <conditionalFormatting sqref="H130:Q130">
    <cfRule type="cellIs" dxfId="1372" priority="35" stopIfTrue="1" operator="greaterThan">
      <formula>$E$130</formula>
    </cfRule>
    <cfRule type="cellIs" dxfId="1371" priority="36" stopIfTrue="1" operator="lessThanOrEqual">
      <formula>$E$130</formula>
    </cfRule>
  </conditionalFormatting>
  <conditionalFormatting sqref="H131:Q131">
    <cfRule type="cellIs" dxfId="1370" priority="33" stopIfTrue="1" operator="lessThan">
      <formula>$E$131</formula>
    </cfRule>
    <cfRule type="cellIs" dxfId="1369" priority="34" stopIfTrue="1" operator="greaterThanOrEqual">
      <formula>$E$131</formula>
    </cfRule>
  </conditionalFormatting>
  <conditionalFormatting sqref="H114:Q114">
    <cfRule type="cellIs" dxfId="1368" priority="53" stopIfTrue="1" operator="lessThan">
      <formula>$D$114</formula>
    </cfRule>
    <cfRule type="cellIs" dxfId="1367" priority="54" stopIfTrue="1" operator="between">
      <formula>$D$114</formula>
      <formula>$E$114</formula>
    </cfRule>
    <cfRule type="cellIs" dxfId="1366" priority="55" stopIfTrue="1" operator="greaterThan">
      <formula>$E$114</formula>
    </cfRule>
  </conditionalFormatting>
  <conditionalFormatting sqref="H138:Q138">
    <cfRule type="cellIs" dxfId="1365" priority="56" stopIfTrue="1" operator="lessThan">
      <formula>$E$138</formula>
    </cfRule>
    <cfRule type="cellIs" dxfId="1364" priority="57" stopIfTrue="1" operator="between">
      <formula>$D$138</formula>
      <formula>$E$138</formula>
    </cfRule>
    <cfRule type="cellIs" dxfId="1363" priority="58" stopIfTrue="1" operator="greaterThanOrEqual">
      <formula>$D$138</formula>
    </cfRule>
  </conditionalFormatting>
  <conditionalFormatting sqref="H111:Q111">
    <cfRule type="cellIs" dxfId="1362" priority="31" stopIfTrue="1" operator="lessThan">
      <formula>$E$111</formula>
    </cfRule>
    <cfRule type="cellIs" dxfId="1361" priority="32" stopIfTrue="1" operator="greaterThan">
      <formula>$E$111</formula>
    </cfRule>
  </conditionalFormatting>
  <conditionalFormatting sqref="R141:S141">
    <cfRule type="cellIs" dxfId="1360" priority="22" stopIfTrue="1" operator="greaterThan">
      <formula>$E$141</formula>
    </cfRule>
    <cfRule type="cellIs" dxfId="1359" priority="23" stopIfTrue="1" operator="lessThanOrEqual">
      <formula>$E$141</formula>
    </cfRule>
  </conditionalFormatting>
  <conditionalFormatting sqref="R143:S143">
    <cfRule type="cellIs" dxfId="1358" priority="20" stopIfTrue="1" operator="lessThanOrEqual">
      <formula>$E$143</formula>
    </cfRule>
    <cfRule type="cellIs" dxfId="1357" priority="21" stopIfTrue="1" operator="greaterThan">
      <formula>$E$143</formula>
    </cfRule>
  </conditionalFormatting>
  <conditionalFormatting sqref="R121:S121">
    <cfRule type="cellIs" dxfId="1356" priority="18" operator="greaterThan">
      <formula>$E$121</formula>
    </cfRule>
    <cfRule type="cellIs" dxfId="1355" priority="19" operator="lessThanOrEqual">
      <formula>$E$121</formula>
    </cfRule>
  </conditionalFormatting>
  <conditionalFormatting sqref="R124:S124">
    <cfRule type="cellIs" dxfId="1354" priority="16" stopIfTrue="1" operator="greaterThanOrEqual">
      <formula>$E$124</formula>
    </cfRule>
    <cfRule type="cellIs" dxfId="1353" priority="17" stopIfTrue="1" operator="lessThan">
      <formula>$E$124</formula>
    </cfRule>
  </conditionalFormatting>
  <conditionalFormatting sqref="R126:S126">
    <cfRule type="cellIs" dxfId="1352" priority="14" stopIfTrue="1" operator="lessThan">
      <formula>$E$126</formula>
    </cfRule>
    <cfRule type="cellIs" dxfId="1351" priority="15" stopIfTrue="1" operator="greaterThanOrEqual">
      <formula>$E$126</formula>
    </cfRule>
  </conditionalFormatting>
  <conditionalFormatting sqref="R125:S125">
    <cfRule type="cellIs" dxfId="1350" priority="12" stopIfTrue="1" operator="greaterThan">
      <formula>$E$125</formula>
    </cfRule>
    <cfRule type="cellIs" dxfId="1349" priority="13" stopIfTrue="1" operator="lessThanOrEqual">
      <formula>$E$125</formula>
    </cfRule>
  </conditionalFormatting>
  <conditionalFormatting sqref="R122:S122">
    <cfRule type="cellIs" dxfId="1348" priority="1" stopIfTrue="1" operator="between">
      <formula>$D$122</formula>
      <formula>$E$122</formula>
    </cfRule>
    <cfRule type="cellIs" dxfId="1347" priority="10" stopIfTrue="1" operator="lessThanOrEqual">
      <formula>$D$122</formula>
    </cfRule>
    <cfRule type="cellIs" dxfId="1346" priority="11" stopIfTrue="1" operator="greaterThan">
      <formula>$E$122</formula>
    </cfRule>
  </conditionalFormatting>
  <conditionalFormatting sqref="R142:S142">
    <cfRule type="cellIs" dxfId="1345" priority="8" stopIfTrue="1" operator="greaterThan">
      <formula>$E$142</formula>
    </cfRule>
    <cfRule type="cellIs" dxfId="1344" priority="9" stopIfTrue="1" operator="lessThanOrEqual">
      <formula>$E$142</formula>
    </cfRule>
  </conditionalFormatting>
  <conditionalFormatting sqref="R130:S130">
    <cfRule type="cellIs" dxfId="1343" priority="6" stopIfTrue="1" operator="greaterThan">
      <formula>$E$130</formula>
    </cfRule>
    <cfRule type="cellIs" dxfId="1342" priority="7" stopIfTrue="1" operator="lessThanOrEqual">
      <formula>$E$130</formula>
    </cfRule>
  </conditionalFormatting>
  <conditionalFormatting sqref="R131:S131">
    <cfRule type="cellIs" dxfId="1341" priority="4" stopIfTrue="1" operator="lessThan">
      <formula>$E$131</formula>
    </cfRule>
    <cfRule type="cellIs" dxfId="1340" priority="5" stopIfTrue="1" operator="greaterThanOrEqual">
      <formula>$E$131</formula>
    </cfRule>
  </conditionalFormatting>
  <conditionalFormatting sqref="R114:S114">
    <cfRule type="cellIs" dxfId="1339" priority="24" stopIfTrue="1" operator="lessThan">
      <formula>$D$114</formula>
    </cfRule>
    <cfRule type="cellIs" dxfId="1338" priority="25" stopIfTrue="1" operator="between">
      <formula>$D$114</formula>
      <formula>$E$114</formula>
    </cfRule>
    <cfRule type="cellIs" dxfId="1337" priority="26" stopIfTrue="1" operator="greaterThan">
      <formula>$E$114</formula>
    </cfRule>
  </conditionalFormatting>
  <conditionalFormatting sqref="R138:S138">
    <cfRule type="cellIs" dxfId="1336" priority="27" stopIfTrue="1" operator="lessThan">
      <formula>$E$138</formula>
    </cfRule>
    <cfRule type="cellIs" dxfId="1335" priority="28" stopIfTrue="1" operator="between">
      <formula>$D$138</formula>
      <formula>$E$138</formula>
    </cfRule>
    <cfRule type="cellIs" dxfId="1334" priority="29" stopIfTrue="1" operator="greaterThanOrEqual">
      <formula>$D$138</formula>
    </cfRule>
  </conditionalFormatting>
  <conditionalFormatting sqref="R111:S111">
    <cfRule type="cellIs" dxfId="1333" priority="2" stopIfTrue="1" operator="lessThan">
      <formula>$E$111</formula>
    </cfRule>
    <cfRule type="cellIs" dxfId="1332" priority="3" stopIfTrue="1" operator="greaterThan">
      <formula>$E$111</formula>
    </cfRule>
  </conditionalFormatting>
  <pageMargins left="0.75" right="0.75" top="1" bottom="1" header="0.3" footer="0.3"/>
  <pageSetup paperSize="9" orientation="portrait" horizontalDpi="300" verticalDpi="30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36BCE2-ACF4-431E-8041-BF4BE7E31F9B}">
  <dimension ref="A1:U202"/>
  <sheetViews>
    <sheetView workbookViewId="0">
      <selection activeCell="G2" sqref="G2"/>
    </sheetView>
  </sheetViews>
  <sheetFormatPr defaultRowHeight="11.25" outlineLevelCol="1" x14ac:dyDescent="0.2"/>
  <cols>
    <col min="1" max="1" width="7" style="47" customWidth="1"/>
    <col min="2" max="2" width="4.7109375" style="47" bestFit="1" customWidth="1"/>
    <col min="3" max="3" width="9.140625" style="47"/>
    <col min="4" max="5" width="5.140625" style="47" bestFit="1" customWidth="1"/>
    <col min="6" max="6" width="2.42578125" style="8" customWidth="1"/>
    <col min="7" max="7" width="28.7109375" style="47" customWidth="1"/>
    <col min="8" max="12" width="7.85546875" style="47" hidden="1" customWidth="1" outlineLevel="1"/>
    <col min="13" max="13" width="8.7109375" style="47" bestFit="1" customWidth="1" collapsed="1"/>
    <col min="14" max="14" width="10.42578125" style="47" customWidth="1"/>
    <col min="15" max="19" width="8.7109375" style="47" bestFit="1" customWidth="1"/>
    <col min="20" max="20" width="3.140625" style="47" customWidth="1"/>
    <col min="21" max="256" width="9.140625" style="47"/>
    <col min="257" max="257" width="7" style="47" customWidth="1"/>
    <col min="258" max="258" width="4.7109375" style="47" bestFit="1" customWidth="1"/>
    <col min="259" max="259" width="9.140625" style="47"/>
    <col min="260" max="261" width="5.140625" style="47" bestFit="1" customWidth="1"/>
    <col min="262" max="262" width="2.42578125" style="47" customWidth="1"/>
    <col min="263" max="263" width="28.7109375" style="47" customWidth="1"/>
    <col min="264" max="268" width="0" style="47" hidden="1" customWidth="1"/>
    <col min="269" max="269" width="8.7109375" style="47" bestFit="1" customWidth="1"/>
    <col min="270" max="270" width="10.42578125" style="47" customWidth="1"/>
    <col min="271" max="275" width="8.7109375" style="47" bestFit="1" customWidth="1"/>
    <col min="276" max="276" width="3.140625" style="47" customWidth="1"/>
    <col min="277" max="512" width="9.140625" style="47"/>
    <col min="513" max="513" width="7" style="47" customWidth="1"/>
    <col min="514" max="514" width="4.7109375" style="47" bestFit="1" customWidth="1"/>
    <col min="515" max="515" width="9.140625" style="47"/>
    <col min="516" max="517" width="5.140625" style="47" bestFit="1" customWidth="1"/>
    <col min="518" max="518" width="2.42578125" style="47" customWidth="1"/>
    <col min="519" max="519" width="28.7109375" style="47" customWidth="1"/>
    <col min="520" max="524" width="0" style="47" hidden="1" customWidth="1"/>
    <col min="525" max="525" width="8.7109375" style="47" bestFit="1" customWidth="1"/>
    <col min="526" max="526" width="10.42578125" style="47" customWidth="1"/>
    <col min="527" max="531" width="8.7109375" style="47" bestFit="1" customWidth="1"/>
    <col min="532" max="532" width="3.140625" style="47" customWidth="1"/>
    <col min="533" max="768" width="9.140625" style="47"/>
    <col min="769" max="769" width="7" style="47" customWidth="1"/>
    <col min="770" max="770" width="4.7109375" style="47" bestFit="1" customWidth="1"/>
    <col min="771" max="771" width="9.140625" style="47"/>
    <col min="772" max="773" width="5.140625" style="47" bestFit="1" customWidth="1"/>
    <col min="774" max="774" width="2.42578125" style="47" customWidth="1"/>
    <col min="775" max="775" width="28.7109375" style="47" customWidth="1"/>
    <col min="776" max="780" width="0" style="47" hidden="1" customWidth="1"/>
    <col min="781" max="781" width="8.7109375" style="47" bestFit="1" customWidth="1"/>
    <col min="782" max="782" width="10.42578125" style="47" customWidth="1"/>
    <col min="783" max="787" width="8.7109375" style="47" bestFit="1" customWidth="1"/>
    <col min="788" max="788" width="3.140625" style="47" customWidth="1"/>
    <col min="789" max="1024" width="9.140625" style="47"/>
    <col min="1025" max="1025" width="7" style="47" customWidth="1"/>
    <col min="1026" max="1026" width="4.7109375" style="47" bestFit="1" customWidth="1"/>
    <col min="1027" max="1027" width="9.140625" style="47"/>
    <col min="1028" max="1029" width="5.140625" style="47" bestFit="1" customWidth="1"/>
    <col min="1030" max="1030" width="2.42578125" style="47" customWidth="1"/>
    <col min="1031" max="1031" width="28.7109375" style="47" customWidth="1"/>
    <col min="1032" max="1036" width="0" style="47" hidden="1" customWidth="1"/>
    <col min="1037" max="1037" width="8.7109375" style="47" bestFit="1" customWidth="1"/>
    <col min="1038" max="1038" width="10.42578125" style="47" customWidth="1"/>
    <col min="1039" max="1043" width="8.7109375" style="47" bestFit="1" customWidth="1"/>
    <col min="1044" max="1044" width="3.140625" style="47" customWidth="1"/>
    <col min="1045" max="1280" width="9.140625" style="47"/>
    <col min="1281" max="1281" width="7" style="47" customWidth="1"/>
    <col min="1282" max="1282" width="4.7109375" style="47" bestFit="1" customWidth="1"/>
    <col min="1283" max="1283" width="9.140625" style="47"/>
    <col min="1284" max="1285" width="5.140625" style="47" bestFit="1" customWidth="1"/>
    <col min="1286" max="1286" width="2.42578125" style="47" customWidth="1"/>
    <col min="1287" max="1287" width="28.7109375" style="47" customWidth="1"/>
    <col min="1288" max="1292" width="0" style="47" hidden="1" customWidth="1"/>
    <col min="1293" max="1293" width="8.7109375" style="47" bestFit="1" customWidth="1"/>
    <col min="1294" max="1294" width="10.42578125" style="47" customWidth="1"/>
    <col min="1295" max="1299" width="8.7109375" style="47" bestFit="1" customWidth="1"/>
    <col min="1300" max="1300" width="3.140625" style="47" customWidth="1"/>
    <col min="1301" max="1536" width="9.140625" style="47"/>
    <col min="1537" max="1537" width="7" style="47" customWidth="1"/>
    <col min="1538" max="1538" width="4.7109375" style="47" bestFit="1" customWidth="1"/>
    <col min="1539" max="1539" width="9.140625" style="47"/>
    <col min="1540" max="1541" width="5.140625" style="47" bestFit="1" customWidth="1"/>
    <col min="1542" max="1542" width="2.42578125" style="47" customWidth="1"/>
    <col min="1543" max="1543" width="28.7109375" style="47" customWidth="1"/>
    <col min="1544" max="1548" width="0" style="47" hidden="1" customWidth="1"/>
    <col min="1549" max="1549" width="8.7109375" style="47" bestFit="1" customWidth="1"/>
    <col min="1550" max="1550" width="10.42578125" style="47" customWidth="1"/>
    <col min="1551" max="1555" width="8.7109375" style="47" bestFit="1" customWidth="1"/>
    <col min="1556" max="1556" width="3.140625" style="47" customWidth="1"/>
    <col min="1557" max="1792" width="9.140625" style="47"/>
    <col min="1793" max="1793" width="7" style="47" customWidth="1"/>
    <col min="1794" max="1794" width="4.7109375" style="47" bestFit="1" customWidth="1"/>
    <col min="1795" max="1795" width="9.140625" style="47"/>
    <col min="1796" max="1797" width="5.140625" style="47" bestFit="1" customWidth="1"/>
    <col min="1798" max="1798" width="2.42578125" style="47" customWidth="1"/>
    <col min="1799" max="1799" width="28.7109375" style="47" customWidth="1"/>
    <col min="1800" max="1804" width="0" style="47" hidden="1" customWidth="1"/>
    <col min="1805" max="1805" width="8.7109375" style="47" bestFit="1" customWidth="1"/>
    <col min="1806" max="1806" width="10.42578125" style="47" customWidth="1"/>
    <col min="1807" max="1811" width="8.7109375" style="47" bestFit="1" customWidth="1"/>
    <col min="1812" max="1812" width="3.140625" style="47" customWidth="1"/>
    <col min="1813" max="2048" width="9.140625" style="47"/>
    <col min="2049" max="2049" width="7" style="47" customWidth="1"/>
    <col min="2050" max="2050" width="4.7109375" style="47" bestFit="1" customWidth="1"/>
    <col min="2051" max="2051" width="9.140625" style="47"/>
    <col min="2052" max="2053" width="5.140625" style="47" bestFit="1" customWidth="1"/>
    <col min="2054" max="2054" width="2.42578125" style="47" customWidth="1"/>
    <col min="2055" max="2055" width="28.7109375" style="47" customWidth="1"/>
    <col min="2056" max="2060" width="0" style="47" hidden="1" customWidth="1"/>
    <col min="2061" max="2061" width="8.7109375" style="47" bestFit="1" customWidth="1"/>
    <col min="2062" max="2062" width="10.42578125" style="47" customWidth="1"/>
    <col min="2063" max="2067" width="8.7109375" style="47" bestFit="1" customWidth="1"/>
    <col min="2068" max="2068" width="3.140625" style="47" customWidth="1"/>
    <col min="2069" max="2304" width="9.140625" style="47"/>
    <col min="2305" max="2305" width="7" style="47" customWidth="1"/>
    <col min="2306" max="2306" width="4.7109375" style="47" bestFit="1" customWidth="1"/>
    <col min="2307" max="2307" width="9.140625" style="47"/>
    <col min="2308" max="2309" width="5.140625" style="47" bestFit="1" customWidth="1"/>
    <col min="2310" max="2310" width="2.42578125" style="47" customWidth="1"/>
    <col min="2311" max="2311" width="28.7109375" style="47" customWidth="1"/>
    <col min="2312" max="2316" width="0" style="47" hidden="1" customWidth="1"/>
    <col min="2317" max="2317" width="8.7109375" style="47" bestFit="1" customWidth="1"/>
    <col min="2318" max="2318" width="10.42578125" style="47" customWidth="1"/>
    <col min="2319" max="2323" width="8.7109375" style="47" bestFit="1" customWidth="1"/>
    <col min="2324" max="2324" width="3.140625" style="47" customWidth="1"/>
    <col min="2325" max="2560" width="9.140625" style="47"/>
    <col min="2561" max="2561" width="7" style="47" customWidth="1"/>
    <col min="2562" max="2562" width="4.7109375" style="47" bestFit="1" customWidth="1"/>
    <col min="2563" max="2563" width="9.140625" style="47"/>
    <col min="2564" max="2565" width="5.140625" style="47" bestFit="1" customWidth="1"/>
    <col min="2566" max="2566" width="2.42578125" style="47" customWidth="1"/>
    <col min="2567" max="2567" width="28.7109375" style="47" customWidth="1"/>
    <col min="2568" max="2572" width="0" style="47" hidden="1" customWidth="1"/>
    <col min="2573" max="2573" width="8.7109375" style="47" bestFit="1" customWidth="1"/>
    <col min="2574" max="2574" width="10.42578125" style="47" customWidth="1"/>
    <col min="2575" max="2579" width="8.7109375" style="47" bestFit="1" customWidth="1"/>
    <col min="2580" max="2580" width="3.140625" style="47" customWidth="1"/>
    <col min="2581" max="2816" width="9.140625" style="47"/>
    <col min="2817" max="2817" width="7" style="47" customWidth="1"/>
    <col min="2818" max="2818" width="4.7109375" style="47" bestFit="1" customWidth="1"/>
    <col min="2819" max="2819" width="9.140625" style="47"/>
    <col min="2820" max="2821" width="5.140625" style="47" bestFit="1" customWidth="1"/>
    <col min="2822" max="2822" width="2.42578125" style="47" customWidth="1"/>
    <col min="2823" max="2823" width="28.7109375" style="47" customWidth="1"/>
    <col min="2824" max="2828" width="0" style="47" hidden="1" customWidth="1"/>
    <col min="2829" max="2829" width="8.7109375" style="47" bestFit="1" customWidth="1"/>
    <col min="2830" max="2830" width="10.42578125" style="47" customWidth="1"/>
    <col min="2831" max="2835" width="8.7109375" style="47" bestFit="1" customWidth="1"/>
    <col min="2836" max="2836" width="3.140625" style="47" customWidth="1"/>
    <col min="2837" max="3072" width="9.140625" style="47"/>
    <col min="3073" max="3073" width="7" style="47" customWidth="1"/>
    <col min="3074" max="3074" width="4.7109375" style="47" bestFit="1" customWidth="1"/>
    <col min="3075" max="3075" width="9.140625" style="47"/>
    <col min="3076" max="3077" width="5.140625" style="47" bestFit="1" customWidth="1"/>
    <col min="3078" max="3078" width="2.42578125" style="47" customWidth="1"/>
    <col min="3079" max="3079" width="28.7109375" style="47" customWidth="1"/>
    <col min="3080" max="3084" width="0" style="47" hidden="1" customWidth="1"/>
    <col min="3085" max="3085" width="8.7109375" style="47" bestFit="1" customWidth="1"/>
    <col min="3086" max="3086" width="10.42578125" style="47" customWidth="1"/>
    <col min="3087" max="3091" width="8.7109375" style="47" bestFit="1" customWidth="1"/>
    <col min="3092" max="3092" width="3.140625" style="47" customWidth="1"/>
    <col min="3093" max="3328" width="9.140625" style="47"/>
    <col min="3329" max="3329" width="7" style="47" customWidth="1"/>
    <col min="3330" max="3330" width="4.7109375" style="47" bestFit="1" customWidth="1"/>
    <col min="3331" max="3331" width="9.140625" style="47"/>
    <col min="3332" max="3333" width="5.140625" style="47" bestFit="1" customWidth="1"/>
    <col min="3334" max="3334" width="2.42578125" style="47" customWidth="1"/>
    <col min="3335" max="3335" width="28.7109375" style="47" customWidth="1"/>
    <col min="3336" max="3340" width="0" style="47" hidden="1" customWidth="1"/>
    <col min="3341" max="3341" width="8.7109375" style="47" bestFit="1" customWidth="1"/>
    <col min="3342" max="3342" width="10.42578125" style="47" customWidth="1"/>
    <col min="3343" max="3347" width="8.7109375" style="47" bestFit="1" customWidth="1"/>
    <col min="3348" max="3348" width="3.140625" style="47" customWidth="1"/>
    <col min="3349" max="3584" width="9.140625" style="47"/>
    <col min="3585" max="3585" width="7" style="47" customWidth="1"/>
    <col min="3586" max="3586" width="4.7109375" style="47" bestFit="1" customWidth="1"/>
    <col min="3587" max="3587" width="9.140625" style="47"/>
    <col min="3588" max="3589" width="5.140625" style="47" bestFit="1" customWidth="1"/>
    <col min="3590" max="3590" width="2.42578125" style="47" customWidth="1"/>
    <col min="3591" max="3591" width="28.7109375" style="47" customWidth="1"/>
    <col min="3592" max="3596" width="0" style="47" hidden="1" customWidth="1"/>
    <col min="3597" max="3597" width="8.7109375" style="47" bestFit="1" customWidth="1"/>
    <col min="3598" max="3598" width="10.42578125" style="47" customWidth="1"/>
    <col min="3599" max="3603" width="8.7109375" style="47" bestFit="1" customWidth="1"/>
    <col min="3604" max="3604" width="3.140625" style="47" customWidth="1"/>
    <col min="3605" max="3840" width="9.140625" style="47"/>
    <col min="3841" max="3841" width="7" style="47" customWidth="1"/>
    <col min="3842" max="3842" width="4.7109375" style="47" bestFit="1" customWidth="1"/>
    <col min="3843" max="3843" width="9.140625" style="47"/>
    <col min="3844" max="3845" width="5.140625" style="47" bestFit="1" customWidth="1"/>
    <col min="3846" max="3846" width="2.42578125" style="47" customWidth="1"/>
    <col min="3847" max="3847" width="28.7109375" style="47" customWidth="1"/>
    <col min="3848" max="3852" width="0" style="47" hidden="1" customWidth="1"/>
    <col min="3853" max="3853" width="8.7109375" style="47" bestFit="1" customWidth="1"/>
    <col min="3854" max="3854" width="10.42578125" style="47" customWidth="1"/>
    <col min="3855" max="3859" width="8.7109375" style="47" bestFit="1" customWidth="1"/>
    <col min="3860" max="3860" width="3.140625" style="47" customWidth="1"/>
    <col min="3861" max="4096" width="9.140625" style="47"/>
    <col min="4097" max="4097" width="7" style="47" customWidth="1"/>
    <col min="4098" max="4098" width="4.7109375" style="47" bestFit="1" customWidth="1"/>
    <col min="4099" max="4099" width="9.140625" style="47"/>
    <col min="4100" max="4101" width="5.140625" style="47" bestFit="1" customWidth="1"/>
    <col min="4102" max="4102" width="2.42578125" style="47" customWidth="1"/>
    <col min="4103" max="4103" width="28.7109375" style="47" customWidth="1"/>
    <col min="4104" max="4108" width="0" style="47" hidden="1" customWidth="1"/>
    <col min="4109" max="4109" width="8.7109375" style="47" bestFit="1" customWidth="1"/>
    <col min="4110" max="4110" width="10.42578125" style="47" customWidth="1"/>
    <col min="4111" max="4115" width="8.7109375" style="47" bestFit="1" customWidth="1"/>
    <col min="4116" max="4116" width="3.140625" style="47" customWidth="1"/>
    <col min="4117" max="4352" width="9.140625" style="47"/>
    <col min="4353" max="4353" width="7" style="47" customWidth="1"/>
    <col min="4354" max="4354" width="4.7109375" style="47" bestFit="1" customWidth="1"/>
    <col min="4355" max="4355" width="9.140625" style="47"/>
    <col min="4356" max="4357" width="5.140625" style="47" bestFit="1" customWidth="1"/>
    <col min="4358" max="4358" width="2.42578125" style="47" customWidth="1"/>
    <col min="4359" max="4359" width="28.7109375" style="47" customWidth="1"/>
    <col min="4360" max="4364" width="0" style="47" hidden="1" customWidth="1"/>
    <col min="4365" max="4365" width="8.7109375" style="47" bestFit="1" customWidth="1"/>
    <col min="4366" max="4366" width="10.42578125" style="47" customWidth="1"/>
    <col min="4367" max="4371" width="8.7109375" style="47" bestFit="1" customWidth="1"/>
    <col min="4372" max="4372" width="3.140625" style="47" customWidth="1"/>
    <col min="4373" max="4608" width="9.140625" style="47"/>
    <col min="4609" max="4609" width="7" style="47" customWidth="1"/>
    <col min="4610" max="4610" width="4.7109375" style="47" bestFit="1" customWidth="1"/>
    <col min="4611" max="4611" width="9.140625" style="47"/>
    <col min="4612" max="4613" width="5.140625" style="47" bestFit="1" customWidth="1"/>
    <col min="4614" max="4614" width="2.42578125" style="47" customWidth="1"/>
    <col min="4615" max="4615" width="28.7109375" style="47" customWidth="1"/>
    <col min="4616" max="4620" width="0" style="47" hidden="1" customWidth="1"/>
    <col min="4621" max="4621" width="8.7109375" style="47" bestFit="1" customWidth="1"/>
    <col min="4622" max="4622" width="10.42578125" style="47" customWidth="1"/>
    <col min="4623" max="4627" width="8.7109375" style="47" bestFit="1" customWidth="1"/>
    <col min="4628" max="4628" width="3.140625" style="47" customWidth="1"/>
    <col min="4629" max="4864" width="9.140625" style="47"/>
    <col min="4865" max="4865" width="7" style="47" customWidth="1"/>
    <col min="4866" max="4866" width="4.7109375" style="47" bestFit="1" customWidth="1"/>
    <col min="4867" max="4867" width="9.140625" style="47"/>
    <col min="4868" max="4869" width="5.140625" style="47" bestFit="1" customWidth="1"/>
    <col min="4870" max="4870" width="2.42578125" style="47" customWidth="1"/>
    <col min="4871" max="4871" width="28.7109375" style="47" customWidth="1"/>
    <col min="4872" max="4876" width="0" style="47" hidden="1" customWidth="1"/>
    <col min="4877" max="4877" width="8.7109375" style="47" bestFit="1" customWidth="1"/>
    <col min="4878" max="4878" width="10.42578125" style="47" customWidth="1"/>
    <col min="4879" max="4883" width="8.7109375" style="47" bestFit="1" customWidth="1"/>
    <col min="4884" max="4884" width="3.140625" style="47" customWidth="1"/>
    <col min="4885" max="5120" width="9.140625" style="47"/>
    <col min="5121" max="5121" width="7" style="47" customWidth="1"/>
    <col min="5122" max="5122" width="4.7109375" style="47" bestFit="1" customWidth="1"/>
    <col min="5123" max="5123" width="9.140625" style="47"/>
    <col min="5124" max="5125" width="5.140625" style="47" bestFit="1" customWidth="1"/>
    <col min="5126" max="5126" width="2.42578125" style="47" customWidth="1"/>
    <col min="5127" max="5127" width="28.7109375" style="47" customWidth="1"/>
    <col min="5128" max="5132" width="0" style="47" hidden="1" customWidth="1"/>
    <col min="5133" max="5133" width="8.7109375" style="47" bestFit="1" customWidth="1"/>
    <col min="5134" max="5134" width="10.42578125" style="47" customWidth="1"/>
    <col min="5135" max="5139" width="8.7109375" style="47" bestFit="1" customWidth="1"/>
    <col min="5140" max="5140" width="3.140625" style="47" customWidth="1"/>
    <col min="5141" max="5376" width="9.140625" style="47"/>
    <col min="5377" max="5377" width="7" style="47" customWidth="1"/>
    <col min="5378" max="5378" width="4.7109375" style="47" bestFit="1" customWidth="1"/>
    <col min="5379" max="5379" width="9.140625" style="47"/>
    <col min="5380" max="5381" width="5.140625" style="47" bestFit="1" customWidth="1"/>
    <col min="5382" max="5382" width="2.42578125" style="47" customWidth="1"/>
    <col min="5383" max="5383" width="28.7109375" style="47" customWidth="1"/>
    <col min="5384" max="5388" width="0" style="47" hidden="1" customWidth="1"/>
    <col min="5389" max="5389" width="8.7109375" style="47" bestFit="1" customWidth="1"/>
    <col min="5390" max="5390" width="10.42578125" style="47" customWidth="1"/>
    <col min="5391" max="5395" width="8.7109375" style="47" bestFit="1" customWidth="1"/>
    <col min="5396" max="5396" width="3.140625" style="47" customWidth="1"/>
    <col min="5397" max="5632" width="9.140625" style="47"/>
    <col min="5633" max="5633" width="7" style="47" customWidth="1"/>
    <col min="5634" max="5634" width="4.7109375" style="47" bestFit="1" customWidth="1"/>
    <col min="5635" max="5635" width="9.140625" style="47"/>
    <col min="5636" max="5637" width="5.140625" style="47" bestFit="1" customWidth="1"/>
    <col min="5638" max="5638" width="2.42578125" style="47" customWidth="1"/>
    <col min="5639" max="5639" width="28.7109375" style="47" customWidth="1"/>
    <col min="5640" max="5644" width="0" style="47" hidden="1" customWidth="1"/>
    <col min="5645" max="5645" width="8.7109375" style="47" bestFit="1" customWidth="1"/>
    <col min="5646" max="5646" width="10.42578125" style="47" customWidth="1"/>
    <col min="5647" max="5651" width="8.7109375" style="47" bestFit="1" customWidth="1"/>
    <col min="5652" max="5652" width="3.140625" style="47" customWidth="1"/>
    <col min="5653" max="5888" width="9.140625" style="47"/>
    <col min="5889" max="5889" width="7" style="47" customWidth="1"/>
    <col min="5890" max="5890" width="4.7109375" style="47" bestFit="1" customWidth="1"/>
    <col min="5891" max="5891" width="9.140625" style="47"/>
    <col min="5892" max="5893" width="5.140625" style="47" bestFit="1" customWidth="1"/>
    <col min="5894" max="5894" width="2.42578125" style="47" customWidth="1"/>
    <col min="5895" max="5895" width="28.7109375" style="47" customWidth="1"/>
    <col min="5896" max="5900" width="0" style="47" hidden="1" customWidth="1"/>
    <col min="5901" max="5901" width="8.7109375" style="47" bestFit="1" customWidth="1"/>
    <col min="5902" max="5902" width="10.42578125" style="47" customWidth="1"/>
    <col min="5903" max="5907" width="8.7109375" style="47" bestFit="1" customWidth="1"/>
    <col min="5908" max="5908" width="3.140625" style="47" customWidth="1"/>
    <col min="5909" max="6144" width="9.140625" style="47"/>
    <col min="6145" max="6145" width="7" style="47" customWidth="1"/>
    <col min="6146" max="6146" width="4.7109375" style="47" bestFit="1" customWidth="1"/>
    <col min="6147" max="6147" width="9.140625" style="47"/>
    <col min="6148" max="6149" width="5.140625" style="47" bestFit="1" customWidth="1"/>
    <col min="6150" max="6150" width="2.42578125" style="47" customWidth="1"/>
    <col min="6151" max="6151" width="28.7109375" style="47" customWidth="1"/>
    <col min="6152" max="6156" width="0" style="47" hidden="1" customWidth="1"/>
    <col min="6157" max="6157" width="8.7109375" style="47" bestFit="1" customWidth="1"/>
    <col min="6158" max="6158" width="10.42578125" style="47" customWidth="1"/>
    <col min="6159" max="6163" width="8.7109375" style="47" bestFit="1" customWidth="1"/>
    <col min="6164" max="6164" width="3.140625" style="47" customWidth="1"/>
    <col min="6165" max="6400" width="9.140625" style="47"/>
    <col min="6401" max="6401" width="7" style="47" customWidth="1"/>
    <col min="6402" max="6402" width="4.7109375" style="47" bestFit="1" customWidth="1"/>
    <col min="6403" max="6403" width="9.140625" style="47"/>
    <col min="6404" max="6405" width="5.140625" style="47" bestFit="1" customWidth="1"/>
    <col min="6406" max="6406" width="2.42578125" style="47" customWidth="1"/>
    <col min="6407" max="6407" width="28.7109375" style="47" customWidth="1"/>
    <col min="6408" max="6412" width="0" style="47" hidden="1" customWidth="1"/>
    <col min="6413" max="6413" width="8.7109375" style="47" bestFit="1" customWidth="1"/>
    <col min="6414" max="6414" width="10.42578125" style="47" customWidth="1"/>
    <col min="6415" max="6419" width="8.7109375" style="47" bestFit="1" customWidth="1"/>
    <col min="6420" max="6420" width="3.140625" style="47" customWidth="1"/>
    <col min="6421" max="6656" width="9.140625" style="47"/>
    <col min="6657" max="6657" width="7" style="47" customWidth="1"/>
    <col min="6658" max="6658" width="4.7109375" style="47" bestFit="1" customWidth="1"/>
    <col min="6659" max="6659" width="9.140625" style="47"/>
    <col min="6660" max="6661" width="5.140625" style="47" bestFit="1" customWidth="1"/>
    <col min="6662" max="6662" width="2.42578125" style="47" customWidth="1"/>
    <col min="6663" max="6663" width="28.7109375" style="47" customWidth="1"/>
    <col min="6664" max="6668" width="0" style="47" hidden="1" customWidth="1"/>
    <col min="6669" max="6669" width="8.7109375" style="47" bestFit="1" customWidth="1"/>
    <col min="6670" max="6670" width="10.42578125" style="47" customWidth="1"/>
    <col min="6671" max="6675" width="8.7109375" style="47" bestFit="1" customWidth="1"/>
    <col min="6676" max="6676" width="3.140625" style="47" customWidth="1"/>
    <col min="6677" max="6912" width="9.140625" style="47"/>
    <col min="6913" max="6913" width="7" style="47" customWidth="1"/>
    <col min="6914" max="6914" width="4.7109375" style="47" bestFit="1" customWidth="1"/>
    <col min="6915" max="6915" width="9.140625" style="47"/>
    <col min="6916" max="6917" width="5.140625" style="47" bestFit="1" customWidth="1"/>
    <col min="6918" max="6918" width="2.42578125" style="47" customWidth="1"/>
    <col min="6919" max="6919" width="28.7109375" style="47" customWidth="1"/>
    <col min="6920" max="6924" width="0" style="47" hidden="1" customWidth="1"/>
    <col min="6925" max="6925" width="8.7109375" style="47" bestFit="1" customWidth="1"/>
    <col min="6926" max="6926" width="10.42578125" style="47" customWidth="1"/>
    <col min="6927" max="6931" width="8.7109375" style="47" bestFit="1" customWidth="1"/>
    <col min="6932" max="6932" width="3.140625" style="47" customWidth="1"/>
    <col min="6933" max="7168" width="9.140625" style="47"/>
    <col min="7169" max="7169" width="7" style="47" customWidth="1"/>
    <col min="7170" max="7170" width="4.7109375" style="47" bestFit="1" customWidth="1"/>
    <col min="7171" max="7171" width="9.140625" style="47"/>
    <col min="7172" max="7173" width="5.140625" style="47" bestFit="1" customWidth="1"/>
    <col min="7174" max="7174" width="2.42578125" style="47" customWidth="1"/>
    <col min="7175" max="7175" width="28.7109375" style="47" customWidth="1"/>
    <col min="7176" max="7180" width="0" style="47" hidden="1" customWidth="1"/>
    <col min="7181" max="7181" width="8.7109375" style="47" bestFit="1" customWidth="1"/>
    <col min="7182" max="7182" width="10.42578125" style="47" customWidth="1"/>
    <col min="7183" max="7187" width="8.7109375" style="47" bestFit="1" customWidth="1"/>
    <col min="7188" max="7188" width="3.140625" style="47" customWidth="1"/>
    <col min="7189" max="7424" width="9.140625" style="47"/>
    <col min="7425" max="7425" width="7" style="47" customWidth="1"/>
    <col min="7426" max="7426" width="4.7109375" style="47" bestFit="1" customWidth="1"/>
    <col min="7427" max="7427" width="9.140625" style="47"/>
    <col min="7428" max="7429" width="5.140625" style="47" bestFit="1" customWidth="1"/>
    <col min="7430" max="7430" width="2.42578125" style="47" customWidth="1"/>
    <col min="7431" max="7431" width="28.7109375" style="47" customWidth="1"/>
    <col min="7432" max="7436" width="0" style="47" hidden="1" customWidth="1"/>
    <col min="7437" max="7437" width="8.7109375" style="47" bestFit="1" customWidth="1"/>
    <col min="7438" max="7438" width="10.42578125" style="47" customWidth="1"/>
    <col min="7439" max="7443" width="8.7109375" style="47" bestFit="1" customWidth="1"/>
    <col min="7444" max="7444" width="3.140625" style="47" customWidth="1"/>
    <col min="7445" max="7680" width="9.140625" style="47"/>
    <col min="7681" max="7681" width="7" style="47" customWidth="1"/>
    <col min="7682" max="7682" width="4.7109375" style="47" bestFit="1" customWidth="1"/>
    <col min="7683" max="7683" width="9.140625" style="47"/>
    <col min="7684" max="7685" width="5.140625" style="47" bestFit="1" customWidth="1"/>
    <col min="7686" max="7686" width="2.42578125" style="47" customWidth="1"/>
    <col min="7687" max="7687" width="28.7109375" style="47" customWidth="1"/>
    <col min="7688" max="7692" width="0" style="47" hidden="1" customWidth="1"/>
    <col min="7693" max="7693" width="8.7109375" style="47" bestFit="1" customWidth="1"/>
    <col min="7694" max="7694" width="10.42578125" style="47" customWidth="1"/>
    <col min="7695" max="7699" width="8.7109375" style="47" bestFit="1" customWidth="1"/>
    <col min="7700" max="7700" width="3.140625" style="47" customWidth="1"/>
    <col min="7701" max="7936" width="9.140625" style="47"/>
    <col min="7937" max="7937" width="7" style="47" customWidth="1"/>
    <col min="7938" max="7938" width="4.7109375" style="47" bestFit="1" customWidth="1"/>
    <col min="7939" max="7939" width="9.140625" style="47"/>
    <col min="7940" max="7941" width="5.140625" style="47" bestFit="1" customWidth="1"/>
    <col min="7942" max="7942" width="2.42578125" style="47" customWidth="1"/>
    <col min="7943" max="7943" width="28.7109375" style="47" customWidth="1"/>
    <col min="7944" max="7948" width="0" style="47" hidden="1" customWidth="1"/>
    <col min="7949" max="7949" width="8.7109375" style="47" bestFit="1" customWidth="1"/>
    <col min="7950" max="7950" width="10.42578125" style="47" customWidth="1"/>
    <col min="7951" max="7955" width="8.7109375" style="47" bestFit="1" customWidth="1"/>
    <col min="7956" max="7956" width="3.140625" style="47" customWidth="1"/>
    <col min="7957" max="8192" width="9.140625" style="47"/>
    <col min="8193" max="8193" width="7" style="47" customWidth="1"/>
    <col min="8194" max="8194" width="4.7109375" style="47" bestFit="1" customWidth="1"/>
    <col min="8195" max="8195" width="9.140625" style="47"/>
    <col min="8196" max="8197" width="5.140625" style="47" bestFit="1" customWidth="1"/>
    <col min="8198" max="8198" width="2.42578125" style="47" customWidth="1"/>
    <col min="8199" max="8199" width="28.7109375" style="47" customWidth="1"/>
    <col min="8200" max="8204" width="0" style="47" hidden="1" customWidth="1"/>
    <col min="8205" max="8205" width="8.7109375" style="47" bestFit="1" customWidth="1"/>
    <col min="8206" max="8206" width="10.42578125" style="47" customWidth="1"/>
    <col min="8207" max="8211" width="8.7109375" style="47" bestFit="1" customWidth="1"/>
    <col min="8212" max="8212" width="3.140625" style="47" customWidth="1"/>
    <col min="8213" max="8448" width="9.140625" style="47"/>
    <col min="8449" max="8449" width="7" style="47" customWidth="1"/>
    <col min="8450" max="8450" width="4.7109375" style="47" bestFit="1" customWidth="1"/>
    <col min="8451" max="8451" width="9.140625" style="47"/>
    <col min="8452" max="8453" width="5.140625" style="47" bestFit="1" customWidth="1"/>
    <col min="8454" max="8454" width="2.42578125" style="47" customWidth="1"/>
    <col min="8455" max="8455" width="28.7109375" style="47" customWidth="1"/>
    <col min="8456" max="8460" width="0" style="47" hidden="1" customWidth="1"/>
    <col min="8461" max="8461" width="8.7109375" style="47" bestFit="1" customWidth="1"/>
    <col min="8462" max="8462" width="10.42578125" style="47" customWidth="1"/>
    <col min="8463" max="8467" width="8.7109375" style="47" bestFit="1" customWidth="1"/>
    <col min="8468" max="8468" width="3.140625" style="47" customWidth="1"/>
    <col min="8469" max="8704" width="9.140625" style="47"/>
    <col min="8705" max="8705" width="7" style="47" customWidth="1"/>
    <col min="8706" max="8706" width="4.7109375" style="47" bestFit="1" customWidth="1"/>
    <col min="8707" max="8707" width="9.140625" style="47"/>
    <col min="8708" max="8709" width="5.140625" style="47" bestFit="1" customWidth="1"/>
    <col min="8710" max="8710" width="2.42578125" style="47" customWidth="1"/>
    <col min="8711" max="8711" width="28.7109375" style="47" customWidth="1"/>
    <col min="8712" max="8716" width="0" style="47" hidden="1" customWidth="1"/>
    <col min="8717" max="8717" width="8.7109375" style="47" bestFit="1" customWidth="1"/>
    <col min="8718" max="8718" width="10.42578125" style="47" customWidth="1"/>
    <col min="8719" max="8723" width="8.7109375" style="47" bestFit="1" customWidth="1"/>
    <col min="8724" max="8724" width="3.140625" style="47" customWidth="1"/>
    <col min="8725" max="8960" width="9.140625" style="47"/>
    <col min="8961" max="8961" width="7" style="47" customWidth="1"/>
    <col min="8962" max="8962" width="4.7109375" style="47" bestFit="1" customWidth="1"/>
    <col min="8963" max="8963" width="9.140625" style="47"/>
    <col min="8964" max="8965" width="5.140625" style="47" bestFit="1" customWidth="1"/>
    <col min="8966" max="8966" width="2.42578125" style="47" customWidth="1"/>
    <col min="8967" max="8967" width="28.7109375" style="47" customWidth="1"/>
    <col min="8968" max="8972" width="0" style="47" hidden="1" customWidth="1"/>
    <col min="8973" max="8973" width="8.7109375" style="47" bestFit="1" customWidth="1"/>
    <col min="8974" max="8974" width="10.42578125" style="47" customWidth="1"/>
    <col min="8975" max="8979" width="8.7109375" style="47" bestFit="1" customWidth="1"/>
    <col min="8980" max="8980" width="3.140625" style="47" customWidth="1"/>
    <col min="8981" max="9216" width="9.140625" style="47"/>
    <col min="9217" max="9217" width="7" style="47" customWidth="1"/>
    <col min="9218" max="9218" width="4.7109375" style="47" bestFit="1" customWidth="1"/>
    <col min="9219" max="9219" width="9.140625" style="47"/>
    <col min="9220" max="9221" width="5.140625" style="47" bestFit="1" customWidth="1"/>
    <col min="9222" max="9222" width="2.42578125" style="47" customWidth="1"/>
    <col min="9223" max="9223" width="28.7109375" style="47" customWidth="1"/>
    <col min="9224" max="9228" width="0" style="47" hidden="1" customWidth="1"/>
    <col min="9229" max="9229" width="8.7109375" style="47" bestFit="1" customWidth="1"/>
    <col min="9230" max="9230" width="10.42578125" style="47" customWidth="1"/>
    <col min="9231" max="9235" width="8.7109375" style="47" bestFit="1" customWidth="1"/>
    <col min="9236" max="9236" width="3.140625" style="47" customWidth="1"/>
    <col min="9237" max="9472" width="9.140625" style="47"/>
    <col min="9473" max="9473" width="7" style="47" customWidth="1"/>
    <col min="9474" max="9474" width="4.7109375" style="47" bestFit="1" customWidth="1"/>
    <col min="9475" max="9475" width="9.140625" style="47"/>
    <col min="9476" max="9477" width="5.140625" style="47" bestFit="1" customWidth="1"/>
    <col min="9478" max="9478" width="2.42578125" style="47" customWidth="1"/>
    <col min="9479" max="9479" width="28.7109375" style="47" customWidth="1"/>
    <col min="9480" max="9484" width="0" style="47" hidden="1" customWidth="1"/>
    <col min="9485" max="9485" width="8.7109375" style="47" bestFit="1" customWidth="1"/>
    <col min="9486" max="9486" width="10.42578125" style="47" customWidth="1"/>
    <col min="9487" max="9491" width="8.7109375" style="47" bestFit="1" customWidth="1"/>
    <col min="9492" max="9492" width="3.140625" style="47" customWidth="1"/>
    <col min="9493" max="9728" width="9.140625" style="47"/>
    <col min="9729" max="9729" width="7" style="47" customWidth="1"/>
    <col min="9730" max="9730" width="4.7109375" style="47" bestFit="1" customWidth="1"/>
    <col min="9731" max="9731" width="9.140625" style="47"/>
    <col min="9732" max="9733" width="5.140625" style="47" bestFit="1" customWidth="1"/>
    <col min="9734" max="9734" width="2.42578125" style="47" customWidth="1"/>
    <col min="9735" max="9735" width="28.7109375" style="47" customWidth="1"/>
    <col min="9736" max="9740" width="0" style="47" hidden="1" customWidth="1"/>
    <col min="9741" max="9741" width="8.7109375" style="47" bestFit="1" customWidth="1"/>
    <col min="9742" max="9742" width="10.42578125" style="47" customWidth="1"/>
    <col min="9743" max="9747" width="8.7109375" style="47" bestFit="1" customWidth="1"/>
    <col min="9748" max="9748" width="3.140625" style="47" customWidth="1"/>
    <col min="9749" max="9984" width="9.140625" style="47"/>
    <col min="9985" max="9985" width="7" style="47" customWidth="1"/>
    <col min="9986" max="9986" width="4.7109375" style="47" bestFit="1" customWidth="1"/>
    <col min="9987" max="9987" width="9.140625" style="47"/>
    <col min="9988" max="9989" width="5.140625" style="47" bestFit="1" customWidth="1"/>
    <col min="9990" max="9990" width="2.42578125" style="47" customWidth="1"/>
    <col min="9991" max="9991" width="28.7109375" style="47" customWidth="1"/>
    <col min="9992" max="9996" width="0" style="47" hidden="1" customWidth="1"/>
    <col min="9997" max="9997" width="8.7109375" style="47" bestFit="1" customWidth="1"/>
    <col min="9998" max="9998" width="10.42578125" style="47" customWidth="1"/>
    <col min="9999" max="10003" width="8.7109375" style="47" bestFit="1" customWidth="1"/>
    <col min="10004" max="10004" width="3.140625" style="47" customWidth="1"/>
    <col min="10005" max="10240" width="9.140625" style="47"/>
    <col min="10241" max="10241" width="7" style="47" customWidth="1"/>
    <col min="10242" max="10242" width="4.7109375" style="47" bestFit="1" customWidth="1"/>
    <col min="10243" max="10243" width="9.140625" style="47"/>
    <col min="10244" max="10245" width="5.140625" style="47" bestFit="1" customWidth="1"/>
    <col min="10246" max="10246" width="2.42578125" style="47" customWidth="1"/>
    <col min="10247" max="10247" width="28.7109375" style="47" customWidth="1"/>
    <col min="10248" max="10252" width="0" style="47" hidden="1" customWidth="1"/>
    <col min="10253" max="10253" width="8.7109375" style="47" bestFit="1" customWidth="1"/>
    <col min="10254" max="10254" width="10.42578125" style="47" customWidth="1"/>
    <col min="10255" max="10259" width="8.7109375" style="47" bestFit="1" customWidth="1"/>
    <col min="10260" max="10260" width="3.140625" style="47" customWidth="1"/>
    <col min="10261" max="10496" width="9.140625" style="47"/>
    <col min="10497" max="10497" width="7" style="47" customWidth="1"/>
    <col min="10498" max="10498" width="4.7109375" style="47" bestFit="1" customWidth="1"/>
    <col min="10499" max="10499" width="9.140625" style="47"/>
    <col min="10500" max="10501" width="5.140625" style="47" bestFit="1" customWidth="1"/>
    <col min="10502" max="10502" width="2.42578125" style="47" customWidth="1"/>
    <col min="10503" max="10503" width="28.7109375" style="47" customWidth="1"/>
    <col min="10504" max="10508" width="0" style="47" hidden="1" customWidth="1"/>
    <col min="10509" max="10509" width="8.7109375" style="47" bestFit="1" customWidth="1"/>
    <col min="10510" max="10510" width="10.42578125" style="47" customWidth="1"/>
    <col min="10511" max="10515" width="8.7109375" style="47" bestFit="1" customWidth="1"/>
    <col min="10516" max="10516" width="3.140625" style="47" customWidth="1"/>
    <col min="10517" max="10752" width="9.140625" style="47"/>
    <col min="10753" max="10753" width="7" style="47" customWidth="1"/>
    <col min="10754" max="10754" width="4.7109375" style="47" bestFit="1" customWidth="1"/>
    <col min="10755" max="10755" width="9.140625" style="47"/>
    <col min="10756" max="10757" width="5.140625" style="47" bestFit="1" customWidth="1"/>
    <col min="10758" max="10758" width="2.42578125" style="47" customWidth="1"/>
    <col min="10759" max="10759" width="28.7109375" style="47" customWidth="1"/>
    <col min="10760" max="10764" width="0" style="47" hidden="1" customWidth="1"/>
    <col min="10765" max="10765" width="8.7109375" style="47" bestFit="1" customWidth="1"/>
    <col min="10766" max="10766" width="10.42578125" style="47" customWidth="1"/>
    <col min="10767" max="10771" width="8.7109375" style="47" bestFit="1" customWidth="1"/>
    <col min="10772" max="10772" width="3.140625" style="47" customWidth="1"/>
    <col min="10773" max="11008" width="9.140625" style="47"/>
    <col min="11009" max="11009" width="7" style="47" customWidth="1"/>
    <col min="11010" max="11010" width="4.7109375" style="47" bestFit="1" customWidth="1"/>
    <col min="11011" max="11011" width="9.140625" style="47"/>
    <col min="11012" max="11013" width="5.140625" style="47" bestFit="1" customWidth="1"/>
    <col min="11014" max="11014" width="2.42578125" style="47" customWidth="1"/>
    <col min="11015" max="11015" width="28.7109375" style="47" customWidth="1"/>
    <col min="11016" max="11020" width="0" style="47" hidden="1" customWidth="1"/>
    <col min="11021" max="11021" width="8.7109375" style="47" bestFit="1" customWidth="1"/>
    <col min="11022" max="11022" width="10.42578125" style="47" customWidth="1"/>
    <col min="11023" max="11027" width="8.7109375" style="47" bestFit="1" customWidth="1"/>
    <col min="11028" max="11028" width="3.140625" style="47" customWidth="1"/>
    <col min="11029" max="11264" width="9.140625" style="47"/>
    <col min="11265" max="11265" width="7" style="47" customWidth="1"/>
    <col min="11266" max="11266" width="4.7109375" style="47" bestFit="1" customWidth="1"/>
    <col min="11267" max="11267" width="9.140625" style="47"/>
    <col min="11268" max="11269" width="5.140625" style="47" bestFit="1" customWidth="1"/>
    <col min="11270" max="11270" width="2.42578125" style="47" customWidth="1"/>
    <col min="11271" max="11271" width="28.7109375" style="47" customWidth="1"/>
    <col min="11272" max="11276" width="0" style="47" hidden="1" customWidth="1"/>
    <col min="11277" max="11277" width="8.7109375" style="47" bestFit="1" customWidth="1"/>
    <col min="11278" max="11278" width="10.42578125" style="47" customWidth="1"/>
    <col min="11279" max="11283" width="8.7109375" style="47" bestFit="1" customWidth="1"/>
    <col min="11284" max="11284" width="3.140625" style="47" customWidth="1"/>
    <col min="11285" max="11520" width="9.140625" style="47"/>
    <col min="11521" max="11521" width="7" style="47" customWidth="1"/>
    <col min="11522" max="11522" width="4.7109375" style="47" bestFit="1" customWidth="1"/>
    <col min="11523" max="11523" width="9.140625" style="47"/>
    <col min="11524" max="11525" width="5.140625" style="47" bestFit="1" customWidth="1"/>
    <col min="11526" max="11526" width="2.42578125" style="47" customWidth="1"/>
    <col min="11527" max="11527" width="28.7109375" style="47" customWidth="1"/>
    <col min="11528" max="11532" width="0" style="47" hidden="1" customWidth="1"/>
    <col min="11533" max="11533" width="8.7109375" style="47" bestFit="1" customWidth="1"/>
    <col min="11534" max="11534" width="10.42578125" style="47" customWidth="1"/>
    <col min="11535" max="11539" width="8.7109375" style="47" bestFit="1" customWidth="1"/>
    <col min="11540" max="11540" width="3.140625" style="47" customWidth="1"/>
    <col min="11541" max="11776" width="9.140625" style="47"/>
    <col min="11777" max="11777" width="7" style="47" customWidth="1"/>
    <col min="11778" max="11778" width="4.7109375" style="47" bestFit="1" customWidth="1"/>
    <col min="11779" max="11779" width="9.140625" style="47"/>
    <col min="11780" max="11781" width="5.140625" style="47" bestFit="1" customWidth="1"/>
    <col min="11782" max="11782" width="2.42578125" style="47" customWidth="1"/>
    <col min="11783" max="11783" width="28.7109375" style="47" customWidth="1"/>
    <col min="11784" max="11788" width="0" style="47" hidden="1" customWidth="1"/>
    <col min="11789" max="11789" width="8.7109375" style="47" bestFit="1" customWidth="1"/>
    <col min="11790" max="11790" width="10.42578125" style="47" customWidth="1"/>
    <col min="11791" max="11795" width="8.7109375" style="47" bestFit="1" customWidth="1"/>
    <col min="11796" max="11796" width="3.140625" style="47" customWidth="1"/>
    <col min="11797" max="12032" width="9.140625" style="47"/>
    <col min="12033" max="12033" width="7" style="47" customWidth="1"/>
    <col min="12034" max="12034" width="4.7109375" style="47" bestFit="1" customWidth="1"/>
    <col min="12035" max="12035" width="9.140625" style="47"/>
    <col min="12036" max="12037" width="5.140625" style="47" bestFit="1" customWidth="1"/>
    <col min="12038" max="12038" width="2.42578125" style="47" customWidth="1"/>
    <col min="12039" max="12039" width="28.7109375" style="47" customWidth="1"/>
    <col min="12040" max="12044" width="0" style="47" hidden="1" customWidth="1"/>
    <col min="12045" max="12045" width="8.7109375" style="47" bestFit="1" customWidth="1"/>
    <col min="12046" max="12046" width="10.42578125" style="47" customWidth="1"/>
    <col min="12047" max="12051" width="8.7109375" style="47" bestFit="1" customWidth="1"/>
    <col min="12052" max="12052" width="3.140625" style="47" customWidth="1"/>
    <col min="12053" max="12288" width="9.140625" style="47"/>
    <col min="12289" max="12289" width="7" style="47" customWidth="1"/>
    <col min="12290" max="12290" width="4.7109375" style="47" bestFit="1" customWidth="1"/>
    <col min="12291" max="12291" width="9.140625" style="47"/>
    <col min="12292" max="12293" width="5.140625" style="47" bestFit="1" customWidth="1"/>
    <col min="12294" max="12294" width="2.42578125" style="47" customWidth="1"/>
    <col min="12295" max="12295" width="28.7109375" style="47" customWidth="1"/>
    <col min="12296" max="12300" width="0" style="47" hidden="1" customWidth="1"/>
    <col min="12301" max="12301" width="8.7109375" style="47" bestFit="1" customWidth="1"/>
    <col min="12302" max="12302" width="10.42578125" style="47" customWidth="1"/>
    <col min="12303" max="12307" width="8.7109375" style="47" bestFit="1" customWidth="1"/>
    <col min="12308" max="12308" width="3.140625" style="47" customWidth="1"/>
    <col min="12309" max="12544" width="9.140625" style="47"/>
    <col min="12545" max="12545" width="7" style="47" customWidth="1"/>
    <col min="12546" max="12546" width="4.7109375" style="47" bestFit="1" customWidth="1"/>
    <col min="12547" max="12547" width="9.140625" style="47"/>
    <col min="12548" max="12549" width="5.140625" style="47" bestFit="1" customWidth="1"/>
    <col min="12550" max="12550" width="2.42578125" style="47" customWidth="1"/>
    <col min="12551" max="12551" width="28.7109375" style="47" customWidth="1"/>
    <col min="12552" max="12556" width="0" style="47" hidden="1" customWidth="1"/>
    <col min="12557" max="12557" width="8.7109375" style="47" bestFit="1" customWidth="1"/>
    <col min="12558" max="12558" width="10.42578125" style="47" customWidth="1"/>
    <col min="12559" max="12563" width="8.7109375" style="47" bestFit="1" customWidth="1"/>
    <col min="12564" max="12564" width="3.140625" style="47" customWidth="1"/>
    <col min="12565" max="12800" width="9.140625" style="47"/>
    <col min="12801" max="12801" width="7" style="47" customWidth="1"/>
    <col min="12802" max="12802" width="4.7109375" style="47" bestFit="1" customWidth="1"/>
    <col min="12803" max="12803" width="9.140625" style="47"/>
    <col min="12804" max="12805" width="5.140625" style="47" bestFit="1" customWidth="1"/>
    <col min="12806" max="12806" width="2.42578125" style="47" customWidth="1"/>
    <col min="12807" max="12807" width="28.7109375" style="47" customWidth="1"/>
    <col min="12808" max="12812" width="0" style="47" hidden="1" customWidth="1"/>
    <col min="12813" max="12813" width="8.7109375" style="47" bestFit="1" customWidth="1"/>
    <col min="12814" max="12814" width="10.42578125" style="47" customWidth="1"/>
    <col min="12815" max="12819" width="8.7109375" style="47" bestFit="1" customWidth="1"/>
    <col min="12820" max="12820" width="3.140625" style="47" customWidth="1"/>
    <col min="12821" max="13056" width="9.140625" style="47"/>
    <col min="13057" max="13057" width="7" style="47" customWidth="1"/>
    <col min="13058" max="13058" width="4.7109375" style="47" bestFit="1" customWidth="1"/>
    <col min="13059" max="13059" width="9.140625" style="47"/>
    <col min="13060" max="13061" width="5.140625" style="47" bestFit="1" customWidth="1"/>
    <col min="13062" max="13062" width="2.42578125" style="47" customWidth="1"/>
    <col min="13063" max="13063" width="28.7109375" style="47" customWidth="1"/>
    <col min="13064" max="13068" width="0" style="47" hidden="1" customWidth="1"/>
    <col min="13069" max="13069" width="8.7109375" style="47" bestFit="1" customWidth="1"/>
    <col min="13070" max="13070" width="10.42578125" style="47" customWidth="1"/>
    <col min="13071" max="13075" width="8.7109375" style="47" bestFit="1" customWidth="1"/>
    <col min="13076" max="13076" width="3.140625" style="47" customWidth="1"/>
    <col min="13077" max="13312" width="9.140625" style="47"/>
    <col min="13313" max="13313" width="7" style="47" customWidth="1"/>
    <col min="13314" max="13314" width="4.7109375" style="47" bestFit="1" customWidth="1"/>
    <col min="13315" max="13315" width="9.140625" style="47"/>
    <col min="13316" max="13317" width="5.140625" style="47" bestFit="1" customWidth="1"/>
    <col min="13318" max="13318" width="2.42578125" style="47" customWidth="1"/>
    <col min="13319" max="13319" width="28.7109375" style="47" customWidth="1"/>
    <col min="13320" max="13324" width="0" style="47" hidden="1" customWidth="1"/>
    <col min="13325" max="13325" width="8.7109375" style="47" bestFit="1" customWidth="1"/>
    <col min="13326" max="13326" width="10.42578125" style="47" customWidth="1"/>
    <col min="13327" max="13331" width="8.7109375" style="47" bestFit="1" customWidth="1"/>
    <col min="13332" max="13332" width="3.140625" style="47" customWidth="1"/>
    <col min="13333" max="13568" width="9.140625" style="47"/>
    <col min="13569" max="13569" width="7" style="47" customWidth="1"/>
    <col min="13570" max="13570" width="4.7109375" style="47" bestFit="1" customWidth="1"/>
    <col min="13571" max="13571" width="9.140625" style="47"/>
    <col min="13572" max="13573" width="5.140625" style="47" bestFit="1" customWidth="1"/>
    <col min="13574" max="13574" width="2.42578125" style="47" customWidth="1"/>
    <col min="13575" max="13575" width="28.7109375" style="47" customWidth="1"/>
    <col min="13576" max="13580" width="0" style="47" hidden="1" customWidth="1"/>
    <col min="13581" max="13581" width="8.7109375" style="47" bestFit="1" customWidth="1"/>
    <col min="13582" max="13582" width="10.42578125" style="47" customWidth="1"/>
    <col min="13583" max="13587" width="8.7109375" style="47" bestFit="1" customWidth="1"/>
    <col min="13588" max="13588" width="3.140625" style="47" customWidth="1"/>
    <col min="13589" max="13824" width="9.140625" style="47"/>
    <col min="13825" max="13825" width="7" style="47" customWidth="1"/>
    <col min="13826" max="13826" width="4.7109375" style="47" bestFit="1" customWidth="1"/>
    <col min="13827" max="13827" width="9.140625" style="47"/>
    <col min="13828" max="13829" width="5.140625" style="47" bestFit="1" customWidth="1"/>
    <col min="13830" max="13830" width="2.42578125" style="47" customWidth="1"/>
    <col min="13831" max="13831" width="28.7109375" style="47" customWidth="1"/>
    <col min="13832" max="13836" width="0" style="47" hidden="1" customWidth="1"/>
    <col min="13837" max="13837" width="8.7109375" style="47" bestFit="1" customWidth="1"/>
    <col min="13838" max="13838" width="10.42578125" style="47" customWidth="1"/>
    <col min="13839" max="13843" width="8.7109375" style="47" bestFit="1" customWidth="1"/>
    <col min="13844" max="13844" width="3.140625" style="47" customWidth="1"/>
    <col min="13845" max="14080" width="9.140625" style="47"/>
    <col min="14081" max="14081" width="7" style="47" customWidth="1"/>
    <col min="14082" max="14082" width="4.7109375" style="47" bestFit="1" customWidth="1"/>
    <col min="14083" max="14083" width="9.140625" style="47"/>
    <col min="14084" max="14085" width="5.140625" style="47" bestFit="1" customWidth="1"/>
    <col min="14086" max="14086" width="2.42578125" style="47" customWidth="1"/>
    <col min="14087" max="14087" width="28.7109375" style="47" customWidth="1"/>
    <col min="14088" max="14092" width="0" style="47" hidden="1" customWidth="1"/>
    <col min="14093" max="14093" width="8.7109375" style="47" bestFit="1" customWidth="1"/>
    <col min="14094" max="14094" width="10.42578125" style="47" customWidth="1"/>
    <col min="14095" max="14099" width="8.7109375" style="47" bestFit="1" customWidth="1"/>
    <col min="14100" max="14100" width="3.140625" style="47" customWidth="1"/>
    <col min="14101" max="14336" width="9.140625" style="47"/>
    <col min="14337" max="14337" width="7" style="47" customWidth="1"/>
    <col min="14338" max="14338" width="4.7109375" style="47" bestFit="1" customWidth="1"/>
    <col min="14339" max="14339" width="9.140625" style="47"/>
    <col min="14340" max="14341" width="5.140625" style="47" bestFit="1" customWidth="1"/>
    <col min="14342" max="14342" width="2.42578125" style="47" customWidth="1"/>
    <col min="14343" max="14343" width="28.7109375" style="47" customWidth="1"/>
    <col min="14344" max="14348" width="0" style="47" hidden="1" customWidth="1"/>
    <col min="14349" max="14349" width="8.7109375" style="47" bestFit="1" customWidth="1"/>
    <col min="14350" max="14350" width="10.42578125" style="47" customWidth="1"/>
    <col min="14351" max="14355" width="8.7109375" style="47" bestFit="1" customWidth="1"/>
    <col min="14356" max="14356" width="3.140625" style="47" customWidth="1"/>
    <col min="14357" max="14592" width="9.140625" style="47"/>
    <col min="14593" max="14593" width="7" style="47" customWidth="1"/>
    <col min="14594" max="14594" width="4.7109375" style="47" bestFit="1" customWidth="1"/>
    <col min="14595" max="14595" width="9.140625" style="47"/>
    <col min="14596" max="14597" width="5.140625" style="47" bestFit="1" customWidth="1"/>
    <col min="14598" max="14598" width="2.42578125" style="47" customWidth="1"/>
    <col min="14599" max="14599" width="28.7109375" style="47" customWidth="1"/>
    <col min="14600" max="14604" width="0" style="47" hidden="1" customWidth="1"/>
    <col min="14605" max="14605" width="8.7109375" style="47" bestFit="1" customWidth="1"/>
    <col min="14606" max="14606" width="10.42578125" style="47" customWidth="1"/>
    <col min="14607" max="14611" width="8.7109375" style="47" bestFit="1" customWidth="1"/>
    <col min="14612" max="14612" width="3.140625" style="47" customWidth="1"/>
    <col min="14613" max="14848" width="9.140625" style="47"/>
    <col min="14849" max="14849" width="7" style="47" customWidth="1"/>
    <col min="14850" max="14850" width="4.7109375" style="47" bestFit="1" customWidth="1"/>
    <col min="14851" max="14851" width="9.140625" style="47"/>
    <col min="14852" max="14853" width="5.140625" style="47" bestFit="1" customWidth="1"/>
    <col min="14854" max="14854" width="2.42578125" style="47" customWidth="1"/>
    <col min="14855" max="14855" width="28.7109375" style="47" customWidth="1"/>
    <col min="14856" max="14860" width="0" style="47" hidden="1" customWidth="1"/>
    <col min="14861" max="14861" width="8.7109375" style="47" bestFit="1" customWidth="1"/>
    <col min="14862" max="14862" width="10.42578125" style="47" customWidth="1"/>
    <col min="14863" max="14867" width="8.7109375" style="47" bestFit="1" customWidth="1"/>
    <col min="14868" max="14868" width="3.140625" style="47" customWidth="1"/>
    <col min="14869" max="15104" width="9.140625" style="47"/>
    <col min="15105" max="15105" width="7" style="47" customWidth="1"/>
    <col min="15106" max="15106" width="4.7109375" style="47" bestFit="1" customWidth="1"/>
    <col min="15107" max="15107" width="9.140625" style="47"/>
    <col min="15108" max="15109" width="5.140625" style="47" bestFit="1" customWidth="1"/>
    <col min="15110" max="15110" width="2.42578125" style="47" customWidth="1"/>
    <col min="15111" max="15111" width="28.7109375" style="47" customWidth="1"/>
    <col min="15112" max="15116" width="0" style="47" hidden="1" customWidth="1"/>
    <col min="15117" max="15117" width="8.7109375" style="47" bestFit="1" customWidth="1"/>
    <col min="15118" max="15118" width="10.42578125" style="47" customWidth="1"/>
    <col min="15119" max="15123" width="8.7109375" style="47" bestFit="1" customWidth="1"/>
    <col min="15124" max="15124" width="3.140625" style="47" customWidth="1"/>
    <col min="15125" max="15360" width="9.140625" style="47"/>
    <col min="15361" max="15361" width="7" style="47" customWidth="1"/>
    <col min="15362" max="15362" width="4.7109375" style="47" bestFit="1" customWidth="1"/>
    <col min="15363" max="15363" width="9.140625" style="47"/>
    <col min="15364" max="15365" width="5.140625" style="47" bestFit="1" customWidth="1"/>
    <col min="15366" max="15366" width="2.42578125" style="47" customWidth="1"/>
    <col min="15367" max="15367" width="28.7109375" style="47" customWidth="1"/>
    <col min="15368" max="15372" width="0" style="47" hidden="1" customWidth="1"/>
    <col min="15373" max="15373" width="8.7109375" style="47" bestFit="1" customWidth="1"/>
    <col min="15374" max="15374" width="10.42578125" style="47" customWidth="1"/>
    <col min="15375" max="15379" width="8.7109375" style="47" bestFit="1" customWidth="1"/>
    <col min="15380" max="15380" width="3.140625" style="47" customWidth="1"/>
    <col min="15381" max="15616" width="9.140625" style="47"/>
    <col min="15617" max="15617" width="7" style="47" customWidth="1"/>
    <col min="15618" max="15618" width="4.7109375" style="47" bestFit="1" customWidth="1"/>
    <col min="15619" max="15619" width="9.140625" style="47"/>
    <col min="15620" max="15621" width="5.140625" style="47" bestFit="1" customWidth="1"/>
    <col min="15622" max="15622" width="2.42578125" style="47" customWidth="1"/>
    <col min="15623" max="15623" width="28.7109375" style="47" customWidth="1"/>
    <col min="15624" max="15628" width="0" style="47" hidden="1" customWidth="1"/>
    <col min="15629" max="15629" width="8.7109375" style="47" bestFit="1" customWidth="1"/>
    <col min="15630" max="15630" width="10.42578125" style="47" customWidth="1"/>
    <col min="15631" max="15635" width="8.7109375" style="47" bestFit="1" customWidth="1"/>
    <col min="15636" max="15636" width="3.140625" style="47" customWidth="1"/>
    <col min="15637" max="15872" width="9.140625" style="47"/>
    <col min="15873" max="15873" width="7" style="47" customWidth="1"/>
    <col min="15874" max="15874" width="4.7109375" style="47" bestFit="1" customWidth="1"/>
    <col min="15875" max="15875" width="9.140625" style="47"/>
    <col min="15876" max="15877" width="5.140625" style="47" bestFit="1" customWidth="1"/>
    <col min="15878" max="15878" width="2.42578125" style="47" customWidth="1"/>
    <col min="15879" max="15879" width="28.7109375" style="47" customWidth="1"/>
    <col min="15880" max="15884" width="0" style="47" hidden="1" customWidth="1"/>
    <col min="15885" max="15885" width="8.7109375" style="47" bestFit="1" customWidth="1"/>
    <col min="15886" max="15886" width="10.42578125" style="47" customWidth="1"/>
    <col min="15887" max="15891" width="8.7109375" style="47" bestFit="1" customWidth="1"/>
    <col min="15892" max="15892" width="3.140625" style="47" customWidth="1"/>
    <col min="15893" max="16128" width="9.140625" style="47"/>
    <col min="16129" max="16129" width="7" style="47" customWidth="1"/>
    <col min="16130" max="16130" width="4.7109375" style="47" bestFit="1" customWidth="1"/>
    <col min="16131" max="16131" width="9.140625" style="47"/>
    <col min="16132" max="16133" width="5.140625" style="47" bestFit="1" customWidth="1"/>
    <col min="16134" max="16134" width="2.42578125" style="47" customWidth="1"/>
    <col min="16135" max="16135" width="28.7109375" style="47" customWidth="1"/>
    <col min="16136" max="16140" width="0" style="47" hidden="1" customWidth="1"/>
    <col min="16141" max="16141" width="8.7109375" style="47" bestFit="1" customWidth="1"/>
    <col min="16142" max="16142" width="10.42578125" style="47" customWidth="1"/>
    <col min="16143" max="16147" width="8.7109375" style="47" bestFit="1" customWidth="1"/>
    <col min="16148" max="16148" width="3.140625" style="47" customWidth="1"/>
    <col min="16149" max="16384" width="9.140625" style="47"/>
  </cols>
  <sheetData>
    <row r="1" spans="1:19" x14ac:dyDescent="0.2">
      <c r="A1" s="1"/>
      <c r="B1" s="2"/>
      <c r="C1" s="3"/>
      <c r="D1" s="3"/>
      <c r="E1" s="1"/>
      <c r="F1" s="1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</row>
    <row r="2" spans="1:19" x14ac:dyDescent="0.2">
      <c r="A2" s="3" t="s">
        <v>0</v>
      </c>
      <c r="B2" s="5" t="s">
        <v>1</v>
      </c>
      <c r="C2" s="3" t="s">
        <v>2</v>
      </c>
      <c r="D2" s="3"/>
      <c r="E2" s="1" t="s">
        <v>3</v>
      </c>
      <c r="F2" s="1"/>
      <c r="G2" s="49" t="s">
        <v>481</v>
      </c>
      <c r="H2" s="50"/>
      <c r="I2" s="51"/>
      <c r="J2" s="52"/>
      <c r="K2" s="50"/>
      <c r="L2" s="52"/>
      <c r="M2" s="71" t="s">
        <v>366</v>
      </c>
      <c r="N2" s="122" t="s">
        <v>482</v>
      </c>
      <c r="O2" s="72"/>
      <c r="P2" s="72"/>
      <c r="Q2" s="72"/>
      <c r="R2" s="73"/>
    </row>
    <row r="3" spans="1:19" x14ac:dyDescent="0.2">
      <c r="A3" s="1"/>
      <c r="B3" s="6"/>
      <c r="C3" s="3"/>
      <c r="D3" s="3"/>
      <c r="E3" s="1"/>
      <c r="F3" s="1"/>
      <c r="G3" s="53" t="s">
        <v>4</v>
      </c>
      <c r="H3" s="54">
        <v>40908</v>
      </c>
      <c r="I3" s="54">
        <v>41274</v>
      </c>
      <c r="J3" s="54">
        <v>41639</v>
      </c>
      <c r="K3" s="54">
        <v>42004</v>
      </c>
      <c r="L3" s="54">
        <v>42369</v>
      </c>
      <c r="M3" s="54">
        <v>42735</v>
      </c>
      <c r="N3" s="54">
        <v>43100</v>
      </c>
      <c r="O3" s="54">
        <v>43465</v>
      </c>
      <c r="P3" s="54">
        <v>43830</v>
      </c>
      <c r="Q3" s="54">
        <v>44196</v>
      </c>
      <c r="R3" s="54">
        <v>44561</v>
      </c>
      <c r="S3" s="54">
        <v>44926</v>
      </c>
    </row>
    <row r="4" spans="1:19" x14ac:dyDescent="0.2">
      <c r="A4" s="7"/>
      <c r="B4" s="2" t="s">
        <v>5</v>
      </c>
      <c r="C4" s="3">
        <v>1</v>
      </c>
      <c r="D4" s="3"/>
      <c r="E4" s="5"/>
      <c r="F4" s="7"/>
      <c r="G4" s="55" t="s">
        <v>6</v>
      </c>
      <c r="H4" s="56">
        <f t="shared" ref="H4:S4" si="0">H5+H10</f>
        <v>5470.7099999999991</v>
      </c>
      <c r="I4" s="56">
        <f t="shared" si="0"/>
        <v>5534.2809999999999</v>
      </c>
      <c r="J4" s="56">
        <f t="shared" si="0"/>
        <v>6558.21</v>
      </c>
      <c r="K4" s="56">
        <f t="shared" si="0"/>
        <v>10148.743</v>
      </c>
      <c r="L4" s="56">
        <f t="shared" si="0"/>
        <v>10111.896000000001</v>
      </c>
      <c r="M4" s="56">
        <f t="shared" si="0"/>
        <v>10570.852999999999</v>
      </c>
      <c r="N4" s="56">
        <f t="shared" si="0"/>
        <v>10403</v>
      </c>
      <c r="O4" s="56">
        <f t="shared" si="0"/>
        <v>10105</v>
      </c>
      <c r="P4" s="56">
        <f t="shared" si="0"/>
        <v>10962</v>
      </c>
      <c r="Q4" s="56">
        <f t="shared" si="0"/>
        <v>11624</v>
      </c>
      <c r="R4" s="56">
        <f t="shared" si="0"/>
        <v>12149</v>
      </c>
      <c r="S4" s="56">
        <f t="shared" si="0"/>
        <v>12512</v>
      </c>
    </row>
    <row r="5" spans="1:19" x14ac:dyDescent="0.2">
      <c r="A5" s="8"/>
      <c r="B5" s="2" t="s">
        <v>7</v>
      </c>
      <c r="C5" s="3">
        <v>10</v>
      </c>
      <c r="D5" s="3"/>
      <c r="E5" s="9"/>
      <c r="G5" s="57" t="s">
        <v>8</v>
      </c>
      <c r="H5" s="56">
        <f t="shared" ref="H5:R5" si="1">SUM(H6:H9)</f>
        <v>645.06100000000004</v>
      </c>
      <c r="I5" s="56">
        <f t="shared" si="1"/>
        <v>627.298</v>
      </c>
      <c r="J5" s="56">
        <f t="shared" si="1"/>
        <v>689.21699999999998</v>
      </c>
      <c r="K5" s="56">
        <f t="shared" si="1"/>
        <v>916.06399999999996</v>
      </c>
      <c r="L5" s="56">
        <f t="shared" si="1"/>
        <v>854.40599999999995</v>
      </c>
      <c r="M5" s="56">
        <f t="shared" si="1"/>
        <v>1247.0430000000001</v>
      </c>
      <c r="N5" s="56">
        <f t="shared" si="1"/>
        <v>1135</v>
      </c>
      <c r="O5" s="56">
        <f t="shared" si="1"/>
        <v>675</v>
      </c>
      <c r="P5" s="56">
        <f t="shared" si="1"/>
        <v>542</v>
      </c>
      <c r="Q5" s="56">
        <f t="shared" si="1"/>
        <v>490</v>
      </c>
      <c r="R5" s="56">
        <f t="shared" si="1"/>
        <v>485</v>
      </c>
      <c r="S5" s="56">
        <f>SUM(S6:S9)</f>
        <v>493</v>
      </c>
    </row>
    <row r="6" spans="1:19" ht="12" x14ac:dyDescent="0.2">
      <c r="A6" s="8"/>
      <c r="B6" s="2" t="s">
        <v>9</v>
      </c>
      <c r="C6" s="10" t="s">
        <v>10</v>
      </c>
      <c r="D6" s="10"/>
      <c r="E6" s="11" t="s">
        <v>11</v>
      </c>
      <c r="G6" s="57" t="s">
        <v>12</v>
      </c>
      <c r="H6" s="58">
        <v>283.04000000000002</v>
      </c>
      <c r="I6" s="58">
        <v>226.77500000000001</v>
      </c>
      <c r="J6" s="58">
        <v>274.524</v>
      </c>
      <c r="K6" s="58">
        <v>665.37599999999998</v>
      </c>
      <c r="L6" s="58">
        <v>731.53599999999994</v>
      </c>
      <c r="M6" s="58">
        <v>1118.181</v>
      </c>
      <c r="N6" s="76">
        <v>942</v>
      </c>
      <c r="O6" s="76">
        <v>455</v>
      </c>
      <c r="P6" s="76">
        <v>295</v>
      </c>
      <c r="Q6" s="76">
        <v>250</v>
      </c>
      <c r="R6" s="76">
        <v>250</v>
      </c>
      <c r="S6" s="58">
        <v>260</v>
      </c>
    </row>
    <row r="7" spans="1:19" ht="12" x14ac:dyDescent="0.2">
      <c r="A7" s="8"/>
      <c r="B7" s="2" t="s">
        <v>13</v>
      </c>
      <c r="C7" s="10" t="s">
        <v>14</v>
      </c>
      <c r="D7" s="10"/>
      <c r="E7" s="11" t="s">
        <v>11</v>
      </c>
      <c r="G7" s="57" t="s">
        <v>15</v>
      </c>
      <c r="H7" s="58">
        <v>331.012</v>
      </c>
      <c r="I7" s="58">
        <v>355.62599999999998</v>
      </c>
      <c r="J7" s="58">
        <v>372.81400000000002</v>
      </c>
      <c r="K7" s="58">
        <v>189.15600000000001</v>
      </c>
      <c r="L7" s="58">
        <v>53.661999999999999</v>
      </c>
      <c r="M7" s="58">
        <v>51.372</v>
      </c>
      <c r="N7" s="76">
        <v>89</v>
      </c>
      <c r="O7" s="76">
        <v>100</v>
      </c>
      <c r="P7" s="76">
        <v>122</v>
      </c>
      <c r="Q7" s="76">
        <v>120</v>
      </c>
      <c r="R7" s="76">
        <v>110</v>
      </c>
      <c r="S7" s="58">
        <v>110</v>
      </c>
    </row>
    <row r="8" spans="1:19" ht="12" x14ac:dyDescent="0.2">
      <c r="A8" s="8"/>
      <c r="B8" s="2" t="s">
        <v>16</v>
      </c>
      <c r="C8" s="10" t="s">
        <v>17</v>
      </c>
      <c r="D8" s="10"/>
      <c r="E8" s="11" t="s">
        <v>11</v>
      </c>
      <c r="G8" s="57" t="s">
        <v>18</v>
      </c>
      <c r="H8" s="58">
        <v>0</v>
      </c>
      <c r="I8" s="58">
        <v>0</v>
      </c>
      <c r="J8" s="58">
        <v>0</v>
      </c>
      <c r="K8" s="58">
        <v>0</v>
      </c>
      <c r="L8" s="58">
        <v>0</v>
      </c>
      <c r="M8" s="58">
        <v>0</v>
      </c>
      <c r="N8" s="76">
        <v>0</v>
      </c>
      <c r="O8" s="76">
        <v>0</v>
      </c>
      <c r="P8" s="76">
        <v>0</v>
      </c>
      <c r="Q8" s="76">
        <v>0</v>
      </c>
      <c r="R8" s="76">
        <v>0</v>
      </c>
      <c r="S8" s="58">
        <v>0</v>
      </c>
    </row>
    <row r="9" spans="1:19" x14ac:dyDescent="0.2">
      <c r="A9" s="8"/>
      <c r="B9" s="2" t="s">
        <v>19</v>
      </c>
      <c r="C9" s="10">
        <v>108</v>
      </c>
      <c r="D9" s="10"/>
      <c r="E9" s="12"/>
      <c r="G9" s="57" t="s">
        <v>20</v>
      </c>
      <c r="H9" s="58">
        <v>31.009</v>
      </c>
      <c r="I9" s="58">
        <v>44.896999999999998</v>
      </c>
      <c r="J9" s="58">
        <v>41.878999999999998</v>
      </c>
      <c r="K9" s="58">
        <v>61.531999999999996</v>
      </c>
      <c r="L9" s="58">
        <v>69.207999999999998</v>
      </c>
      <c r="M9" s="58">
        <v>77.489999999999995</v>
      </c>
      <c r="N9" s="76">
        <v>104</v>
      </c>
      <c r="O9" s="76">
        <v>120</v>
      </c>
      <c r="P9" s="76">
        <v>125</v>
      </c>
      <c r="Q9" s="76">
        <v>120</v>
      </c>
      <c r="R9" s="76">
        <v>125</v>
      </c>
      <c r="S9" s="58">
        <v>123</v>
      </c>
    </row>
    <row r="10" spans="1:19" x14ac:dyDescent="0.2">
      <c r="A10" s="13"/>
      <c r="B10" s="2" t="s">
        <v>21</v>
      </c>
      <c r="C10" s="14">
        <v>15</v>
      </c>
      <c r="D10" s="14"/>
      <c r="E10" s="12"/>
      <c r="F10" s="13"/>
      <c r="G10" s="57" t="s">
        <v>22</v>
      </c>
      <c r="H10" s="56">
        <f t="shared" ref="H10:S10" si="2">SUM(H11:H16)</f>
        <v>4825.6489999999994</v>
      </c>
      <c r="I10" s="56">
        <f t="shared" si="2"/>
        <v>4906.9830000000002</v>
      </c>
      <c r="J10" s="56">
        <f t="shared" si="2"/>
        <v>5868.9930000000004</v>
      </c>
      <c r="K10" s="56">
        <f t="shared" si="2"/>
        <v>9232.6790000000001</v>
      </c>
      <c r="L10" s="56">
        <f t="shared" si="2"/>
        <v>9257.49</v>
      </c>
      <c r="M10" s="56">
        <f t="shared" si="2"/>
        <v>9323.81</v>
      </c>
      <c r="N10" s="77">
        <f t="shared" si="2"/>
        <v>9268</v>
      </c>
      <c r="O10" s="77">
        <f t="shared" si="2"/>
        <v>9430</v>
      </c>
      <c r="P10" s="77">
        <f t="shared" si="2"/>
        <v>10420</v>
      </c>
      <c r="Q10" s="77">
        <f t="shared" si="2"/>
        <v>11134</v>
      </c>
      <c r="R10" s="77">
        <f t="shared" si="2"/>
        <v>11664</v>
      </c>
      <c r="S10" s="56">
        <f t="shared" si="2"/>
        <v>12019</v>
      </c>
    </row>
    <row r="11" spans="1:19" ht="12" x14ac:dyDescent="0.2">
      <c r="A11" s="13"/>
      <c r="B11" s="2" t="s">
        <v>23</v>
      </c>
      <c r="C11" s="14">
        <v>150</v>
      </c>
      <c r="D11" s="14"/>
      <c r="E11" s="11" t="s">
        <v>11</v>
      </c>
      <c r="F11" s="13"/>
      <c r="G11" s="57" t="s">
        <v>24</v>
      </c>
      <c r="H11" s="58">
        <v>0</v>
      </c>
      <c r="I11" s="58">
        <v>0</v>
      </c>
      <c r="J11" s="58">
        <v>0</v>
      </c>
      <c r="K11" s="58">
        <v>0</v>
      </c>
      <c r="L11" s="58">
        <v>0</v>
      </c>
      <c r="M11" s="58">
        <v>0</v>
      </c>
      <c r="N11" s="76">
        <v>0</v>
      </c>
      <c r="O11" s="76">
        <v>0</v>
      </c>
      <c r="P11" s="76">
        <v>0</v>
      </c>
      <c r="Q11" s="76">
        <v>0</v>
      </c>
      <c r="R11" s="76">
        <v>0</v>
      </c>
      <c r="S11" s="58">
        <v>0</v>
      </c>
    </row>
    <row r="12" spans="1:19" ht="12" x14ac:dyDescent="0.2">
      <c r="A12" s="13"/>
      <c r="B12" s="2" t="s">
        <v>25</v>
      </c>
      <c r="C12" s="14">
        <v>151</v>
      </c>
      <c r="D12" s="14"/>
      <c r="E12" s="11" t="s">
        <v>11</v>
      </c>
      <c r="F12" s="13"/>
      <c r="G12" s="57" t="s">
        <v>26</v>
      </c>
      <c r="H12" s="58">
        <v>0</v>
      </c>
      <c r="I12" s="58">
        <v>0</v>
      </c>
      <c r="J12" s="58">
        <v>0</v>
      </c>
      <c r="K12" s="58">
        <v>0</v>
      </c>
      <c r="L12" s="58">
        <v>0</v>
      </c>
      <c r="M12" s="58">
        <v>0</v>
      </c>
      <c r="N12" s="76">
        <v>0</v>
      </c>
      <c r="O12" s="76">
        <v>0</v>
      </c>
      <c r="P12" s="76">
        <v>0</v>
      </c>
      <c r="Q12" s="76">
        <v>0</v>
      </c>
      <c r="R12" s="76">
        <v>0</v>
      </c>
      <c r="S12" s="58">
        <v>0</v>
      </c>
    </row>
    <row r="13" spans="1:19" ht="12" x14ac:dyDescent="0.2">
      <c r="A13" s="8"/>
      <c r="B13" s="2" t="s">
        <v>27</v>
      </c>
      <c r="C13" s="10" t="s">
        <v>28</v>
      </c>
      <c r="D13" s="10"/>
      <c r="E13" s="11" t="s">
        <v>11</v>
      </c>
      <c r="G13" s="57" t="s">
        <v>29</v>
      </c>
      <c r="H13" s="58">
        <v>0</v>
      </c>
      <c r="I13" s="58">
        <v>0</v>
      </c>
      <c r="J13" s="58">
        <v>0</v>
      </c>
      <c r="K13" s="58">
        <v>0</v>
      </c>
      <c r="L13" s="58">
        <v>0</v>
      </c>
      <c r="M13" s="58">
        <v>0</v>
      </c>
      <c r="N13" s="76">
        <v>0</v>
      </c>
      <c r="O13" s="76">
        <v>0</v>
      </c>
      <c r="P13" s="76">
        <v>0</v>
      </c>
      <c r="Q13" s="76">
        <v>0</v>
      </c>
      <c r="R13" s="76">
        <v>0</v>
      </c>
      <c r="S13" s="58">
        <v>0</v>
      </c>
    </row>
    <row r="14" spans="1:19" ht="12" x14ac:dyDescent="0.2">
      <c r="A14" s="8"/>
      <c r="B14" s="2" t="s">
        <v>30</v>
      </c>
      <c r="C14" s="10">
        <v>154</v>
      </c>
      <c r="D14" s="10"/>
      <c r="E14" s="11" t="s">
        <v>11</v>
      </c>
      <c r="G14" s="57" t="s">
        <v>31</v>
      </c>
      <c r="H14" s="58">
        <v>174.434</v>
      </c>
      <c r="I14" s="58">
        <v>174.434</v>
      </c>
      <c r="J14" s="58">
        <v>174.434</v>
      </c>
      <c r="K14" s="58">
        <v>0</v>
      </c>
      <c r="L14" s="58">
        <v>0</v>
      </c>
      <c r="M14" s="58">
        <v>0</v>
      </c>
      <c r="N14" s="76">
        <v>0</v>
      </c>
      <c r="O14" s="76">
        <v>0</v>
      </c>
      <c r="P14" s="76">
        <v>0</v>
      </c>
      <c r="Q14" s="76">
        <v>0</v>
      </c>
      <c r="R14" s="76">
        <v>0</v>
      </c>
      <c r="S14" s="58">
        <v>0</v>
      </c>
    </row>
    <row r="15" spans="1:19" ht="12" x14ac:dyDescent="0.2">
      <c r="A15" s="8"/>
      <c r="B15" s="2" t="s">
        <v>32</v>
      </c>
      <c r="C15" s="10" t="s">
        <v>33</v>
      </c>
      <c r="D15" s="10"/>
      <c r="E15" s="11" t="s">
        <v>11</v>
      </c>
      <c r="G15" s="57" t="s">
        <v>34</v>
      </c>
      <c r="H15" s="58">
        <f>4643.659+5</f>
        <v>4648.6589999999997</v>
      </c>
      <c r="I15" s="58">
        <f>4713.449+13</f>
        <v>4726.4489999999996</v>
      </c>
      <c r="J15" s="58">
        <f>1615.1+19.372+4019.529+38.458</f>
        <v>5692.4589999999998</v>
      </c>
      <c r="K15" s="58">
        <f>9176.515+51.564</f>
        <v>9228.0789999999997</v>
      </c>
      <c r="L15" s="58">
        <f>9207.098+45.792</f>
        <v>9252.89</v>
      </c>
      <c r="M15" s="58">
        <f>9280.132+39.078</f>
        <v>9319.2099999999991</v>
      </c>
      <c r="N15" s="76">
        <v>9263</v>
      </c>
      <c r="O15" s="76">
        <f>9449-19-5</f>
        <v>9425</v>
      </c>
      <c r="P15" s="76">
        <f>10439-24</f>
        <v>10415</v>
      </c>
      <c r="Q15" s="76">
        <f>11129</f>
        <v>11129</v>
      </c>
      <c r="R15" s="76">
        <f>20283-8600-24</f>
        <v>11659</v>
      </c>
      <c r="S15" s="58">
        <f>29938-9300-8600-24</f>
        <v>12014</v>
      </c>
    </row>
    <row r="16" spans="1:19" ht="12" x14ac:dyDescent="0.2">
      <c r="A16" s="8"/>
      <c r="B16" s="2" t="s">
        <v>35</v>
      </c>
      <c r="C16" s="10">
        <v>157</v>
      </c>
      <c r="D16" s="10"/>
      <c r="E16" s="11" t="s">
        <v>11</v>
      </c>
      <c r="G16" s="57" t="s">
        <v>36</v>
      </c>
      <c r="H16" s="58">
        <v>2.556</v>
      </c>
      <c r="I16" s="58">
        <v>6.1</v>
      </c>
      <c r="J16" s="58">
        <v>2.1</v>
      </c>
      <c r="K16" s="58">
        <v>4.5999999999999996</v>
      </c>
      <c r="L16" s="58">
        <v>4.5999999999999996</v>
      </c>
      <c r="M16" s="58">
        <v>4.5999999999999996</v>
      </c>
      <c r="N16" s="76">
        <v>5</v>
      </c>
      <c r="O16" s="76">
        <v>5</v>
      </c>
      <c r="P16" s="76">
        <v>5</v>
      </c>
      <c r="Q16" s="76">
        <v>5</v>
      </c>
      <c r="R16" s="76">
        <v>5</v>
      </c>
      <c r="S16" s="58">
        <v>5</v>
      </c>
    </row>
    <row r="17" spans="1:19" ht="12" x14ac:dyDescent="0.2">
      <c r="A17" s="15"/>
      <c r="B17" s="2" t="s">
        <v>37</v>
      </c>
      <c r="C17" s="78" t="s">
        <v>38</v>
      </c>
      <c r="D17" s="15"/>
      <c r="E17" s="11" t="s">
        <v>11</v>
      </c>
      <c r="F17" s="16"/>
      <c r="G17" s="59" t="s">
        <v>39</v>
      </c>
      <c r="H17" s="60">
        <v>0</v>
      </c>
      <c r="I17" s="60">
        <v>0</v>
      </c>
      <c r="J17" s="60">
        <v>0</v>
      </c>
      <c r="K17" s="60">
        <v>0</v>
      </c>
      <c r="L17" s="60">
        <v>0</v>
      </c>
      <c r="M17" s="60">
        <v>0</v>
      </c>
      <c r="N17" s="80">
        <v>0</v>
      </c>
      <c r="O17" s="80">
        <v>0</v>
      </c>
      <c r="P17" s="80">
        <v>0</v>
      </c>
      <c r="Q17" s="80">
        <v>0</v>
      </c>
      <c r="R17" s="80">
        <v>0</v>
      </c>
      <c r="S17" s="60">
        <v>0</v>
      </c>
    </row>
    <row r="18" spans="1:19" x14ac:dyDescent="0.2">
      <c r="A18" s="8"/>
      <c r="B18" s="2" t="s">
        <v>40</v>
      </c>
      <c r="C18" s="10">
        <v>2</v>
      </c>
      <c r="D18" s="10"/>
      <c r="E18" s="12"/>
      <c r="G18" s="57" t="s">
        <v>41</v>
      </c>
      <c r="H18" s="56">
        <f t="shared" ref="H18:S18" si="3">H19+H27</f>
        <v>5470.7110000000002</v>
      </c>
      <c r="I18" s="56">
        <f t="shared" si="3"/>
        <v>5534.28</v>
      </c>
      <c r="J18" s="56">
        <f t="shared" si="3"/>
        <v>6558.2100000000009</v>
      </c>
      <c r="K18" s="56">
        <f t="shared" si="3"/>
        <v>10148.743</v>
      </c>
      <c r="L18" s="56">
        <f t="shared" si="3"/>
        <v>10111.895</v>
      </c>
      <c r="M18" s="56">
        <f t="shared" si="3"/>
        <v>10570.853000000001</v>
      </c>
      <c r="N18" s="77">
        <f t="shared" si="3"/>
        <v>10403</v>
      </c>
      <c r="O18" s="77">
        <f t="shared" si="3"/>
        <v>10105</v>
      </c>
      <c r="P18" s="77">
        <f t="shared" si="3"/>
        <v>10962</v>
      </c>
      <c r="Q18" s="77">
        <f t="shared" si="3"/>
        <v>11624</v>
      </c>
      <c r="R18" s="77">
        <f t="shared" si="3"/>
        <v>12149</v>
      </c>
      <c r="S18" s="56">
        <f t="shared" si="3"/>
        <v>12512</v>
      </c>
    </row>
    <row r="19" spans="1:19" x14ac:dyDescent="0.2">
      <c r="A19" s="8"/>
      <c r="B19" s="2" t="s">
        <v>42</v>
      </c>
      <c r="C19" s="10" t="s">
        <v>43</v>
      </c>
      <c r="D19" s="10"/>
      <c r="E19" s="12"/>
      <c r="G19" s="57" t="s">
        <v>44</v>
      </c>
      <c r="H19" s="56">
        <f t="shared" ref="H19:M19" si="4">SUM(H21:H26)</f>
        <v>367.60700000000003</v>
      </c>
      <c r="I19" s="56">
        <f t="shared" si="4"/>
        <v>375.49400000000003</v>
      </c>
      <c r="J19" s="56">
        <f t="shared" si="4"/>
        <v>905.02700000000004</v>
      </c>
      <c r="K19" s="56">
        <f t="shared" si="4"/>
        <v>469.47300000000001</v>
      </c>
      <c r="L19" s="56">
        <f t="shared" si="4"/>
        <v>499.16900000000004</v>
      </c>
      <c r="M19" s="56">
        <f t="shared" si="4"/>
        <v>533.72300000000007</v>
      </c>
      <c r="N19" s="77">
        <f t="shared" ref="N19:S19" si="5">SUM(N21:N26)</f>
        <v>441</v>
      </c>
      <c r="O19" s="77">
        <f t="shared" si="5"/>
        <v>332</v>
      </c>
      <c r="P19" s="77">
        <f t="shared" si="5"/>
        <v>359</v>
      </c>
      <c r="Q19" s="77">
        <f t="shared" si="5"/>
        <v>306</v>
      </c>
      <c r="R19" s="77">
        <f t="shared" si="5"/>
        <v>301</v>
      </c>
      <c r="S19" s="56">
        <f t="shared" si="5"/>
        <v>309</v>
      </c>
    </row>
    <row r="20" spans="1:19" ht="12" x14ac:dyDescent="0.2">
      <c r="A20" s="17"/>
      <c r="B20" s="2" t="s">
        <v>45</v>
      </c>
      <c r="C20" s="78" t="s">
        <v>46</v>
      </c>
      <c r="D20" s="15"/>
      <c r="E20" s="11" t="s">
        <v>11</v>
      </c>
      <c r="F20" s="17"/>
      <c r="G20" s="59" t="s">
        <v>47</v>
      </c>
      <c r="H20" s="61">
        <v>367.60700000000003</v>
      </c>
      <c r="I20" s="61">
        <v>375.495</v>
      </c>
      <c r="J20" s="61">
        <v>905.02700000000004</v>
      </c>
      <c r="K20" s="61">
        <v>442.358</v>
      </c>
      <c r="L20" s="61">
        <v>476.54599999999999</v>
      </c>
      <c r="M20" s="61">
        <v>515.75699999999995</v>
      </c>
      <c r="N20" s="82">
        <v>441</v>
      </c>
      <c r="O20" s="82">
        <v>337</v>
      </c>
      <c r="P20" s="82">
        <v>359</v>
      </c>
      <c r="Q20" s="82">
        <v>306</v>
      </c>
      <c r="R20" s="82">
        <v>299</v>
      </c>
      <c r="S20" s="61">
        <v>309</v>
      </c>
    </row>
    <row r="21" spans="1:19" ht="12" x14ac:dyDescent="0.2">
      <c r="A21" s="8"/>
      <c r="B21" s="2" t="s">
        <v>48</v>
      </c>
      <c r="C21" s="18" t="s">
        <v>49</v>
      </c>
      <c r="D21" s="18"/>
      <c r="E21" s="11" t="s">
        <v>11</v>
      </c>
      <c r="G21" s="57" t="s">
        <v>50</v>
      </c>
      <c r="H21" s="58">
        <v>367.60700000000003</v>
      </c>
      <c r="I21" s="58">
        <f>59.59+11.712+178.207</f>
        <v>249.50900000000001</v>
      </c>
      <c r="J21" s="58">
        <v>905.02700000000004</v>
      </c>
      <c r="K21" s="58">
        <f>60.228+14.973+362.827</f>
        <v>438.02800000000002</v>
      </c>
      <c r="L21" s="58">
        <f>84.285+34.037+353.732</f>
        <v>472.05400000000003</v>
      </c>
      <c r="M21" s="58">
        <f>337.682+173.417</f>
        <v>511.09900000000005</v>
      </c>
      <c r="N21" s="76">
        <v>423</v>
      </c>
      <c r="O21" s="76">
        <f>320+23-19-5</f>
        <v>319</v>
      </c>
      <c r="P21" s="76">
        <f>383-24</f>
        <v>359</v>
      </c>
      <c r="Q21" s="76">
        <f>330-24</f>
        <v>306</v>
      </c>
      <c r="R21" s="76">
        <v>301</v>
      </c>
      <c r="S21" s="58">
        <f>333-24</f>
        <v>309</v>
      </c>
    </row>
    <row r="22" spans="1:19" ht="12" x14ac:dyDescent="0.2">
      <c r="A22" s="8"/>
      <c r="B22" s="2" t="s">
        <v>51</v>
      </c>
      <c r="C22" s="10" t="s">
        <v>52</v>
      </c>
      <c r="D22" s="10"/>
      <c r="E22" s="11" t="s">
        <v>11</v>
      </c>
      <c r="G22" s="57" t="s">
        <v>53</v>
      </c>
      <c r="H22" s="58">
        <v>0</v>
      </c>
      <c r="I22" s="58">
        <v>0</v>
      </c>
      <c r="J22" s="58">
        <v>0</v>
      </c>
      <c r="K22" s="58">
        <v>0</v>
      </c>
      <c r="L22" s="58">
        <v>0</v>
      </c>
      <c r="M22" s="58">
        <v>0</v>
      </c>
      <c r="N22" s="76">
        <v>0</v>
      </c>
      <c r="O22" s="76">
        <v>0</v>
      </c>
      <c r="P22" s="76">
        <v>0</v>
      </c>
      <c r="Q22" s="76">
        <v>0</v>
      </c>
      <c r="R22" s="76">
        <v>0</v>
      </c>
      <c r="S22" s="58">
        <v>0</v>
      </c>
    </row>
    <row r="23" spans="1:19" ht="12" x14ac:dyDescent="0.2">
      <c r="A23" s="8"/>
      <c r="B23" s="2" t="s">
        <v>54</v>
      </c>
      <c r="C23" s="10">
        <v>257</v>
      </c>
      <c r="D23" s="10"/>
      <c r="E23" s="11" t="s">
        <v>11</v>
      </c>
      <c r="G23" s="57" t="s">
        <v>55</v>
      </c>
      <c r="H23" s="58">
        <v>0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76">
        <v>0</v>
      </c>
      <c r="O23" s="76">
        <v>0</v>
      </c>
      <c r="P23" s="76">
        <v>0</v>
      </c>
      <c r="Q23" s="76">
        <v>0</v>
      </c>
      <c r="R23" s="76">
        <v>0</v>
      </c>
      <c r="S23" s="58">
        <v>0</v>
      </c>
    </row>
    <row r="24" spans="1:19" ht="12" x14ac:dyDescent="0.2">
      <c r="A24" s="19"/>
      <c r="B24" s="2" t="s">
        <v>56</v>
      </c>
      <c r="C24" s="10" t="s">
        <v>57</v>
      </c>
      <c r="D24" s="10"/>
      <c r="E24" s="11" t="s">
        <v>11</v>
      </c>
      <c r="F24" s="19"/>
      <c r="G24" s="57" t="s">
        <v>58</v>
      </c>
      <c r="H24" s="58">
        <v>0</v>
      </c>
      <c r="I24" s="58">
        <v>125.985</v>
      </c>
      <c r="J24" s="58">
        <v>0</v>
      </c>
      <c r="K24" s="58">
        <f>4.33+27.115</f>
        <v>31.445</v>
      </c>
      <c r="L24" s="58">
        <f>4.491+22.624</f>
        <v>27.114999999999998</v>
      </c>
      <c r="M24" s="58">
        <f>4.658+17.966</f>
        <v>22.624000000000002</v>
      </c>
      <c r="N24" s="76">
        <v>18</v>
      </c>
      <c r="O24" s="76">
        <v>13</v>
      </c>
      <c r="P24" s="76">
        <v>0</v>
      </c>
      <c r="Q24" s="76">
        <v>0</v>
      </c>
      <c r="R24" s="76">
        <v>0</v>
      </c>
      <c r="S24" s="58">
        <v>0</v>
      </c>
    </row>
    <row r="25" spans="1:19" ht="12" x14ac:dyDescent="0.2">
      <c r="A25" s="19"/>
      <c r="B25" s="2" t="s">
        <v>59</v>
      </c>
      <c r="C25" s="10" t="s">
        <v>60</v>
      </c>
      <c r="D25" s="10"/>
      <c r="E25" s="11" t="s">
        <v>11</v>
      </c>
      <c r="F25" s="19"/>
      <c r="G25" s="57" t="s">
        <v>61</v>
      </c>
      <c r="H25" s="58">
        <v>0</v>
      </c>
      <c r="I25" s="58">
        <v>0</v>
      </c>
      <c r="J25" s="58">
        <v>0</v>
      </c>
      <c r="K25" s="58">
        <v>0</v>
      </c>
      <c r="L25" s="58">
        <v>0</v>
      </c>
      <c r="M25" s="58">
        <v>0</v>
      </c>
      <c r="N25" s="76">
        <v>0</v>
      </c>
      <c r="O25" s="76">
        <v>0</v>
      </c>
      <c r="P25" s="76">
        <v>0</v>
      </c>
      <c r="Q25" s="76">
        <v>0</v>
      </c>
      <c r="R25" s="76">
        <v>0</v>
      </c>
      <c r="S25" s="58">
        <v>0</v>
      </c>
    </row>
    <row r="26" spans="1:19" ht="12" x14ac:dyDescent="0.2">
      <c r="A26" s="8"/>
      <c r="B26" s="2" t="s">
        <v>62</v>
      </c>
      <c r="C26" s="10">
        <v>28</v>
      </c>
      <c r="D26" s="10"/>
      <c r="E26" s="11" t="s">
        <v>11</v>
      </c>
      <c r="G26" s="57" t="s">
        <v>63</v>
      </c>
      <c r="H26" s="58">
        <v>0</v>
      </c>
      <c r="I26" s="58">
        <v>0</v>
      </c>
      <c r="J26" s="58">
        <v>0</v>
      </c>
      <c r="K26" s="58">
        <v>0</v>
      </c>
      <c r="L26" s="58">
        <v>0</v>
      </c>
      <c r="M26" s="58">
        <v>0</v>
      </c>
      <c r="N26" s="76">
        <v>0</v>
      </c>
      <c r="O26" s="76">
        <v>0</v>
      </c>
      <c r="P26" s="76">
        <v>0</v>
      </c>
      <c r="Q26" s="76">
        <v>0</v>
      </c>
      <c r="R26" s="76">
        <v>0</v>
      </c>
      <c r="S26" s="58">
        <v>0</v>
      </c>
    </row>
    <row r="27" spans="1:19" x14ac:dyDescent="0.2">
      <c r="A27" s="8"/>
      <c r="B27" s="2" t="s">
        <v>64</v>
      </c>
      <c r="C27" s="10">
        <v>29</v>
      </c>
      <c r="D27" s="10"/>
      <c r="E27" s="12"/>
      <c r="G27" s="57" t="s">
        <v>65</v>
      </c>
      <c r="H27" s="56">
        <f t="shared" ref="H27:M27" si="6">SUM(H28:H30)</f>
        <v>5103.1040000000003</v>
      </c>
      <c r="I27" s="56">
        <f t="shared" si="6"/>
        <v>5158.7860000000001</v>
      </c>
      <c r="J27" s="56">
        <f t="shared" si="6"/>
        <v>5653.1830000000009</v>
      </c>
      <c r="K27" s="56">
        <f t="shared" si="6"/>
        <v>9679.27</v>
      </c>
      <c r="L27" s="56">
        <f t="shared" si="6"/>
        <v>9612.7260000000006</v>
      </c>
      <c r="M27" s="56">
        <f t="shared" si="6"/>
        <v>10037.130000000001</v>
      </c>
      <c r="N27" s="77">
        <f t="shared" ref="N27:S27" si="7">SUM(N28:N30)</f>
        <v>9962</v>
      </c>
      <c r="O27" s="77">
        <f t="shared" si="7"/>
        <v>9773</v>
      </c>
      <c r="P27" s="77">
        <f t="shared" si="7"/>
        <v>10603</v>
      </c>
      <c r="Q27" s="77">
        <f t="shared" si="7"/>
        <v>11318</v>
      </c>
      <c r="R27" s="77">
        <f t="shared" si="7"/>
        <v>11848</v>
      </c>
      <c r="S27" s="56">
        <f t="shared" si="7"/>
        <v>12203</v>
      </c>
    </row>
    <row r="28" spans="1:19" ht="12" x14ac:dyDescent="0.2">
      <c r="A28" s="8"/>
      <c r="B28" s="2" t="s">
        <v>66</v>
      </c>
      <c r="C28" s="8" t="s">
        <v>67</v>
      </c>
      <c r="D28" s="8"/>
      <c r="E28" s="11" t="s">
        <v>11</v>
      </c>
      <c r="G28" s="57" t="s">
        <v>68</v>
      </c>
      <c r="H28" s="58">
        <f>5103.104</f>
        <v>5103.1040000000003</v>
      </c>
      <c r="I28" s="58">
        <v>5158.7860000000001</v>
      </c>
      <c r="J28" s="58">
        <f>1551.217+4101.966</f>
        <v>5653.1830000000009</v>
      </c>
      <c r="K28" s="58">
        <v>5184.799</v>
      </c>
      <c r="L28" s="58">
        <v>5184.799</v>
      </c>
      <c r="M28" s="58">
        <v>5184.799</v>
      </c>
      <c r="N28" s="76">
        <v>5185</v>
      </c>
      <c r="O28" s="76">
        <v>5185</v>
      </c>
      <c r="P28" s="76">
        <v>5185</v>
      </c>
      <c r="Q28" s="76">
        <v>5185</v>
      </c>
      <c r="R28" s="76">
        <v>5185</v>
      </c>
      <c r="S28" s="58">
        <v>5185</v>
      </c>
    </row>
    <row r="29" spans="1:19" ht="12" x14ac:dyDescent="0.2">
      <c r="A29" s="8"/>
      <c r="B29" s="2" t="s">
        <v>69</v>
      </c>
      <c r="C29" s="10">
        <v>298</v>
      </c>
      <c r="D29" s="10"/>
      <c r="E29" s="11" t="s">
        <v>11</v>
      </c>
      <c r="G29" s="57" t="s">
        <v>70</v>
      </c>
      <c r="H29" s="58">
        <v>762.55399999999997</v>
      </c>
      <c r="I29" s="58">
        <v>835.005</v>
      </c>
      <c r="J29" s="58">
        <v>938.28899999999999</v>
      </c>
      <c r="K29" s="58">
        <v>3361.3609999999999</v>
      </c>
      <c r="L29" s="58">
        <v>4494.4709999999995</v>
      </c>
      <c r="M29" s="58">
        <f>3374.67+1053.256</f>
        <v>4427.9260000000004</v>
      </c>
      <c r="N29" s="76">
        <v>4852</v>
      </c>
      <c r="O29" s="76">
        <v>4777</v>
      </c>
      <c r="P29" s="76">
        <v>4588</v>
      </c>
      <c r="Q29" s="76">
        <v>5418</v>
      </c>
      <c r="R29" s="76">
        <v>6133</v>
      </c>
      <c r="S29" s="58">
        <v>6663</v>
      </c>
    </row>
    <row r="30" spans="1:19" ht="12" x14ac:dyDescent="0.2">
      <c r="A30" s="8"/>
      <c r="B30" s="2" t="s">
        <v>71</v>
      </c>
      <c r="C30" s="10">
        <v>299</v>
      </c>
      <c r="D30" s="10"/>
      <c r="E30" s="11" t="s">
        <v>72</v>
      </c>
      <c r="G30" s="57" t="s">
        <v>73</v>
      </c>
      <c r="H30" s="58">
        <v>-762.55399999999997</v>
      </c>
      <c r="I30" s="58">
        <v>-835.005</v>
      </c>
      <c r="J30" s="58">
        <v>-938.28899999999999</v>
      </c>
      <c r="K30" s="58">
        <v>1133.1099999999999</v>
      </c>
      <c r="L30" s="58">
        <v>-66.543999999999997</v>
      </c>
      <c r="M30" s="58">
        <v>424.40499999999997</v>
      </c>
      <c r="N30" s="76">
        <v>-75</v>
      </c>
      <c r="O30" s="76">
        <v>-189</v>
      </c>
      <c r="P30" s="76">
        <v>830</v>
      </c>
      <c r="Q30" s="76">
        <v>715</v>
      </c>
      <c r="R30" s="76">
        <f>9130-8600</f>
        <v>530</v>
      </c>
      <c r="S30" s="58">
        <f>9655-9300</f>
        <v>355</v>
      </c>
    </row>
    <row r="31" spans="1:19" x14ac:dyDescent="0.2">
      <c r="A31" s="20"/>
      <c r="B31" s="2" t="s">
        <v>368</v>
      </c>
      <c r="C31" s="83" t="s">
        <v>369</v>
      </c>
      <c r="D31" s="21"/>
      <c r="E31" s="22"/>
      <c r="F31" s="20"/>
      <c r="G31" s="62" t="s">
        <v>74</v>
      </c>
      <c r="H31" s="63">
        <f t="shared" ref="H31:S31" si="8">H4-H18</f>
        <v>-1.0000000011132215E-3</v>
      </c>
      <c r="I31" s="63">
        <f t="shared" si="8"/>
        <v>1.0000000002037268E-3</v>
      </c>
      <c r="J31" s="63">
        <f t="shared" si="8"/>
        <v>0</v>
      </c>
      <c r="K31" s="63">
        <f t="shared" si="8"/>
        <v>0</v>
      </c>
      <c r="L31" s="63">
        <f t="shared" si="8"/>
        <v>1.0000000002037268E-3</v>
      </c>
      <c r="M31" s="63">
        <f t="shared" si="8"/>
        <v>0</v>
      </c>
      <c r="N31" s="85">
        <f t="shared" si="8"/>
        <v>0</v>
      </c>
      <c r="O31" s="85">
        <f t="shared" si="8"/>
        <v>0</v>
      </c>
      <c r="P31" s="85">
        <f t="shared" si="8"/>
        <v>0</v>
      </c>
      <c r="Q31" s="85">
        <f t="shared" si="8"/>
        <v>0</v>
      </c>
      <c r="R31" s="85">
        <f t="shared" si="8"/>
        <v>0</v>
      </c>
      <c r="S31" s="63">
        <f t="shared" si="8"/>
        <v>0</v>
      </c>
    </row>
    <row r="32" spans="1:19" x14ac:dyDescent="0.2">
      <c r="A32" s="8"/>
      <c r="B32" s="2"/>
      <c r="C32" s="10"/>
      <c r="D32" s="10"/>
      <c r="E32" s="9"/>
      <c r="G32" s="53" t="s">
        <v>75</v>
      </c>
      <c r="H32" s="64">
        <v>2011</v>
      </c>
      <c r="I32" s="64">
        <f t="shared" ref="I32:S32" si="9">H32+1</f>
        <v>2012</v>
      </c>
      <c r="J32" s="64">
        <f t="shared" si="9"/>
        <v>2013</v>
      </c>
      <c r="K32" s="64">
        <f t="shared" si="9"/>
        <v>2014</v>
      </c>
      <c r="L32" s="64">
        <f t="shared" si="9"/>
        <v>2015</v>
      </c>
      <c r="M32" s="64">
        <f t="shared" si="9"/>
        <v>2016</v>
      </c>
      <c r="N32" s="87">
        <f t="shared" si="9"/>
        <v>2017</v>
      </c>
      <c r="O32" s="87">
        <f t="shared" si="9"/>
        <v>2018</v>
      </c>
      <c r="P32" s="87">
        <f t="shared" si="9"/>
        <v>2019</v>
      </c>
      <c r="Q32" s="87">
        <f t="shared" si="9"/>
        <v>2020</v>
      </c>
      <c r="R32" s="87">
        <f t="shared" si="9"/>
        <v>2021</v>
      </c>
      <c r="S32" s="64">
        <f t="shared" si="9"/>
        <v>2022</v>
      </c>
    </row>
    <row r="33" spans="1:19" x14ac:dyDescent="0.2">
      <c r="A33" s="8"/>
      <c r="B33" s="2" t="s">
        <v>76</v>
      </c>
      <c r="C33" s="10">
        <v>3</v>
      </c>
      <c r="D33" s="10"/>
      <c r="E33" s="9"/>
      <c r="G33" s="55" t="s">
        <v>77</v>
      </c>
      <c r="H33" s="56">
        <f t="shared" ref="H33:M33" si="10">SUM(H34:H37)</f>
        <v>1217.1079999999999</v>
      </c>
      <c r="I33" s="56">
        <f t="shared" si="10"/>
        <v>1475.4299999999998</v>
      </c>
      <c r="J33" s="56">
        <f t="shared" si="10"/>
        <v>1515.2719999999999</v>
      </c>
      <c r="K33" s="56">
        <f t="shared" si="10"/>
        <v>3683.7730000000001</v>
      </c>
      <c r="L33" s="56">
        <f t="shared" si="10"/>
        <v>2742.181</v>
      </c>
      <c r="M33" s="56">
        <f t="shared" si="10"/>
        <v>3343.8629999999998</v>
      </c>
      <c r="N33" s="77">
        <f t="shared" ref="N33:S33" si="11">SUM(N34:N37)</f>
        <v>3075</v>
      </c>
      <c r="O33" s="77">
        <f t="shared" si="11"/>
        <v>3150</v>
      </c>
      <c r="P33" s="77">
        <f t="shared" si="11"/>
        <v>4417</v>
      </c>
      <c r="Q33" s="77">
        <f t="shared" si="11"/>
        <v>4558</v>
      </c>
      <c r="R33" s="77">
        <f t="shared" si="11"/>
        <v>4678</v>
      </c>
      <c r="S33" s="56">
        <f t="shared" si="11"/>
        <v>4794</v>
      </c>
    </row>
    <row r="34" spans="1:19" ht="12" x14ac:dyDescent="0.2">
      <c r="A34" s="8"/>
      <c r="B34" s="2" t="s">
        <v>78</v>
      </c>
      <c r="C34" s="10">
        <v>30</v>
      </c>
      <c r="D34" s="10"/>
      <c r="E34" s="11" t="s">
        <v>11</v>
      </c>
      <c r="G34" s="57" t="s">
        <v>79</v>
      </c>
      <c r="H34" s="58">
        <v>0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76">
        <v>0</v>
      </c>
      <c r="O34" s="76">
        <v>0</v>
      </c>
      <c r="P34" s="76">
        <v>0</v>
      </c>
      <c r="Q34" s="76">
        <v>0</v>
      </c>
      <c r="R34" s="76">
        <v>0</v>
      </c>
      <c r="S34" s="58">
        <v>0</v>
      </c>
    </row>
    <row r="35" spans="1:19" ht="12" x14ac:dyDescent="0.2">
      <c r="A35" s="8"/>
      <c r="B35" s="2" t="s">
        <v>80</v>
      </c>
      <c r="C35" s="10">
        <v>32</v>
      </c>
      <c r="D35" s="10"/>
      <c r="E35" s="11" t="s">
        <v>11</v>
      </c>
      <c r="G35" s="57" t="s">
        <v>81</v>
      </c>
      <c r="H35" s="58">
        <v>856.79399999999998</v>
      </c>
      <c r="I35" s="58">
        <v>837.94399999999996</v>
      </c>
      <c r="J35" s="58">
        <v>896.048</v>
      </c>
      <c r="K35" s="58">
        <v>921.20899999999995</v>
      </c>
      <c r="L35" s="58">
        <v>961.14</v>
      </c>
      <c r="M35" s="58">
        <v>1147.528</v>
      </c>
      <c r="N35" s="76">
        <v>1231</v>
      </c>
      <c r="O35" s="76">
        <v>1178</v>
      </c>
      <c r="P35" s="76">
        <v>1235</v>
      </c>
      <c r="Q35" s="76">
        <v>1297</v>
      </c>
      <c r="R35" s="76">
        <v>1361</v>
      </c>
      <c r="S35" s="58">
        <v>1430</v>
      </c>
    </row>
    <row r="36" spans="1:19" ht="12" x14ac:dyDescent="0.2">
      <c r="A36" s="13"/>
      <c r="B36" s="2" t="s">
        <v>82</v>
      </c>
      <c r="C36" s="10">
        <v>35</v>
      </c>
      <c r="D36" s="10"/>
      <c r="E36" s="11" t="s">
        <v>11</v>
      </c>
      <c r="F36" s="13"/>
      <c r="G36" s="57" t="s">
        <v>83</v>
      </c>
      <c r="H36" s="58">
        <v>360.31400000000002</v>
      </c>
      <c r="I36" s="58">
        <v>637.48599999999999</v>
      </c>
      <c r="J36" s="58">
        <f>0.591+618.633</f>
        <v>619.22400000000005</v>
      </c>
      <c r="K36" s="58">
        <v>2749.2550000000001</v>
      </c>
      <c r="L36" s="58">
        <v>1780.65</v>
      </c>
      <c r="M36" s="58">
        <v>2196.0880000000002</v>
      </c>
      <c r="N36" s="76">
        <v>1843</v>
      </c>
      <c r="O36" s="76">
        <f>1887+62</f>
        <v>1949</v>
      </c>
      <c r="P36" s="76">
        <f>2127+1055</f>
        <v>3182</v>
      </c>
      <c r="Q36" s="76">
        <f>2317+944</f>
        <v>3261</v>
      </c>
      <c r="R36" s="76">
        <f>2557+760</f>
        <v>3317</v>
      </c>
      <c r="S36" s="58">
        <f>2779+9885-9300</f>
        <v>3364</v>
      </c>
    </row>
    <row r="37" spans="1:19" ht="12" x14ac:dyDescent="0.2">
      <c r="A37" s="8"/>
      <c r="B37" s="2" t="s">
        <v>84</v>
      </c>
      <c r="C37" s="10">
        <v>38</v>
      </c>
      <c r="D37" s="10"/>
      <c r="E37" s="11" t="s">
        <v>72</v>
      </c>
      <c r="G37" s="57" t="s">
        <v>85</v>
      </c>
      <c r="H37" s="58">
        <v>0</v>
      </c>
      <c r="I37" s="58">
        <v>0</v>
      </c>
      <c r="J37" s="58">
        <v>0</v>
      </c>
      <c r="K37" s="58">
        <v>13.308999999999999</v>
      </c>
      <c r="L37" s="58">
        <v>0.39100000000000001</v>
      </c>
      <c r="M37" s="58">
        <v>0.247</v>
      </c>
      <c r="N37" s="76">
        <v>1</v>
      </c>
      <c r="O37" s="76">
        <v>23</v>
      </c>
      <c r="P37" s="76">
        <v>0</v>
      </c>
      <c r="Q37" s="76">
        <v>0</v>
      </c>
      <c r="R37" s="76">
        <v>0</v>
      </c>
      <c r="S37" s="58">
        <v>0</v>
      </c>
    </row>
    <row r="38" spans="1:19" x14ac:dyDescent="0.2">
      <c r="A38" s="8"/>
      <c r="B38" s="2" t="s">
        <v>86</v>
      </c>
      <c r="C38" s="10">
        <v>4</v>
      </c>
      <c r="D38" s="10"/>
      <c r="E38" s="23"/>
      <c r="G38" s="57" t="s">
        <v>87</v>
      </c>
      <c r="H38" s="56">
        <f t="shared" ref="H38:S38" si="12">H39+H40</f>
        <v>-118.113</v>
      </c>
      <c r="I38" s="56">
        <f t="shared" si="12"/>
        <v>-353.58300000000003</v>
      </c>
      <c r="J38" s="56">
        <f t="shared" si="12"/>
        <v>-474.488</v>
      </c>
      <c r="K38" s="56">
        <f t="shared" si="12"/>
        <v>-180.15</v>
      </c>
      <c r="L38" s="56">
        <f t="shared" si="12"/>
        <v>-9.3970000000000002</v>
      </c>
      <c r="M38" s="56">
        <f t="shared" si="12"/>
        <v>0</v>
      </c>
      <c r="N38" s="77">
        <f t="shared" si="12"/>
        <v>0</v>
      </c>
      <c r="O38" s="77">
        <f t="shared" si="12"/>
        <v>0</v>
      </c>
      <c r="P38" s="77">
        <f t="shared" si="12"/>
        <v>0</v>
      </c>
      <c r="Q38" s="77">
        <f t="shared" si="12"/>
        <v>0</v>
      </c>
      <c r="R38" s="77">
        <f t="shared" si="12"/>
        <v>0</v>
      </c>
      <c r="S38" s="56">
        <f t="shared" si="12"/>
        <v>0</v>
      </c>
    </row>
    <row r="39" spans="1:19" ht="12" x14ac:dyDescent="0.2">
      <c r="A39" s="8"/>
      <c r="B39" s="2" t="s">
        <v>88</v>
      </c>
      <c r="C39" s="10">
        <v>41</v>
      </c>
      <c r="D39" s="10"/>
      <c r="E39" s="11" t="s">
        <v>89</v>
      </c>
      <c r="G39" s="57" t="s">
        <v>90</v>
      </c>
      <c r="H39" s="58">
        <v>0</v>
      </c>
      <c r="I39" s="58">
        <v>0</v>
      </c>
      <c r="J39" s="58">
        <v>0</v>
      </c>
      <c r="K39" s="58">
        <v>0</v>
      </c>
      <c r="L39" s="58">
        <v>0</v>
      </c>
      <c r="M39" s="58">
        <v>0</v>
      </c>
      <c r="N39" s="76">
        <v>0</v>
      </c>
      <c r="O39" s="76">
        <v>0</v>
      </c>
      <c r="P39" s="76">
        <v>0</v>
      </c>
      <c r="Q39" s="76">
        <v>0</v>
      </c>
      <c r="R39" s="76">
        <v>0</v>
      </c>
      <c r="S39" s="58">
        <v>0</v>
      </c>
    </row>
    <row r="40" spans="1:19" ht="12" x14ac:dyDescent="0.2">
      <c r="A40" s="8"/>
      <c r="B40" s="2" t="s">
        <v>91</v>
      </c>
      <c r="C40" s="10">
        <v>45</v>
      </c>
      <c r="D40" s="10"/>
      <c r="E40" s="11" t="s">
        <v>89</v>
      </c>
      <c r="G40" s="57" t="s">
        <v>92</v>
      </c>
      <c r="H40" s="58">
        <v>-118.113</v>
      </c>
      <c r="I40" s="58">
        <v>-353.58300000000003</v>
      </c>
      <c r="J40" s="58">
        <f>-474.488</f>
        <v>-474.488</v>
      </c>
      <c r="K40" s="58">
        <v>-180.15</v>
      </c>
      <c r="L40" s="58">
        <v>-9.3970000000000002</v>
      </c>
      <c r="M40" s="58">
        <v>0</v>
      </c>
      <c r="N40" s="76">
        <v>0</v>
      </c>
      <c r="O40" s="76">
        <v>0</v>
      </c>
      <c r="P40" s="76">
        <v>0</v>
      </c>
      <c r="Q40" s="76">
        <v>0</v>
      </c>
      <c r="R40" s="76">
        <v>0</v>
      </c>
      <c r="S40" s="58">
        <v>0</v>
      </c>
    </row>
    <row r="41" spans="1:19" x14ac:dyDescent="0.2">
      <c r="A41" s="13"/>
      <c r="B41" s="2" t="s">
        <v>93</v>
      </c>
      <c r="C41" s="10" t="s">
        <v>94</v>
      </c>
      <c r="D41" s="10"/>
      <c r="E41" s="23"/>
      <c r="F41" s="13"/>
      <c r="G41" s="57" t="s">
        <v>95</v>
      </c>
      <c r="H41" s="56">
        <f t="shared" ref="H41:M41" si="13">SUM(H42:H45)</f>
        <v>-1861.548</v>
      </c>
      <c r="I41" s="56">
        <f t="shared" si="13"/>
        <v>-1956.8520000000001</v>
      </c>
      <c r="J41" s="56">
        <f t="shared" si="13"/>
        <v>-1979.0729999999999</v>
      </c>
      <c r="K41" s="56">
        <f t="shared" si="13"/>
        <v>-2369.6129999999998</v>
      </c>
      <c r="L41" s="56">
        <f t="shared" si="13"/>
        <v>-2799.17</v>
      </c>
      <c r="M41" s="56">
        <f t="shared" si="13"/>
        <v>-2920.5</v>
      </c>
      <c r="N41" s="77">
        <f t="shared" ref="N41:S41" si="14">SUM(N42:N45)</f>
        <v>-3150</v>
      </c>
      <c r="O41" s="77">
        <f t="shared" si="14"/>
        <v>-3339</v>
      </c>
      <c r="P41" s="77">
        <f t="shared" si="14"/>
        <v>-3586</v>
      </c>
      <c r="Q41" s="77">
        <f t="shared" si="14"/>
        <v>-3843</v>
      </c>
      <c r="R41" s="77">
        <f t="shared" si="14"/>
        <v>-4148</v>
      </c>
      <c r="S41" s="56">
        <f t="shared" si="14"/>
        <v>-4439</v>
      </c>
    </row>
    <row r="42" spans="1:19" ht="12" x14ac:dyDescent="0.2">
      <c r="A42" s="8"/>
      <c r="B42" s="2" t="s">
        <v>96</v>
      </c>
      <c r="C42" s="10">
        <v>50</v>
      </c>
      <c r="D42" s="10"/>
      <c r="E42" s="11" t="s">
        <v>89</v>
      </c>
      <c r="G42" s="57" t="s">
        <v>97</v>
      </c>
      <c r="H42" s="58">
        <v>-933.95</v>
      </c>
      <c r="I42" s="58">
        <v>-963.27700000000004</v>
      </c>
      <c r="J42" s="58">
        <v>-1028.742</v>
      </c>
      <c r="K42" s="58">
        <v>-1354.655</v>
      </c>
      <c r="L42" s="58">
        <v>-1555.77</v>
      </c>
      <c r="M42" s="58">
        <v>-1673.8440000000001</v>
      </c>
      <c r="N42" s="76">
        <v>-1797</v>
      </c>
      <c r="O42" s="76">
        <v>-1883</v>
      </c>
      <c r="P42" s="76">
        <v>-2011</v>
      </c>
      <c r="Q42" s="76">
        <v>-2170</v>
      </c>
      <c r="R42" s="76">
        <v>-2359</v>
      </c>
      <c r="S42" s="58">
        <v>-2524</v>
      </c>
    </row>
    <row r="43" spans="1:19" ht="12" x14ac:dyDescent="0.2">
      <c r="A43" s="8"/>
      <c r="B43" s="2" t="s">
        <v>98</v>
      </c>
      <c r="C43" s="10">
        <v>55</v>
      </c>
      <c r="D43" s="10"/>
      <c r="E43" s="11" t="s">
        <v>89</v>
      </c>
      <c r="G43" s="57" t="s">
        <v>99</v>
      </c>
      <c r="H43" s="58">
        <v>-687.875</v>
      </c>
      <c r="I43" s="58">
        <v>-715.09699999999998</v>
      </c>
      <c r="J43" s="58">
        <v>-751.50900000000001</v>
      </c>
      <c r="K43" s="58">
        <v>-783.25900000000001</v>
      </c>
      <c r="L43" s="58">
        <v>-1000.801</v>
      </c>
      <c r="M43" s="58">
        <v>-977.57899999999995</v>
      </c>
      <c r="N43" s="76">
        <v>-1072</v>
      </c>
      <c r="O43" s="76">
        <v>-1171</v>
      </c>
      <c r="P43" s="76">
        <v>-1283</v>
      </c>
      <c r="Q43" s="76">
        <v>-1376</v>
      </c>
      <c r="R43" s="76">
        <v>-1492</v>
      </c>
      <c r="S43" s="58">
        <v>-1618</v>
      </c>
    </row>
    <row r="44" spans="1:19" ht="12" x14ac:dyDescent="0.2">
      <c r="A44" s="13"/>
      <c r="B44" s="2" t="s">
        <v>100</v>
      </c>
      <c r="C44" s="10">
        <v>60</v>
      </c>
      <c r="D44" s="10"/>
      <c r="E44" s="11" t="s">
        <v>89</v>
      </c>
      <c r="F44" s="13"/>
      <c r="G44" s="57" t="s">
        <v>101</v>
      </c>
      <c r="H44" s="58">
        <v>-114.36</v>
      </c>
      <c r="I44" s="58">
        <v>-148.41999999999999</v>
      </c>
      <c r="J44" s="58">
        <v>-71.108999999999995</v>
      </c>
      <c r="K44" s="58">
        <v>-64.936999999999998</v>
      </c>
      <c r="L44" s="58">
        <v>-59.741</v>
      </c>
      <c r="M44" s="58">
        <v>-59.674999999999997</v>
      </c>
      <c r="N44" s="76">
        <v>-60</v>
      </c>
      <c r="O44" s="76">
        <v>-60</v>
      </c>
      <c r="P44" s="76">
        <v>-67</v>
      </c>
      <c r="Q44" s="76">
        <v>-67</v>
      </c>
      <c r="R44" s="76">
        <v>-67</v>
      </c>
      <c r="S44" s="58">
        <v>-67</v>
      </c>
    </row>
    <row r="45" spans="1:19" ht="12" x14ac:dyDescent="0.2">
      <c r="A45" s="8"/>
      <c r="B45" s="2" t="s">
        <v>102</v>
      </c>
      <c r="C45" s="10">
        <v>61</v>
      </c>
      <c r="D45" s="10"/>
      <c r="E45" s="11" t="s">
        <v>89</v>
      </c>
      <c r="G45" s="57" t="s">
        <v>103</v>
      </c>
      <c r="H45" s="58">
        <v>-125.363</v>
      </c>
      <c r="I45" s="58">
        <v>-130.05799999999999</v>
      </c>
      <c r="J45" s="58">
        <v>-127.71299999999999</v>
      </c>
      <c r="K45" s="58">
        <v>-166.762</v>
      </c>
      <c r="L45" s="58">
        <v>-182.858</v>
      </c>
      <c r="M45" s="58">
        <v>-209.40199999999999</v>
      </c>
      <c r="N45" s="76">
        <v>-221</v>
      </c>
      <c r="O45" s="76">
        <v>-225</v>
      </c>
      <c r="P45" s="76">
        <v>-225</v>
      </c>
      <c r="Q45" s="76">
        <v>-230</v>
      </c>
      <c r="R45" s="76">
        <v>-230</v>
      </c>
      <c r="S45" s="58">
        <v>-230</v>
      </c>
    </row>
    <row r="46" spans="1:19" x14ac:dyDescent="0.2">
      <c r="A46" s="8"/>
      <c r="B46" s="2" t="s">
        <v>104</v>
      </c>
      <c r="C46" s="10"/>
      <c r="D46" s="10"/>
      <c r="E46" s="9"/>
      <c r="G46" s="57" t="s">
        <v>105</v>
      </c>
      <c r="H46" s="56">
        <f t="shared" ref="H46:S46" si="15">H33+H38+H41</f>
        <v>-762.55300000000011</v>
      </c>
      <c r="I46" s="56">
        <f t="shared" si="15"/>
        <v>-835.00500000000034</v>
      </c>
      <c r="J46" s="56">
        <f t="shared" si="15"/>
        <v>-938.28899999999999</v>
      </c>
      <c r="K46" s="56">
        <f t="shared" si="15"/>
        <v>1134.0100000000002</v>
      </c>
      <c r="L46" s="56">
        <f t="shared" si="15"/>
        <v>-66.385999999999967</v>
      </c>
      <c r="M46" s="56">
        <f t="shared" si="15"/>
        <v>423.36299999999983</v>
      </c>
      <c r="N46" s="77">
        <f t="shared" si="15"/>
        <v>-75</v>
      </c>
      <c r="O46" s="77">
        <f t="shared" si="15"/>
        <v>-189</v>
      </c>
      <c r="P46" s="77">
        <f t="shared" si="15"/>
        <v>831</v>
      </c>
      <c r="Q46" s="77">
        <f t="shared" si="15"/>
        <v>715</v>
      </c>
      <c r="R46" s="77">
        <f t="shared" si="15"/>
        <v>530</v>
      </c>
      <c r="S46" s="56">
        <f t="shared" si="15"/>
        <v>355</v>
      </c>
    </row>
    <row r="47" spans="1:19" ht="12" x14ac:dyDescent="0.2">
      <c r="A47" s="8"/>
      <c r="B47" s="2" t="s">
        <v>106</v>
      </c>
      <c r="C47" s="10">
        <v>65</v>
      </c>
      <c r="D47" s="10"/>
      <c r="E47" s="11" t="s">
        <v>72</v>
      </c>
      <c r="G47" s="57" t="s">
        <v>107</v>
      </c>
      <c r="H47" s="58">
        <v>0</v>
      </c>
      <c r="I47" s="58">
        <v>0</v>
      </c>
      <c r="J47" s="58">
        <v>0</v>
      </c>
      <c r="K47" s="58">
        <v>-0.90100000000000002</v>
      </c>
      <c r="L47" s="58">
        <v>-0.13400000000000001</v>
      </c>
      <c r="M47" s="58">
        <v>1.2849999999999999</v>
      </c>
      <c r="N47" s="58">
        <v>0</v>
      </c>
      <c r="O47" s="58">
        <v>0</v>
      </c>
      <c r="P47" s="58">
        <v>-1</v>
      </c>
      <c r="Q47" s="58">
        <v>0</v>
      </c>
      <c r="R47" s="58">
        <v>0</v>
      </c>
      <c r="S47" s="58">
        <v>0</v>
      </c>
    </row>
    <row r="48" spans="1:19" x14ac:dyDescent="0.2">
      <c r="A48" s="8"/>
      <c r="B48" s="2" t="s">
        <v>108</v>
      </c>
      <c r="C48" s="10"/>
      <c r="D48" s="10"/>
      <c r="E48" s="9"/>
      <c r="G48" s="57" t="s">
        <v>109</v>
      </c>
      <c r="H48" s="56">
        <f t="shared" ref="H48:S48" si="16">H46+H47</f>
        <v>-762.55300000000011</v>
      </c>
      <c r="I48" s="56">
        <f t="shared" si="16"/>
        <v>-835.00500000000034</v>
      </c>
      <c r="J48" s="56">
        <f t="shared" si="16"/>
        <v>-938.28899999999999</v>
      </c>
      <c r="K48" s="56">
        <f t="shared" si="16"/>
        <v>1133.1090000000002</v>
      </c>
      <c r="L48" s="56">
        <f t="shared" si="16"/>
        <v>-66.519999999999968</v>
      </c>
      <c r="M48" s="56">
        <f t="shared" si="16"/>
        <v>424.64799999999985</v>
      </c>
      <c r="N48" s="77">
        <f t="shared" si="16"/>
        <v>-75</v>
      </c>
      <c r="O48" s="77">
        <f t="shared" si="16"/>
        <v>-189</v>
      </c>
      <c r="P48" s="77">
        <f t="shared" si="16"/>
        <v>830</v>
      </c>
      <c r="Q48" s="77">
        <f t="shared" si="16"/>
        <v>715</v>
      </c>
      <c r="R48" s="77">
        <f t="shared" si="16"/>
        <v>530</v>
      </c>
      <c r="S48" s="56">
        <f t="shared" si="16"/>
        <v>355</v>
      </c>
    </row>
    <row r="49" spans="1:19" ht="12" x14ac:dyDescent="0.2">
      <c r="A49" s="8"/>
      <c r="B49" s="2" t="s">
        <v>110</v>
      </c>
      <c r="C49" s="10">
        <v>68</v>
      </c>
      <c r="D49" s="10"/>
      <c r="E49" s="11" t="s">
        <v>89</v>
      </c>
      <c r="G49" s="57" t="s">
        <v>111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76">
        <v>0</v>
      </c>
      <c r="O49" s="76">
        <v>0</v>
      </c>
      <c r="P49" s="76">
        <v>0</v>
      </c>
      <c r="Q49" s="76">
        <v>0</v>
      </c>
      <c r="R49" s="76">
        <v>0</v>
      </c>
      <c r="S49" s="58">
        <v>0</v>
      </c>
    </row>
    <row r="50" spans="1:19" ht="12" x14ac:dyDescent="0.2">
      <c r="A50" s="8"/>
      <c r="B50" s="2" t="s">
        <v>112</v>
      </c>
      <c r="C50" s="10">
        <v>69</v>
      </c>
      <c r="D50" s="10"/>
      <c r="E50" s="11" t="s">
        <v>11</v>
      </c>
      <c r="G50" s="57" t="s">
        <v>113</v>
      </c>
      <c r="H50" s="58">
        <v>0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76">
        <v>0</v>
      </c>
      <c r="O50" s="76">
        <v>0</v>
      </c>
      <c r="P50" s="76">
        <v>0</v>
      </c>
      <c r="Q50" s="76">
        <v>0</v>
      </c>
      <c r="R50" s="76">
        <v>0</v>
      </c>
      <c r="S50" s="58">
        <v>0</v>
      </c>
    </row>
    <row r="51" spans="1:19" x14ac:dyDescent="0.2">
      <c r="A51" s="8"/>
      <c r="B51" s="2" t="s">
        <v>114</v>
      </c>
      <c r="C51" s="10"/>
      <c r="D51" s="10"/>
      <c r="E51" s="9"/>
      <c r="G51" s="57" t="s">
        <v>115</v>
      </c>
      <c r="H51" s="56">
        <f t="shared" ref="H51:S51" si="17">H48+H49+H50</f>
        <v>-762.55300000000011</v>
      </c>
      <c r="I51" s="56">
        <f t="shared" si="17"/>
        <v>-835.00500000000034</v>
      </c>
      <c r="J51" s="56">
        <f t="shared" si="17"/>
        <v>-938.28899999999999</v>
      </c>
      <c r="K51" s="56">
        <f t="shared" si="17"/>
        <v>1133.1090000000002</v>
      </c>
      <c r="L51" s="56">
        <f t="shared" si="17"/>
        <v>-66.519999999999968</v>
      </c>
      <c r="M51" s="56">
        <f t="shared" si="17"/>
        <v>424.64799999999985</v>
      </c>
      <c r="N51" s="77">
        <f t="shared" si="17"/>
        <v>-75</v>
      </c>
      <c r="O51" s="77">
        <f t="shared" si="17"/>
        <v>-189</v>
      </c>
      <c r="P51" s="77">
        <f t="shared" si="17"/>
        <v>830</v>
      </c>
      <c r="Q51" s="77">
        <f t="shared" si="17"/>
        <v>715</v>
      </c>
      <c r="R51" s="77">
        <f t="shared" si="17"/>
        <v>530</v>
      </c>
      <c r="S51" s="56">
        <f t="shared" si="17"/>
        <v>355</v>
      </c>
    </row>
    <row r="52" spans="1:19" x14ac:dyDescent="0.2">
      <c r="A52" s="24"/>
      <c r="B52" s="2" t="s">
        <v>370</v>
      </c>
      <c r="C52" s="83" t="s">
        <v>371</v>
      </c>
      <c r="D52" s="25"/>
      <c r="E52" s="26"/>
      <c r="F52" s="24"/>
      <c r="G52" s="62" t="s">
        <v>116</v>
      </c>
      <c r="H52" s="63">
        <f t="shared" ref="H52:S52" si="18">H30-H51</f>
        <v>-9.999999998626663E-4</v>
      </c>
      <c r="I52" s="63">
        <f t="shared" si="18"/>
        <v>0</v>
      </c>
      <c r="J52" s="63">
        <f t="shared" si="18"/>
        <v>0</v>
      </c>
      <c r="K52" s="63">
        <f t="shared" si="18"/>
        <v>9.9999999974897946E-4</v>
      </c>
      <c r="L52" s="63">
        <f t="shared" si="18"/>
        <v>-2.4000000000029331E-2</v>
      </c>
      <c r="M52" s="63">
        <f t="shared" si="18"/>
        <v>-0.24299999999988131</v>
      </c>
      <c r="N52" s="85">
        <f t="shared" si="18"/>
        <v>0</v>
      </c>
      <c r="O52" s="85">
        <f t="shared" si="18"/>
        <v>0</v>
      </c>
      <c r="P52" s="85">
        <f t="shared" si="18"/>
        <v>0</v>
      </c>
      <c r="Q52" s="85">
        <f t="shared" si="18"/>
        <v>0</v>
      </c>
      <c r="R52" s="85">
        <f t="shared" si="18"/>
        <v>0</v>
      </c>
      <c r="S52" s="63">
        <f t="shared" si="18"/>
        <v>0</v>
      </c>
    </row>
    <row r="53" spans="1:19" x14ac:dyDescent="0.2">
      <c r="A53" s="8"/>
      <c r="B53" s="2"/>
      <c r="C53" s="10"/>
      <c r="D53" s="10"/>
      <c r="E53" s="9"/>
      <c r="G53" s="65" t="s">
        <v>117</v>
      </c>
      <c r="H53" s="48"/>
      <c r="I53" s="48"/>
      <c r="J53" s="48"/>
      <c r="K53" s="48"/>
      <c r="L53" s="48"/>
      <c r="M53" s="48"/>
      <c r="N53" s="4"/>
      <c r="O53" s="4"/>
      <c r="P53" s="4"/>
      <c r="Q53" s="4"/>
      <c r="R53" s="4"/>
      <c r="S53" s="48"/>
    </row>
    <row r="54" spans="1:19" ht="12" x14ac:dyDescent="0.2">
      <c r="A54" s="8"/>
      <c r="B54" s="2"/>
      <c r="C54" s="10">
        <v>90</v>
      </c>
      <c r="D54" s="10"/>
      <c r="E54" s="11" t="s">
        <v>11</v>
      </c>
      <c r="G54" s="65" t="s">
        <v>118</v>
      </c>
      <c r="H54" s="58">
        <v>79</v>
      </c>
      <c r="I54" s="58">
        <v>80</v>
      </c>
      <c r="J54" s="58">
        <v>80</v>
      </c>
      <c r="K54" s="58">
        <v>111</v>
      </c>
      <c r="L54" s="58">
        <v>108</v>
      </c>
      <c r="M54" s="58">
        <v>122</v>
      </c>
      <c r="N54" s="76">
        <v>122</v>
      </c>
      <c r="O54" s="76">
        <v>122</v>
      </c>
      <c r="P54" s="76">
        <v>123</v>
      </c>
      <c r="Q54" s="76">
        <v>123</v>
      </c>
      <c r="R54" s="76">
        <f>128-2</f>
        <v>126</v>
      </c>
      <c r="S54" s="58">
        <f>128-2</f>
        <v>126</v>
      </c>
    </row>
    <row r="55" spans="1:19" ht="12" x14ac:dyDescent="0.2">
      <c r="A55" s="8"/>
      <c r="B55" s="2"/>
      <c r="C55" s="10"/>
      <c r="D55" s="10"/>
      <c r="E55" s="11" t="s">
        <v>11</v>
      </c>
      <c r="G55" s="65" t="s">
        <v>119</v>
      </c>
      <c r="H55" s="58"/>
      <c r="I55" s="58"/>
      <c r="J55" s="58"/>
      <c r="K55" s="58"/>
      <c r="L55" s="66"/>
      <c r="M55" s="66"/>
      <c r="N55" s="88"/>
      <c r="O55" s="88"/>
      <c r="P55" s="88"/>
      <c r="Q55" s="88"/>
      <c r="R55" s="88"/>
      <c r="S55" s="66"/>
    </row>
    <row r="56" spans="1:19" x14ac:dyDescent="0.2">
      <c r="A56" s="8"/>
      <c r="B56" s="2"/>
      <c r="C56" s="10"/>
      <c r="D56" s="10"/>
      <c r="E56" s="9"/>
      <c r="G56" s="67"/>
      <c r="H56" s="48"/>
      <c r="I56" s="48"/>
      <c r="J56" s="48"/>
      <c r="K56" s="48"/>
      <c r="L56" s="48"/>
      <c r="M56" s="48"/>
      <c r="N56" s="4"/>
      <c r="O56" s="4"/>
      <c r="P56" s="4"/>
      <c r="Q56" s="4"/>
      <c r="R56" s="4"/>
      <c r="S56" s="48"/>
    </row>
    <row r="57" spans="1:19" x14ac:dyDescent="0.2">
      <c r="A57" s="8"/>
      <c r="B57" s="2"/>
      <c r="C57" s="10"/>
      <c r="D57" s="29" t="s">
        <v>120</v>
      </c>
      <c r="E57" s="30" t="s">
        <v>3</v>
      </c>
      <c r="F57" s="9"/>
      <c r="G57" s="53" t="s">
        <v>121</v>
      </c>
      <c r="H57" s="64">
        <f t="shared" ref="H57:S57" si="19">H32</f>
        <v>2011</v>
      </c>
      <c r="I57" s="64">
        <f t="shared" si="19"/>
        <v>2012</v>
      </c>
      <c r="J57" s="64">
        <f t="shared" si="19"/>
        <v>2013</v>
      </c>
      <c r="K57" s="64">
        <f t="shared" si="19"/>
        <v>2014</v>
      </c>
      <c r="L57" s="64">
        <f t="shared" si="19"/>
        <v>2015</v>
      </c>
      <c r="M57" s="64">
        <f t="shared" si="19"/>
        <v>2016</v>
      </c>
      <c r="N57" s="87">
        <f t="shared" si="19"/>
        <v>2017</v>
      </c>
      <c r="O57" s="87">
        <f t="shared" si="19"/>
        <v>2018</v>
      </c>
      <c r="P57" s="87">
        <f t="shared" si="19"/>
        <v>2019</v>
      </c>
      <c r="Q57" s="87">
        <f t="shared" si="19"/>
        <v>2020</v>
      </c>
      <c r="R57" s="87">
        <f t="shared" si="19"/>
        <v>2021</v>
      </c>
      <c r="S57" s="64">
        <f t="shared" si="19"/>
        <v>2022</v>
      </c>
    </row>
    <row r="58" spans="1:19" ht="12" x14ac:dyDescent="0.2">
      <c r="A58" s="8"/>
      <c r="B58" s="31" t="s">
        <v>122</v>
      </c>
      <c r="C58" s="8" t="s">
        <v>123</v>
      </c>
      <c r="D58" s="32" t="s">
        <v>124</v>
      </c>
      <c r="E58" s="11" t="s">
        <v>89</v>
      </c>
      <c r="F58" s="12"/>
      <c r="G58" s="55" t="s">
        <v>125</v>
      </c>
      <c r="H58" s="58">
        <v>-139.34299999999999</v>
      </c>
      <c r="I58" s="58">
        <v>-202.66200000000001</v>
      </c>
      <c r="J58" s="58">
        <v>-968.03499999999997</v>
      </c>
      <c r="K58" s="58">
        <v>-766.55600000000004</v>
      </c>
      <c r="L58" s="58">
        <v>-190.447</v>
      </c>
      <c r="M58" s="58">
        <v>-294.37299999999999</v>
      </c>
      <c r="N58" s="76">
        <f>-202+37</f>
        <v>-165</v>
      </c>
      <c r="O58" s="76">
        <f>-411+24</f>
        <v>-387</v>
      </c>
      <c r="P58" s="76">
        <v>-1215</v>
      </c>
      <c r="Q58" s="76">
        <v>-944</v>
      </c>
      <c r="R58" s="76">
        <v>-760</v>
      </c>
      <c r="S58" s="58">
        <f>-9885+9300</f>
        <v>-585</v>
      </c>
    </row>
    <row r="59" spans="1:19" ht="12" x14ac:dyDescent="0.2">
      <c r="A59" s="8"/>
      <c r="B59" s="31" t="s">
        <v>126</v>
      </c>
      <c r="C59" s="33" t="s">
        <v>127</v>
      </c>
      <c r="D59" s="32" t="s">
        <v>128</v>
      </c>
      <c r="E59" s="11" t="s">
        <v>11</v>
      </c>
      <c r="F59" s="12"/>
      <c r="G59" s="68" t="s">
        <v>129</v>
      </c>
      <c r="H59" s="58">
        <v>0</v>
      </c>
      <c r="I59" s="58">
        <v>0</v>
      </c>
      <c r="J59" s="58">
        <v>0.377</v>
      </c>
      <c r="K59" s="58">
        <v>0</v>
      </c>
      <c r="L59" s="58">
        <v>0</v>
      </c>
      <c r="M59" s="58">
        <v>0</v>
      </c>
      <c r="N59" s="76">
        <v>0</v>
      </c>
      <c r="O59" s="76">
        <v>0</v>
      </c>
      <c r="P59" s="76">
        <v>0</v>
      </c>
      <c r="Q59" s="76">
        <v>0</v>
      </c>
      <c r="R59" s="76">
        <v>0</v>
      </c>
      <c r="S59" s="58">
        <v>0</v>
      </c>
    </row>
    <row r="60" spans="1:19" ht="12" x14ac:dyDescent="0.2">
      <c r="A60" s="8"/>
      <c r="B60" s="31" t="s">
        <v>130</v>
      </c>
      <c r="C60" s="34" t="s">
        <v>372</v>
      </c>
      <c r="D60" s="32" t="s">
        <v>131</v>
      </c>
      <c r="E60" s="11" t="s">
        <v>11</v>
      </c>
      <c r="F60" s="12"/>
      <c r="G60" s="57" t="s">
        <v>132</v>
      </c>
      <c r="H60" s="58">
        <v>0</v>
      </c>
      <c r="I60" s="58">
        <v>0</v>
      </c>
      <c r="J60" s="58">
        <v>574.75</v>
      </c>
      <c r="K60" s="58">
        <v>1487.5730000000001</v>
      </c>
      <c r="L60" s="58">
        <v>110.755</v>
      </c>
      <c r="M60" s="58">
        <v>374</v>
      </c>
      <c r="N60" s="76">
        <v>103</v>
      </c>
      <c r="O60" s="76">
        <v>62</v>
      </c>
      <c r="P60" s="76">
        <v>1055</v>
      </c>
      <c r="Q60" s="76">
        <v>944</v>
      </c>
      <c r="R60" s="76">
        <v>760</v>
      </c>
      <c r="S60" s="58">
        <f>9885-9300</f>
        <v>585</v>
      </c>
    </row>
    <row r="61" spans="1:19" ht="12" x14ac:dyDescent="0.2">
      <c r="A61" s="8"/>
      <c r="B61" s="31" t="s">
        <v>133</v>
      </c>
      <c r="C61" s="34" t="s">
        <v>134</v>
      </c>
      <c r="D61" s="34" t="s">
        <v>135</v>
      </c>
      <c r="E61" s="11" t="s">
        <v>89</v>
      </c>
      <c r="F61" s="12"/>
      <c r="G61" s="57" t="s">
        <v>136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76">
        <v>0</v>
      </c>
      <c r="O61" s="76">
        <v>0</v>
      </c>
      <c r="P61" s="76">
        <v>0</v>
      </c>
      <c r="Q61" s="76">
        <v>0</v>
      </c>
      <c r="R61" s="76">
        <v>0</v>
      </c>
      <c r="S61" s="58">
        <v>0</v>
      </c>
    </row>
    <row r="62" spans="1:19" ht="12" x14ac:dyDescent="0.2">
      <c r="A62" s="8"/>
      <c r="B62" s="31" t="s">
        <v>137</v>
      </c>
      <c r="C62" s="10">
        <v>253800</v>
      </c>
      <c r="D62" s="34" t="s">
        <v>131</v>
      </c>
      <c r="E62" s="11" t="s">
        <v>11</v>
      </c>
      <c r="F62" s="12"/>
      <c r="G62" s="57" t="s">
        <v>138</v>
      </c>
      <c r="H62" s="58">
        <v>0</v>
      </c>
      <c r="I62" s="58">
        <v>0</v>
      </c>
      <c r="J62" s="58">
        <v>0</v>
      </c>
      <c r="K62" s="58">
        <v>0</v>
      </c>
      <c r="L62" s="58">
        <v>0</v>
      </c>
      <c r="M62" s="58">
        <v>0</v>
      </c>
      <c r="N62" s="76">
        <v>0</v>
      </c>
      <c r="O62" s="76">
        <v>0</v>
      </c>
      <c r="P62" s="76">
        <v>0</v>
      </c>
      <c r="Q62" s="76">
        <v>0</v>
      </c>
      <c r="R62" s="76">
        <v>0</v>
      </c>
      <c r="S62" s="58">
        <v>0</v>
      </c>
    </row>
    <row r="63" spans="1:19" ht="12" x14ac:dyDescent="0.2">
      <c r="A63" s="8"/>
      <c r="B63" s="31" t="s">
        <v>139</v>
      </c>
      <c r="C63" s="10">
        <v>150</v>
      </c>
      <c r="D63" s="34" t="s">
        <v>135</v>
      </c>
      <c r="E63" s="11" t="s">
        <v>89</v>
      </c>
      <c r="F63" s="12"/>
      <c r="G63" s="57" t="s">
        <v>140</v>
      </c>
      <c r="H63" s="58">
        <v>0</v>
      </c>
      <c r="I63" s="58">
        <v>0</v>
      </c>
      <c r="J63" s="58">
        <v>0</v>
      </c>
      <c r="K63" s="58">
        <v>0</v>
      </c>
      <c r="L63" s="58">
        <v>0</v>
      </c>
      <c r="M63" s="58">
        <v>0</v>
      </c>
      <c r="N63" s="76">
        <v>0</v>
      </c>
      <c r="O63" s="76">
        <v>0</v>
      </c>
      <c r="P63" s="76">
        <v>0</v>
      </c>
      <c r="Q63" s="76">
        <v>0</v>
      </c>
      <c r="R63" s="76">
        <v>0</v>
      </c>
      <c r="S63" s="58">
        <v>0</v>
      </c>
    </row>
    <row r="64" spans="1:19" ht="12" x14ac:dyDescent="0.2">
      <c r="A64" s="8"/>
      <c r="B64" s="31" t="s">
        <v>141</v>
      </c>
      <c r="C64" s="34" t="s">
        <v>142</v>
      </c>
      <c r="D64" s="34" t="s">
        <v>131</v>
      </c>
      <c r="E64" s="11" t="s">
        <v>11</v>
      </c>
      <c r="F64" s="12"/>
      <c r="G64" s="57" t="s">
        <v>143</v>
      </c>
      <c r="H64" s="58">
        <v>0</v>
      </c>
      <c r="I64" s="58">
        <v>0</v>
      </c>
      <c r="J64" s="58">
        <v>0</v>
      </c>
      <c r="K64" s="58">
        <v>0</v>
      </c>
      <c r="L64" s="58">
        <v>0</v>
      </c>
      <c r="M64" s="58">
        <v>0</v>
      </c>
      <c r="N64" s="76">
        <v>0</v>
      </c>
      <c r="O64" s="76">
        <v>0</v>
      </c>
      <c r="P64" s="76">
        <v>0</v>
      </c>
      <c r="Q64" s="76">
        <v>0</v>
      </c>
      <c r="R64" s="76">
        <v>0</v>
      </c>
      <c r="S64" s="58">
        <v>0</v>
      </c>
    </row>
    <row r="65" spans="1:19" ht="12" x14ac:dyDescent="0.2">
      <c r="A65" s="8"/>
      <c r="B65" s="31" t="s">
        <v>144</v>
      </c>
      <c r="C65" s="8" t="s">
        <v>373</v>
      </c>
      <c r="D65" s="34" t="s">
        <v>135</v>
      </c>
      <c r="E65" s="11" t="s">
        <v>89</v>
      </c>
      <c r="F65" s="12"/>
      <c r="G65" s="57" t="s">
        <v>145</v>
      </c>
      <c r="H65" s="58">
        <v>0</v>
      </c>
      <c r="I65" s="58">
        <v>0</v>
      </c>
      <c r="J65" s="58">
        <v>0</v>
      </c>
      <c r="K65" s="58">
        <v>0</v>
      </c>
      <c r="L65" s="58">
        <v>0</v>
      </c>
      <c r="M65" s="58">
        <v>0</v>
      </c>
      <c r="N65" s="76">
        <v>0</v>
      </c>
      <c r="O65" s="76">
        <v>0</v>
      </c>
      <c r="P65" s="76">
        <v>0</v>
      </c>
      <c r="Q65" s="76">
        <v>0</v>
      </c>
      <c r="R65" s="76">
        <v>0</v>
      </c>
      <c r="S65" s="58">
        <v>0</v>
      </c>
    </row>
    <row r="66" spans="1:19" ht="12" x14ac:dyDescent="0.2">
      <c r="A66" s="8"/>
      <c r="B66" s="31" t="s">
        <v>146</v>
      </c>
      <c r="C66" s="8" t="s">
        <v>373</v>
      </c>
      <c r="D66" s="34" t="s">
        <v>131</v>
      </c>
      <c r="E66" s="11" t="s">
        <v>11</v>
      </c>
      <c r="F66" s="12"/>
      <c r="G66" s="57" t="s">
        <v>147</v>
      </c>
      <c r="H66" s="58">
        <v>0</v>
      </c>
      <c r="I66" s="58">
        <v>0</v>
      </c>
      <c r="J66" s="58">
        <v>0</v>
      </c>
      <c r="K66" s="58">
        <v>0</v>
      </c>
      <c r="L66" s="58">
        <v>0</v>
      </c>
      <c r="M66" s="58">
        <v>0</v>
      </c>
      <c r="N66" s="76">
        <v>0</v>
      </c>
      <c r="O66" s="76">
        <v>0</v>
      </c>
      <c r="P66" s="76">
        <v>0</v>
      </c>
      <c r="Q66" s="76">
        <v>0</v>
      </c>
      <c r="R66" s="76">
        <v>0</v>
      </c>
      <c r="S66" s="58">
        <v>0</v>
      </c>
    </row>
    <row r="67" spans="1:19" ht="12" x14ac:dyDescent="0.2">
      <c r="A67" s="8"/>
      <c r="B67" s="31" t="s">
        <v>148</v>
      </c>
      <c r="C67" s="8" t="s">
        <v>149</v>
      </c>
      <c r="D67" s="34" t="s">
        <v>135</v>
      </c>
      <c r="E67" s="11" t="s">
        <v>89</v>
      </c>
      <c r="F67" s="12"/>
      <c r="G67" s="57" t="s">
        <v>150</v>
      </c>
      <c r="H67" s="58">
        <v>0</v>
      </c>
      <c r="I67" s="58">
        <v>0</v>
      </c>
      <c r="J67" s="58">
        <v>0</v>
      </c>
      <c r="K67" s="58">
        <v>0</v>
      </c>
      <c r="L67" s="58">
        <v>0</v>
      </c>
      <c r="M67" s="58">
        <v>0</v>
      </c>
      <c r="N67" s="76">
        <v>0</v>
      </c>
      <c r="O67" s="76">
        <v>0</v>
      </c>
      <c r="P67" s="76">
        <v>0</v>
      </c>
      <c r="Q67" s="76">
        <v>0</v>
      </c>
      <c r="R67" s="76">
        <v>0</v>
      </c>
      <c r="S67" s="58">
        <v>0</v>
      </c>
    </row>
    <row r="68" spans="1:19" ht="12" x14ac:dyDescent="0.2">
      <c r="A68" s="8"/>
      <c r="B68" s="31" t="s">
        <v>151</v>
      </c>
      <c r="C68" s="8" t="s">
        <v>149</v>
      </c>
      <c r="D68" s="34" t="s">
        <v>131</v>
      </c>
      <c r="E68" s="11" t="s">
        <v>11</v>
      </c>
      <c r="F68" s="12"/>
      <c r="G68" s="57" t="s">
        <v>152</v>
      </c>
      <c r="H68" s="58">
        <v>0</v>
      </c>
      <c r="I68" s="58">
        <v>0</v>
      </c>
      <c r="J68" s="58">
        <v>0</v>
      </c>
      <c r="K68" s="58">
        <v>0</v>
      </c>
      <c r="L68" s="58">
        <v>0</v>
      </c>
      <c r="M68" s="58">
        <v>0</v>
      </c>
      <c r="N68" s="76">
        <v>0</v>
      </c>
      <c r="O68" s="76">
        <v>0</v>
      </c>
      <c r="P68" s="76">
        <v>0</v>
      </c>
      <c r="Q68" s="76">
        <v>0</v>
      </c>
      <c r="R68" s="76">
        <v>0</v>
      </c>
      <c r="S68" s="58">
        <v>0</v>
      </c>
    </row>
    <row r="69" spans="1:19" ht="12" x14ac:dyDescent="0.2">
      <c r="A69" s="8"/>
      <c r="B69" s="31" t="s">
        <v>153</v>
      </c>
      <c r="C69" s="34" t="s">
        <v>142</v>
      </c>
      <c r="D69" s="34" t="s">
        <v>131</v>
      </c>
      <c r="E69" s="11" t="s">
        <v>11</v>
      </c>
      <c r="F69" s="12"/>
      <c r="G69" s="57" t="s">
        <v>154</v>
      </c>
      <c r="H69" s="58">
        <v>0</v>
      </c>
      <c r="I69" s="58">
        <v>0</v>
      </c>
      <c r="J69" s="58">
        <v>0</v>
      </c>
      <c r="K69" s="58">
        <v>0</v>
      </c>
      <c r="L69" s="58">
        <v>0</v>
      </c>
      <c r="M69" s="58">
        <v>0</v>
      </c>
      <c r="N69" s="76">
        <v>0</v>
      </c>
      <c r="O69" s="76">
        <v>0</v>
      </c>
      <c r="P69" s="76">
        <v>0</v>
      </c>
      <c r="Q69" s="76">
        <v>0</v>
      </c>
      <c r="R69" s="76">
        <v>0</v>
      </c>
      <c r="S69" s="58">
        <v>0</v>
      </c>
    </row>
    <row r="70" spans="1:19" ht="12" x14ac:dyDescent="0.2">
      <c r="A70" s="8"/>
      <c r="B70" s="31" t="s">
        <v>155</v>
      </c>
      <c r="C70" s="35" t="s">
        <v>156</v>
      </c>
      <c r="D70" s="8"/>
      <c r="E70" s="11" t="s">
        <v>72</v>
      </c>
      <c r="F70" s="12"/>
      <c r="G70" s="57" t="s">
        <v>107</v>
      </c>
      <c r="H70" s="58">
        <v>0</v>
      </c>
      <c r="I70" s="58">
        <v>0</v>
      </c>
      <c r="J70" s="58">
        <v>0</v>
      </c>
      <c r="K70" s="58">
        <v>0</v>
      </c>
      <c r="L70" s="58">
        <v>0.95699999999999996</v>
      </c>
      <c r="M70" s="58">
        <v>0</v>
      </c>
      <c r="N70" s="76">
        <v>0</v>
      </c>
      <c r="O70" s="76">
        <v>0</v>
      </c>
      <c r="P70" s="76">
        <v>0</v>
      </c>
      <c r="Q70" s="76">
        <v>0</v>
      </c>
      <c r="R70" s="76">
        <v>0</v>
      </c>
      <c r="S70" s="58">
        <v>0</v>
      </c>
    </row>
    <row r="71" spans="1:19" x14ac:dyDescent="0.2">
      <c r="A71" s="8"/>
      <c r="B71" s="31" t="s">
        <v>157</v>
      </c>
      <c r="C71" s="10"/>
      <c r="D71" s="8"/>
      <c r="E71" s="12"/>
      <c r="F71" s="12"/>
      <c r="G71" s="69" t="s">
        <v>158</v>
      </c>
      <c r="H71" s="56">
        <f t="shared" ref="H71:S71" si="20">SUM(H58:H70)</f>
        <v>-139.34299999999999</v>
      </c>
      <c r="I71" s="56">
        <f t="shared" si="20"/>
        <v>-202.66200000000001</v>
      </c>
      <c r="J71" s="56">
        <f t="shared" si="20"/>
        <v>-392.90800000000002</v>
      </c>
      <c r="K71" s="56">
        <f t="shared" si="20"/>
        <v>721.01700000000005</v>
      </c>
      <c r="L71" s="56">
        <f t="shared" si="20"/>
        <v>-78.735000000000014</v>
      </c>
      <c r="M71" s="56">
        <f t="shared" si="20"/>
        <v>79.62700000000001</v>
      </c>
      <c r="N71" s="77">
        <f t="shared" si="20"/>
        <v>-62</v>
      </c>
      <c r="O71" s="77">
        <f t="shared" si="20"/>
        <v>-325</v>
      </c>
      <c r="P71" s="77">
        <f t="shared" si="20"/>
        <v>-160</v>
      </c>
      <c r="Q71" s="77">
        <f t="shared" si="20"/>
        <v>0</v>
      </c>
      <c r="R71" s="77">
        <f t="shared" si="20"/>
        <v>0</v>
      </c>
      <c r="S71" s="56">
        <f t="shared" si="20"/>
        <v>0</v>
      </c>
    </row>
    <row r="72" spans="1:19" x14ac:dyDescent="0.2">
      <c r="A72" s="8"/>
      <c r="B72" s="2"/>
      <c r="C72" s="10"/>
      <c r="D72" s="8"/>
      <c r="E72" s="9"/>
      <c r="G72" s="67"/>
      <c r="H72" s="48"/>
      <c r="I72" s="48"/>
      <c r="J72" s="48"/>
      <c r="K72" s="48"/>
      <c r="L72" s="48"/>
      <c r="M72" s="48"/>
      <c r="N72" s="4"/>
      <c r="O72" s="4"/>
      <c r="P72" s="4"/>
      <c r="Q72" s="4"/>
      <c r="R72" s="4"/>
      <c r="S72" s="48"/>
    </row>
    <row r="73" spans="1:19" x14ac:dyDescent="0.2">
      <c r="A73" s="8"/>
      <c r="B73" s="2"/>
      <c r="C73" s="10"/>
      <c r="D73" s="29" t="s">
        <v>120</v>
      </c>
      <c r="E73" s="30" t="s">
        <v>3</v>
      </c>
      <c r="F73" s="9"/>
      <c r="G73" s="53" t="s">
        <v>159</v>
      </c>
      <c r="H73" s="64">
        <f t="shared" ref="H73:S73" si="21">H57</f>
        <v>2011</v>
      </c>
      <c r="I73" s="64">
        <f t="shared" si="21"/>
        <v>2012</v>
      </c>
      <c r="J73" s="64">
        <f t="shared" si="21"/>
        <v>2013</v>
      </c>
      <c r="K73" s="64">
        <f t="shared" si="21"/>
        <v>2014</v>
      </c>
      <c r="L73" s="64">
        <f t="shared" si="21"/>
        <v>2015</v>
      </c>
      <c r="M73" s="64">
        <f t="shared" si="21"/>
        <v>2016</v>
      </c>
      <c r="N73" s="87">
        <f t="shared" si="21"/>
        <v>2017</v>
      </c>
      <c r="O73" s="87">
        <f t="shared" si="21"/>
        <v>2018</v>
      </c>
      <c r="P73" s="87">
        <f t="shared" si="21"/>
        <v>2019</v>
      </c>
      <c r="Q73" s="87">
        <f t="shared" si="21"/>
        <v>2020</v>
      </c>
      <c r="R73" s="87">
        <f t="shared" si="21"/>
        <v>2021</v>
      </c>
      <c r="S73" s="64">
        <f t="shared" si="21"/>
        <v>2022</v>
      </c>
    </row>
    <row r="74" spans="1:19" ht="12" x14ac:dyDescent="0.2">
      <c r="A74" s="8"/>
      <c r="B74" s="2" t="s">
        <v>160</v>
      </c>
      <c r="C74" s="34" t="s">
        <v>161</v>
      </c>
      <c r="D74" s="34" t="s">
        <v>128</v>
      </c>
      <c r="E74" s="11" t="s">
        <v>11</v>
      </c>
      <c r="G74" s="55" t="s">
        <v>162</v>
      </c>
      <c r="H74" s="58">
        <v>0</v>
      </c>
      <c r="I74" s="58">
        <v>0</v>
      </c>
      <c r="J74" s="58">
        <v>0</v>
      </c>
      <c r="K74" s="58">
        <v>0</v>
      </c>
      <c r="L74" s="58">
        <v>0</v>
      </c>
      <c r="M74" s="58">
        <v>0</v>
      </c>
      <c r="N74" s="76">
        <v>0</v>
      </c>
      <c r="O74" s="76">
        <v>0</v>
      </c>
      <c r="P74" s="76">
        <v>0</v>
      </c>
      <c r="Q74" s="76">
        <v>0</v>
      </c>
      <c r="R74" s="76">
        <v>0</v>
      </c>
      <c r="S74" s="58">
        <v>0</v>
      </c>
    </row>
    <row r="75" spans="1:19" ht="12" x14ac:dyDescent="0.2">
      <c r="A75" s="8"/>
      <c r="B75" s="2" t="s">
        <v>163</v>
      </c>
      <c r="C75" s="34" t="s">
        <v>161</v>
      </c>
      <c r="D75" s="34" t="s">
        <v>124</v>
      </c>
      <c r="E75" s="11" t="s">
        <v>89</v>
      </c>
      <c r="F75" s="12"/>
      <c r="G75" s="57" t="s">
        <v>164</v>
      </c>
      <c r="H75" s="58">
        <v>0</v>
      </c>
      <c r="I75" s="58">
        <v>0</v>
      </c>
      <c r="J75" s="58">
        <v>0</v>
      </c>
      <c r="K75" s="58">
        <v>0</v>
      </c>
      <c r="L75" s="58">
        <v>0</v>
      </c>
      <c r="M75" s="58">
        <v>0</v>
      </c>
      <c r="N75" s="76">
        <v>0</v>
      </c>
      <c r="O75" s="76">
        <v>0</v>
      </c>
      <c r="P75" s="76">
        <v>0</v>
      </c>
      <c r="Q75" s="76">
        <v>0</v>
      </c>
      <c r="R75" s="76">
        <v>0</v>
      </c>
      <c r="S75" s="58">
        <v>0</v>
      </c>
    </row>
    <row r="76" spans="1:19" ht="12" x14ac:dyDescent="0.2">
      <c r="A76" s="8"/>
      <c r="B76" s="2" t="s">
        <v>165</v>
      </c>
      <c r="C76" s="34" t="s">
        <v>166</v>
      </c>
      <c r="D76" s="34" t="s">
        <v>131</v>
      </c>
      <c r="E76" s="11" t="s">
        <v>11</v>
      </c>
      <c r="G76" s="57" t="s">
        <v>167</v>
      </c>
      <c r="H76" s="58">
        <v>150.80699999999999</v>
      </c>
      <c r="I76" s="58">
        <v>0</v>
      </c>
      <c r="J76" s="58">
        <v>0</v>
      </c>
      <c r="K76" s="58">
        <v>0</v>
      </c>
      <c r="L76" s="58">
        <v>0</v>
      </c>
      <c r="M76" s="58">
        <v>0</v>
      </c>
      <c r="N76" s="76">
        <v>0</v>
      </c>
      <c r="O76" s="76">
        <v>0</v>
      </c>
      <c r="P76" s="76">
        <v>0</v>
      </c>
      <c r="Q76" s="76">
        <v>0</v>
      </c>
      <c r="R76" s="76">
        <v>0</v>
      </c>
      <c r="S76" s="58">
        <v>0</v>
      </c>
    </row>
    <row r="77" spans="1:19" ht="12" x14ac:dyDescent="0.2">
      <c r="A77" s="8"/>
      <c r="B77" s="2" t="s">
        <v>168</v>
      </c>
      <c r="C77" s="34" t="s">
        <v>166</v>
      </c>
      <c r="D77" s="34" t="s">
        <v>135</v>
      </c>
      <c r="E77" s="11" t="s">
        <v>89</v>
      </c>
      <c r="F77" s="12"/>
      <c r="G77" s="57" t="s">
        <v>169</v>
      </c>
      <c r="H77" s="58">
        <v>-24.161999999999999</v>
      </c>
      <c r="I77" s="58">
        <v>-24.821999999999999</v>
      </c>
      <c r="J77" s="58">
        <v>-125.985</v>
      </c>
      <c r="K77" s="58">
        <v>0</v>
      </c>
      <c r="L77" s="58">
        <v>0</v>
      </c>
      <c r="M77" s="58">
        <v>0</v>
      </c>
      <c r="N77" s="76">
        <v>0</v>
      </c>
      <c r="O77" s="76">
        <v>0</v>
      </c>
      <c r="P77" s="76">
        <v>0</v>
      </c>
      <c r="Q77" s="76">
        <v>0</v>
      </c>
      <c r="R77" s="76">
        <v>0</v>
      </c>
      <c r="S77" s="58">
        <v>0</v>
      </c>
    </row>
    <row r="78" spans="1:19" ht="12" x14ac:dyDescent="0.2">
      <c r="A78" s="8"/>
      <c r="B78" s="2" t="s">
        <v>170</v>
      </c>
      <c r="C78" s="34" t="s">
        <v>171</v>
      </c>
      <c r="D78" s="34" t="s">
        <v>135</v>
      </c>
      <c r="E78" s="11" t="s">
        <v>89</v>
      </c>
      <c r="F78" s="12"/>
      <c r="G78" s="57" t="s">
        <v>172</v>
      </c>
      <c r="H78" s="58">
        <v>0</v>
      </c>
      <c r="I78" s="58">
        <v>0</v>
      </c>
      <c r="J78" s="58">
        <v>0</v>
      </c>
      <c r="K78" s="58">
        <v>-5.4539999999999997</v>
      </c>
      <c r="L78" s="58">
        <v>-4.33</v>
      </c>
      <c r="M78" s="58">
        <v>-4.4909999999999997</v>
      </c>
      <c r="N78" s="76">
        <v>-5</v>
      </c>
      <c r="O78" s="76">
        <v>-5</v>
      </c>
      <c r="P78" s="76">
        <v>-13</v>
      </c>
      <c r="Q78" s="76">
        <v>0</v>
      </c>
      <c r="R78" s="76">
        <v>0</v>
      </c>
      <c r="S78" s="58">
        <v>0</v>
      </c>
    </row>
    <row r="79" spans="1:19" ht="12" x14ac:dyDescent="0.2">
      <c r="A79" s="8"/>
      <c r="B79" s="2" t="s">
        <v>173</v>
      </c>
      <c r="C79" s="34" t="s">
        <v>174</v>
      </c>
      <c r="D79" s="34" t="s">
        <v>135</v>
      </c>
      <c r="E79" s="11" t="s">
        <v>89</v>
      </c>
      <c r="F79" s="12"/>
      <c r="G79" s="57" t="s">
        <v>175</v>
      </c>
      <c r="H79" s="58">
        <v>0</v>
      </c>
      <c r="I79" s="58">
        <v>0</v>
      </c>
      <c r="J79" s="58">
        <v>0</v>
      </c>
      <c r="K79" s="58">
        <v>-0.90100000000000002</v>
      </c>
      <c r="L79" s="58">
        <v>-1.0920000000000001</v>
      </c>
      <c r="M79" s="58">
        <v>-0.91500000000000004</v>
      </c>
      <c r="N79" s="76">
        <v>0</v>
      </c>
      <c r="O79" s="76">
        <v>0</v>
      </c>
      <c r="P79" s="76">
        <v>0</v>
      </c>
      <c r="Q79" s="76">
        <v>0</v>
      </c>
      <c r="R79" s="76">
        <v>0</v>
      </c>
      <c r="S79" s="58">
        <v>0</v>
      </c>
    </row>
    <row r="80" spans="1:19" ht="12" x14ac:dyDescent="0.2">
      <c r="A80" s="8"/>
      <c r="B80" s="2" t="s">
        <v>176</v>
      </c>
      <c r="C80" s="34" t="s">
        <v>177</v>
      </c>
      <c r="D80" s="34" t="s">
        <v>135</v>
      </c>
      <c r="E80" s="11" t="s">
        <v>89</v>
      </c>
      <c r="F80" s="12"/>
      <c r="G80" s="57" t="s">
        <v>178</v>
      </c>
      <c r="H80" s="58">
        <v>0</v>
      </c>
      <c r="I80" s="58">
        <v>0</v>
      </c>
      <c r="J80" s="58">
        <v>0</v>
      </c>
      <c r="K80" s="58">
        <v>0</v>
      </c>
      <c r="L80" s="58">
        <v>0</v>
      </c>
      <c r="M80" s="58">
        <v>0</v>
      </c>
      <c r="N80" s="76">
        <v>0</v>
      </c>
      <c r="O80" s="76">
        <v>0</v>
      </c>
      <c r="P80" s="76">
        <v>0</v>
      </c>
      <c r="Q80" s="76">
        <v>0</v>
      </c>
      <c r="R80" s="76">
        <v>0</v>
      </c>
      <c r="S80" s="58">
        <v>0</v>
      </c>
    </row>
    <row r="81" spans="1:19" ht="12" x14ac:dyDescent="0.2">
      <c r="A81" s="8"/>
      <c r="B81" s="2" t="s">
        <v>179</v>
      </c>
      <c r="C81" s="34" t="s">
        <v>52</v>
      </c>
      <c r="D81" s="34" t="s">
        <v>135</v>
      </c>
      <c r="E81" s="11" t="s">
        <v>89</v>
      </c>
      <c r="F81" s="12"/>
      <c r="G81" s="57" t="s">
        <v>180</v>
      </c>
      <c r="H81" s="58">
        <v>0</v>
      </c>
      <c r="I81" s="58">
        <v>0</v>
      </c>
      <c r="J81" s="58">
        <v>0</v>
      </c>
      <c r="K81" s="58">
        <v>0</v>
      </c>
      <c r="L81" s="58">
        <v>0</v>
      </c>
      <c r="M81" s="58">
        <v>0</v>
      </c>
      <c r="N81" s="76">
        <v>0</v>
      </c>
      <c r="O81" s="76">
        <v>0</v>
      </c>
      <c r="P81" s="76">
        <v>0</v>
      </c>
      <c r="Q81" s="76">
        <v>0</v>
      </c>
      <c r="R81" s="76">
        <v>0</v>
      </c>
      <c r="S81" s="58">
        <v>0</v>
      </c>
    </row>
    <row r="82" spans="1:19" ht="12" x14ac:dyDescent="0.2">
      <c r="A82" s="8"/>
      <c r="B82" s="2" t="s">
        <v>181</v>
      </c>
      <c r="C82" s="34" t="s">
        <v>182</v>
      </c>
      <c r="D82" s="34" t="s">
        <v>131</v>
      </c>
      <c r="E82" s="11" t="s">
        <v>11</v>
      </c>
      <c r="G82" s="57" t="s">
        <v>183</v>
      </c>
      <c r="H82" s="58">
        <v>1054.56</v>
      </c>
      <c r="I82" s="58">
        <v>888.51099999999997</v>
      </c>
      <c r="J82" s="58">
        <v>1408.5350000000001</v>
      </c>
      <c r="K82" s="58">
        <v>0</v>
      </c>
      <c r="L82" s="58">
        <v>0</v>
      </c>
      <c r="M82" s="58">
        <v>0</v>
      </c>
      <c r="N82" s="76">
        <v>0</v>
      </c>
      <c r="O82" s="76">
        <v>0</v>
      </c>
      <c r="P82" s="76">
        <v>0</v>
      </c>
      <c r="Q82" s="76">
        <v>0</v>
      </c>
      <c r="R82" s="76">
        <v>0</v>
      </c>
      <c r="S82" s="58">
        <v>0</v>
      </c>
    </row>
    <row r="83" spans="1:19" ht="12" x14ac:dyDescent="0.2">
      <c r="A83" s="8"/>
      <c r="B83" s="2" t="s">
        <v>184</v>
      </c>
      <c r="C83" s="34" t="s">
        <v>182</v>
      </c>
      <c r="D83" s="34" t="s">
        <v>135</v>
      </c>
      <c r="E83" s="11" t="s">
        <v>89</v>
      </c>
      <c r="F83" s="12"/>
      <c r="G83" s="57" t="s">
        <v>374</v>
      </c>
      <c r="H83" s="58">
        <v>0</v>
      </c>
      <c r="I83" s="58">
        <v>0</v>
      </c>
      <c r="J83" s="58">
        <v>0</v>
      </c>
      <c r="K83" s="58">
        <v>0</v>
      </c>
      <c r="L83" s="58">
        <v>0</v>
      </c>
      <c r="M83" s="58">
        <v>0</v>
      </c>
      <c r="N83" s="76">
        <v>0</v>
      </c>
      <c r="O83" s="76">
        <v>0</v>
      </c>
      <c r="P83" s="76">
        <v>0</v>
      </c>
      <c r="Q83" s="76">
        <v>0</v>
      </c>
      <c r="R83" s="76">
        <v>0</v>
      </c>
      <c r="S83" s="58">
        <v>0</v>
      </c>
    </row>
    <row r="84" spans="1:19" ht="12" x14ac:dyDescent="0.2">
      <c r="A84" s="8"/>
      <c r="B84" s="2" t="s">
        <v>185</v>
      </c>
      <c r="C84" s="34" t="s">
        <v>375</v>
      </c>
      <c r="D84" s="34" t="s">
        <v>135</v>
      </c>
      <c r="E84" s="11" t="s">
        <v>89</v>
      </c>
      <c r="F84" s="12"/>
      <c r="G84" s="57" t="s">
        <v>376</v>
      </c>
      <c r="H84" s="58">
        <v>0</v>
      </c>
      <c r="I84" s="58">
        <v>0</v>
      </c>
      <c r="J84" s="58">
        <v>0</v>
      </c>
      <c r="K84" s="58">
        <v>0</v>
      </c>
      <c r="L84" s="58">
        <v>0</v>
      </c>
      <c r="M84" s="58">
        <v>0</v>
      </c>
      <c r="N84" s="76">
        <v>0</v>
      </c>
      <c r="O84" s="76">
        <v>0</v>
      </c>
      <c r="P84" s="76">
        <v>0</v>
      </c>
      <c r="Q84" s="76">
        <v>0</v>
      </c>
      <c r="R84" s="76">
        <v>0</v>
      </c>
      <c r="S84" s="58">
        <v>0</v>
      </c>
    </row>
    <row r="85" spans="1:19" ht="12" x14ac:dyDescent="0.2">
      <c r="A85" s="8"/>
      <c r="B85" s="2" t="s">
        <v>186</v>
      </c>
      <c r="C85" s="36">
        <v>68</v>
      </c>
      <c r="D85" s="34" t="s">
        <v>135</v>
      </c>
      <c r="E85" s="11" t="s">
        <v>89</v>
      </c>
      <c r="F85" s="12"/>
      <c r="G85" s="70" t="s">
        <v>111</v>
      </c>
      <c r="H85" s="58">
        <v>0</v>
      </c>
      <c r="I85" s="58">
        <v>0</v>
      </c>
      <c r="J85" s="58">
        <v>0</v>
      </c>
      <c r="K85" s="58">
        <v>0</v>
      </c>
      <c r="L85" s="58">
        <v>0</v>
      </c>
      <c r="M85" s="58">
        <v>0</v>
      </c>
      <c r="N85" s="76">
        <v>0</v>
      </c>
      <c r="O85" s="76">
        <v>0</v>
      </c>
      <c r="P85" s="76">
        <v>0</v>
      </c>
      <c r="Q85" s="76">
        <v>0</v>
      </c>
      <c r="R85" s="76">
        <v>0</v>
      </c>
      <c r="S85" s="58">
        <v>0</v>
      </c>
    </row>
    <row r="86" spans="1:19" x14ac:dyDescent="0.2">
      <c r="A86" s="8"/>
      <c r="B86" s="2" t="s">
        <v>377</v>
      </c>
      <c r="C86" s="10"/>
      <c r="D86" s="10"/>
      <c r="E86" s="9"/>
      <c r="G86" s="70" t="s">
        <v>158</v>
      </c>
      <c r="H86" s="56">
        <f t="shared" ref="H86:S86" si="22">SUM(H74:H85)</f>
        <v>1181.2049999999999</v>
      </c>
      <c r="I86" s="56">
        <f t="shared" si="22"/>
        <v>863.68899999999996</v>
      </c>
      <c r="J86" s="56">
        <f t="shared" si="22"/>
        <v>1282.5500000000002</v>
      </c>
      <c r="K86" s="56">
        <f t="shared" si="22"/>
        <v>-6.3549999999999995</v>
      </c>
      <c r="L86" s="56">
        <f t="shared" si="22"/>
        <v>-5.4220000000000006</v>
      </c>
      <c r="M86" s="56">
        <f t="shared" si="22"/>
        <v>-5.4059999999999997</v>
      </c>
      <c r="N86" s="56">
        <f t="shared" si="22"/>
        <v>-5</v>
      </c>
      <c r="O86" s="56">
        <f t="shared" si="22"/>
        <v>-5</v>
      </c>
      <c r="P86" s="56">
        <f t="shared" si="22"/>
        <v>-13</v>
      </c>
      <c r="Q86" s="56">
        <f t="shared" si="22"/>
        <v>0</v>
      </c>
      <c r="R86" s="56">
        <f t="shared" si="22"/>
        <v>0</v>
      </c>
      <c r="S86" s="56">
        <f t="shared" si="22"/>
        <v>0</v>
      </c>
    </row>
    <row r="87" spans="1:19" s="4" customFormat="1" x14ac:dyDescent="0.2">
      <c r="A87" s="8"/>
      <c r="B87" s="2" t="s">
        <v>378</v>
      </c>
      <c r="C87" s="10"/>
      <c r="D87" s="10"/>
      <c r="E87" s="9"/>
      <c r="F87" s="8"/>
      <c r="G87" s="89" t="s">
        <v>379</v>
      </c>
      <c r="H87" s="98"/>
      <c r="I87" s="85">
        <f t="shared" ref="I87:S87" si="23">(I14+I15)-(H14+H15-I58-I59+I45)</f>
        <v>5.1859999999996944</v>
      </c>
      <c r="J87" s="85">
        <f t="shared" si="23"/>
        <v>126.06500000000051</v>
      </c>
      <c r="K87" s="85">
        <f t="shared" si="23"/>
        <v>2761.3919999999989</v>
      </c>
      <c r="L87" s="85">
        <f t="shared" si="23"/>
        <v>17.221999999999753</v>
      </c>
      <c r="M87" s="85">
        <f t="shared" si="23"/>
        <v>-18.65099999999984</v>
      </c>
      <c r="N87" s="85">
        <f>(N14+N15)-(M14+M15-N58-N59+N45)</f>
        <v>-0.20999999999912689</v>
      </c>
      <c r="O87" s="85">
        <f t="shared" si="23"/>
        <v>0</v>
      </c>
      <c r="P87" s="85">
        <f t="shared" si="23"/>
        <v>0</v>
      </c>
      <c r="Q87" s="85">
        <f t="shared" si="23"/>
        <v>0</v>
      </c>
      <c r="R87" s="85">
        <f t="shared" si="23"/>
        <v>0</v>
      </c>
      <c r="S87" s="85">
        <f t="shared" si="23"/>
        <v>0</v>
      </c>
    </row>
    <row r="88" spans="1:19" s="4" customFormat="1" x14ac:dyDescent="0.2">
      <c r="A88" s="8"/>
      <c r="B88" s="2" t="s">
        <v>380</v>
      </c>
      <c r="C88" s="10"/>
      <c r="D88" s="10"/>
      <c r="E88" s="9"/>
      <c r="F88" s="8"/>
      <c r="G88" s="89" t="s">
        <v>381</v>
      </c>
      <c r="H88" s="98"/>
      <c r="I88" s="85">
        <f>I24-(H24+(I74+I76)+(I75+I77)+(I78))</f>
        <v>150.80699999999999</v>
      </c>
      <c r="J88" s="85">
        <f>J24-(I24+(J74+J76)+(J75+J77)+(J78))</f>
        <v>0</v>
      </c>
      <c r="K88" s="85">
        <f>K24-(J24+(K74+K76)+(K75+K77)+(K78))</f>
        <v>36.899000000000001</v>
      </c>
      <c r="L88" s="85">
        <f>L24-(K24+(L74+L76)+(L75+L77)+(L78))</f>
        <v>0</v>
      </c>
      <c r="M88" s="85">
        <f>M24-(L24+(M74+M76)+(M75+M77)+(M78))</f>
        <v>0</v>
      </c>
      <c r="N88" s="85">
        <f t="shared" ref="N88:S88" si="24">N24-(M24+(N74+N76)+(N75+N77)+(N78))</f>
        <v>0.37599999999999767</v>
      </c>
      <c r="O88" s="85">
        <f t="shared" si="24"/>
        <v>0</v>
      </c>
      <c r="P88" s="85">
        <f t="shared" si="24"/>
        <v>0</v>
      </c>
      <c r="Q88" s="85">
        <f t="shared" si="24"/>
        <v>0</v>
      </c>
      <c r="R88" s="85">
        <f t="shared" si="24"/>
        <v>0</v>
      </c>
      <c r="S88" s="85">
        <f t="shared" si="24"/>
        <v>0</v>
      </c>
    </row>
    <row r="89" spans="1:19" s="4" customFormat="1" x14ac:dyDescent="0.2">
      <c r="A89" s="8"/>
      <c r="B89" s="2" t="s">
        <v>382</v>
      </c>
      <c r="C89" s="10"/>
      <c r="D89" s="10"/>
      <c r="E89" s="9"/>
      <c r="F89" s="8"/>
      <c r="G89" s="89" t="s">
        <v>383</v>
      </c>
      <c r="H89" s="98"/>
      <c r="I89" s="85">
        <f t="shared" ref="I89:S89" si="25">I28-(H28+(I82+I83))</f>
        <v>-832.82899999999972</v>
      </c>
      <c r="J89" s="85">
        <f t="shared" si="25"/>
        <v>-914.13799999999901</v>
      </c>
      <c r="K89" s="85">
        <f t="shared" si="25"/>
        <v>-468.38400000000092</v>
      </c>
      <c r="L89" s="85">
        <f t="shared" si="25"/>
        <v>0</v>
      </c>
      <c r="M89" s="85">
        <f t="shared" si="25"/>
        <v>0</v>
      </c>
      <c r="N89" s="85">
        <f t="shared" si="25"/>
        <v>0.20100000000002183</v>
      </c>
      <c r="O89" s="85">
        <f t="shared" si="25"/>
        <v>0</v>
      </c>
      <c r="P89" s="85">
        <f t="shared" si="25"/>
        <v>0</v>
      </c>
      <c r="Q89" s="85">
        <f t="shared" si="25"/>
        <v>0</v>
      </c>
      <c r="R89" s="85">
        <f t="shared" si="25"/>
        <v>0</v>
      </c>
      <c r="S89" s="85">
        <f t="shared" si="25"/>
        <v>0</v>
      </c>
    </row>
    <row r="90" spans="1:19" s="4" customFormat="1" x14ac:dyDescent="0.2">
      <c r="A90" s="8"/>
      <c r="B90" s="2" t="s">
        <v>384</v>
      </c>
      <c r="C90" s="10"/>
      <c r="D90" s="10"/>
      <c r="E90" s="9"/>
      <c r="F90" s="8"/>
      <c r="G90" s="89" t="s">
        <v>385</v>
      </c>
      <c r="H90" s="98"/>
      <c r="I90" s="85">
        <f t="shared" ref="I90:S90" si="26">I29-(H29+H30)-I84</f>
        <v>835.005</v>
      </c>
      <c r="J90" s="85">
        <f t="shared" si="26"/>
        <v>938.28899999999999</v>
      </c>
      <c r="K90" s="85">
        <f t="shared" si="26"/>
        <v>3361.3609999999999</v>
      </c>
      <c r="L90" s="85">
        <f t="shared" si="26"/>
        <v>0</v>
      </c>
      <c r="M90" s="85">
        <f t="shared" si="26"/>
        <v>-9.9999999929423211E-4</v>
      </c>
      <c r="N90" s="85">
        <f t="shared" si="26"/>
        <v>-0.33100000000013097</v>
      </c>
      <c r="O90" s="85">
        <f t="shared" si="26"/>
        <v>0</v>
      </c>
      <c r="P90" s="85">
        <f t="shared" si="26"/>
        <v>0</v>
      </c>
      <c r="Q90" s="85">
        <f t="shared" si="26"/>
        <v>0</v>
      </c>
      <c r="R90" s="85">
        <f t="shared" si="26"/>
        <v>0</v>
      </c>
      <c r="S90" s="85">
        <f t="shared" si="26"/>
        <v>0</v>
      </c>
    </row>
    <row r="91" spans="1:19" s="4" customFormat="1" x14ac:dyDescent="0.2">
      <c r="A91" s="8"/>
      <c r="B91" s="2"/>
      <c r="C91" s="10"/>
      <c r="D91" s="10"/>
      <c r="E91" s="9"/>
      <c r="F91" s="8"/>
      <c r="G91" s="28"/>
      <c r="K91" s="93">
        <f>K90-K87</f>
        <v>599.96900000000096</v>
      </c>
      <c r="L91" s="93">
        <f>L90-L87</f>
        <v>-17.221999999999753</v>
      </c>
    </row>
    <row r="92" spans="1:19" s="4" customFormat="1" x14ac:dyDescent="0.2">
      <c r="A92" s="13" t="s">
        <v>0</v>
      </c>
      <c r="B92" s="2"/>
      <c r="C92" s="10"/>
      <c r="D92" s="753" t="s">
        <v>187</v>
      </c>
      <c r="E92" s="754"/>
      <c r="F92" s="8"/>
      <c r="G92" s="94" t="s">
        <v>386</v>
      </c>
      <c r="H92" s="87">
        <f>H73</f>
        <v>2011</v>
      </c>
      <c r="I92" s="87">
        <f t="shared" ref="I92:S92" si="27">I73</f>
        <v>2012</v>
      </c>
      <c r="J92" s="87">
        <f t="shared" si="27"/>
        <v>2013</v>
      </c>
      <c r="K92" s="87">
        <f t="shared" si="27"/>
        <v>2014</v>
      </c>
      <c r="L92" s="87">
        <f t="shared" si="27"/>
        <v>2015</v>
      </c>
      <c r="M92" s="87">
        <f t="shared" si="27"/>
        <v>2016</v>
      </c>
      <c r="N92" s="87">
        <f t="shared" si="27"/>
        <v>2017</v>
      </c>
      <c r="O92" s="87">
        <f t="shared" si="27"/>
        <v>2018</v>
      </c>
      <c r="P92" s="87">
        <f t="shared" si="27"/>
        <v>2019</v>
      </c>
      <c r="Q92" s="87">
        <f t="shared" si="27"/>
        <v>2020</v>
      </c>
      <c r="R92" s="87">
        <f t="shared" si="27"/>
        <v>2021</v>
      </c>
      <c r="S92" s="87">
        <f t="shared" si="27"/>
        <v>2022</v>
      </c>
    </row>
    <row r="93" spans="1:19" s="4" customFormat="1" x14ac:dyDescent="0.2">
      <c r="A93" s="8"/>
      <c r="B93" s="2" t="s">
        <v>387</v>
      </c>
      <c r="C93" s="10" t="s">
        <v>388</v>
      </c>
      <c r="D93" s="10"/>
      <c r="E93" s="9"/>
      <c r="F93" s="8"/>
      <c r="G93" s="95" t="s">
        <v>389</v>
      </c>
      <c r="H93" s="96">
        <f>H5+H11+H12+H13</f>
        <v>645.06100000000004</v>
      </c>
      <c r="I93" s="96">
        <f>I5+I11+I12+I13</f>
        <v>627.298</v>
      </c>
      <c r="J93" s="96">
        <f t="shared" ref="J93:S93" si="28">J5+J11+J12+J13</f>
        <v>689.21699999999998</v>
      </c>
      <c r="K93" s="96">
        <f t="shared" si="28"/>
        <v>916.06399999999996</v>
      </c>
      <c r="L93" s="96">
        <f t="shared" si="28"/>
        <v>854.40599999999995</v>
      </c>
      <c r="M93" s="96">
        <f t="shared" si="28"/>
        <v>1247.0430000000001</v>
      </c>
      <c r="N93" s="96">
        <f t="shared" si="28"/>
        <v>1135</v>
      </c>
      <c r="O93" s="96">
        <f t="shared" si="28"/>
        <v>675</v>
      </c>
      <c r="P93" s="96">
        <f t="shared" si="28"/>
        <v>542</v>
      </c>
      <c r="Q93" s="96">
        <f t="shared" si="28"/>
        <v>490</v>
      </c>
      <c r="R93" s="96">
        <f t="shared" si="28"/>
        <v>485</v>
      </c>
      <c r="S93" s="96">
        <f t="shared" si="28"/>
        <v>493</v>
      </c>
    </row>
    <row r="94" spans="1:19" s="4" customFormat="1" x14ac:dyDescent="0.2">
      <c r="A94" s="8"/>
      <c r="B94" s="2" t="s">
        <v>390</v>
      </c>
      <c r="C94" s="10"/>
      <c r="D94" s="10"/>
      <c r="E94" s="9"/>
      <c r="F94" s="8"/>
      <c r="G94" s="97" t="s">
        <v>391</v>
      </c>
      <c r="H94" s="98"/>
      <c r="I94" s="96">
        <f>I93-H93</f>
        <v>-17.763000000000034</v>
      </c>
      <c r="J94" s="96">
        <f t="shared" ref="J94:S94" si="29">J93-I93</f>
        <v>61.918999999999983</v>
      </c>
      <c r="K94" s="96">
        <f t="shared" si="29"/>
        <v>226.84699999999998</v>
      </c>
      <c r="L94" s="96">
        <f t="shared" si="29"/>
        <v>-61.658000000000015</v>
      </c>
      <c r="M94" s="96">
        <f t="shared" si="29"/>
        <v>392.63700000000017</v>
      </c>
      <c r="N94" s="96">
        <f t="shared" si="29"/>
        <v>-112.04300000000012</v>
      </c>
      <c r="O94" s="96">
        <f t="shared" si="29"/>
        <v>-460</v>
      </c>
      <c r="P94" s="96">
        <f t="shared" si="29"/>
        <v>-133</v>
      </c>
      <c r="Q94" s="96">
        <f t="shared" si="29"/>
        <v>-52</v>
      </c>
      <c r="R94" s="96">
        <f t="shared" si="29"/>
        <v>-5</v>
      </c>
      <c r="S94" s="96">
        <f t="shared" si="29"/>
        <v>8</v>
      </c>
    </row>
    <row r="95" spans="1:19" s="4" customFormat="1" x14ac:dyDescent="0.2">
      <c r="A95" s="8"/>
      <c r="B95" s="2" t="s">
        <v>392</v>
      </c>
      <c r="C95" s="10" t="s">
        <v>42</v>
      </c>
      <c r="D95" s="10"/>
      <c r="E95" s="9"/>
      <c r="F95" s="8"/>
      <c r="G95" s="95" t="s">
        <v>393</v>
      </c>
      <c r="H95" s="96">
        <f>H19</f>
        <v>367.60700000000003</v>
      </c>
      <c r="I95" s="96">
        <f t="shared" ref="I95:S95" si="30">I19</f>
        <v>375.49400000000003</v>
      </c>
      <c r="J95" s="96">
        <f t="shared" si="30"/>
        <v>905.02700000000004</v>
      </c>
      <c r="K95" s="96">
        <f t="shared" si="30"/>
        <v>469.47300000000001</v>
      </c>
      <c r="L95" s="96">
        <f t="shared" si="30"/>
        <v>499.16900000000004</v>
      </c>
      <c r="M95" s="96">
        <f t="shared" si="30"/>
        <v>533.72300000000007</v>
      </c>
      <c r="N95" s="96">
        <f>N19</f>
        <v>441</v>
      </c>
      <c r="O95" s="96">
        <f t="shared" si="30"/>
        <v>332</v>
      </c>
      <c r="P95" s="96">
        <f t="shared" si="30"/>
        <v>359</v>
      </c>
      <c r="Q95" s="96">
        <f t="shared" si="30"/>
        <v>306</v>
      </c>
      <c r="R95" s="96">
        <f t="shared" si="30"/>
        <v>301</v>
      </c>
      <c r="S95" s="96">
        <f t="shared" si="30"/>
        <v>309</v>
      </c>
    </row>
    <row r="96" spans="1:19" s="4" customFormat="1" x14ac:dyDescent="0.2">
      <c r="A96" s="8"/>
      <c r="B96" s="2" t="s">
        <v>394</v>
      </c>
      <c r="C96" s="10"/>
      <c r="D96" s="10"/>
      <c r="E96" s="9"/>
      <c r="F96" s="8"/>
      <c r="G96" s="97" t="s">
        <v>391</v>
      </c>
      <c r="H96" s="98"/>
      <c r="I96" s="96">
        <f>I95-H95</f>
        <v>7.8870000000000005</v>
      </c>
      <c r="J96" s="96">
        <f t="shared" ref="J96:S96" si="31">J95-I95</f>
        <v>529.53300000000002</v>
      </c>
      <c r="K96" s="96">
        <f t="shared" si="31"/>
        <v>-435.55400000000003</v>
      </c>
      <c r="L96" s="96">
        <f t="shared" si="31"/>
        <v>29.696000000000026</v>
      </c>
      <c r="M96" s="96">
        <f t="shared" si="31"/>
        <v>34.55400000000003</v>
      </c>
      <c r="N96" s="96">
        <f t="shared" si="31"/>
        <v>-92.72300000000007</v>
      </c>
      <c r="O96" s="96">
        <f t="shared" si="31"/>
        <v>-109</v>
      </c>
      <c r="P96" s="96">
        <f t="shared" si="31"/>
        <v>27</v>
      </c>
      <c r="Q96" s="96">
        <f t="shared" si="31"/>
        <v>-53</v>
      </c>
      <c r="R96" s="96">
        <f t="shared" si="31"/>
        <v>-5</v>
      </c>
      <c r="S96" s="96">
        <f t="shared" si="31"/>
        <v>8</v>
      </c>
    </row>
    <row r="97" spans="1:20" s="40" customFormat="1" x14ac:dyDescent="0.2">
      <c r="A97" s="29" t="s">
        <v>395</v>
      </c>
      <c r="B97" s="2" t="s">
        <v>188</v>
      </c>
      <c r="C97" s="10" t="s">
        <v>396</v>
      </c>
      <c r="D97" s="99"/>
      <c r="E97" s="30"/>
      <c r="F97" s="29"/>
      <c r="G97" s="100" t="s">
        <v>386</v>
      </c>
      <c r="H97" s="101"/>
      <c r="I97" s="102">
        <f>I94-I96</f>
        <v>-25.650000000000034</v>
      </c>
      <c r="J97" s="102">
        <f t="shared" ref="J97:S97" si="32">J94-J96</f>
        <v>-467.61400000000003</v>
      </c>
      <c r="K97" s="102">
        <f t="shared" si="32"/>
        <v>662.40100000000007</v>
      </c>
      <c r="L97" s="102">
        <f t="shared" si="32"/>
        <v>-91.354000000000042</v>
      </c>
      <c r="M97" s="102">
        <f t="shared" si="32"/>
        <v>358.08300000000014</v>
      </c>
      <c r="N97" s="102">
        <f t="shared" si="32"/>
        <v>-19.32000000000005</v>
      </c>
      <c r="O97" s="102">
        <f t="shared" si="32"/>
        <v>-351</v>
      </c>
      <c r="P97" s="102">
        <f t="shared" si="32"/>
        <v>-160</v>
      </c>
      <c r="Q97" s="102">
        <f t="shared" si="32"/>
        <v>1</v>
      </c>
      <c r="R97" s="102">
        <f t="shared" si="32"/>
        <v>0</v>
      </c>
      <c r="S97" s="102">
        <f t="shared" si="32"/>
        <v>0</v>
      </c>
    </row>
    <row r="98" spans="1:20" s="4" customFormat="1" x14ac:dyDescent="0.2">
      <c r="A98" s="8"/>
      <c r="B98" s="2"/>
      <c r="C98" s="10"/>
      <c r="D98" s="10"/>
      <c r="E98" s="9"/>
      <c r="F98" s="8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</row>
    <row r="99" spans="1:20" s="4" customFormat="1" x14ac:dyDescent="0.2">
      <c r="A99" s="8"/>
      <c r="B99" s="2" t="s">
        <v>397</v>
      </c>
      <c r="C99" s="10" t="s">
        <v>398</v>
      </c>
      <c r="D99" s="10"/>
      <c r="E99" s="9"/>
      <c r="F99" s="8"/>
      <c r="G99" s="95" t="s">
        <v>399</v>
      </c>
      <c r="H99" s="96">
        <f>H4-H93</f>
        <v>4825.6489999999994</v>
      </c>
      <c r="I99" s="96">
        <f t="shared" ref="I99:S99" si="33">I4-I93</f>
        <v>4906.9830000000002</v>
      </c>
      <c r="J99" s="96">
        <f t="shared" si="33"/>
        <v>5868.9930000000004</v>
      </c>
      <c r="K99" s="96">
        <f t="shared" si="33"/>
        <v>9232.6790000000001</v>
      </c>
      <c r="L99" s="96">
        <f t="shared" si="33"/>
        <v>9257.4900000000016</v>
      </c>
      <c r="M99" s="96">
        <f t="shared" si="33"/>
        <v>9323.81</v>
      </c>
      <c r="N99" s="96">
        <f t="shared" si="33"/>
        <v>9268</v>
      </c>
      <c r="O99" s="96">
        <f t="shared" si="33"/>
        <v>9430</v>
      </c>
      <c r="P99" s="96">
        <f t="shared" si="33"/>
        <v>10420</v>
      </c>
      <c r="Q99" s="96">
        <f t="shared" si="33"/>
        <v>11134</v>
      </c>
      <c r="R99" s="96">
        <f t="shared" si="33"/>
        <v>11664</v>
      </c>
      <c r="S99" s="96">
        <f t="shared" si="33"/>
        <v>12019</v>
      </c>
    </row>
    <row r="100" spans="1:20" s="4" customFormat="1" x14ac:dyDescent="0.2">
      <c r="A100" s="8"/>
      <c r="B100" s="2" t="s">
        <v>400</v>
      </c>
      <c r="C100" s="10"/>
      <c r="D100" s="10"/>
      <c r="E100" s="9"/>
      <c r="F100" s="8"/>
      <c r="G100" s="97" t="s">
        <v>391</v>
      </c>
      <c r="H100" s="98"/>
      <c r="I100" s="96">
        <f>I99-H99</f>
        <v>81.334000000000742</v>
      </c>
      <c r="J100" s="96">
        <f t="shared" ref="J100:S100" si="34">J99-I99</f>
        <v>962.01000000000022</v>
      </c>
      <c r="K100" s="96">
        <f t="shared" si="34"/>
        <v>3363.6859999999997</v>
      </c>
      <c r="L100" s="96">
        <f t="shared" si="34"/>
        <v>24.811000000001513</v>
      </c>
      <c r="M100" s="96">
        <f t="shared" si="34"/>
        <v>66.31999999999789</v>
      </c>
      <c r="N100" s="96">
        <f t="shared" si="34"/>
        <v>-55.809999999999491</v>
      </c>
      <c r="O100" s="96">
        <f t="shared" si="34"/>
        <v>162</v>
      </c>
      <c r="P100" s="96">
        <f t="shared" si="34"/>
        <v>990</v>
      </c>
      <c r="Q100" s="96">
        <f t="shared" si="34"/>
        <v>714</v>
      </c>
      <c r="R100" s="96">
        <f t="shared" si="34"/>
        <v>530</v>
      </c>
      <c r="S100" s="96">
        <f t="shared" si="34"/>
        <v>355</v>
      </c>
    </row>
    <row r="101" spans="1:20" s="4" customFormat="1" x14ac:dyDescent="0.2">
      <c r="A101" s="8"/>
      <c r="B101" s="2" t="s">
        <v>401</v>
      </c>
      <c r="C101" s="10" t="s">
        <v>64</v>
      </c>
      <c r="D101" s="10"/>
      <c r="E101" s="9"/>
      <c r="F101" s="8"/>
      <c r="G101" s="95" t="s">
        <v>402</v>
      </c>
      <c r="H101" s="96">
        <f>H27</f>
        <v>5103.1040000000003</v>
      </c>
      <c r="I101" s="96">
        <f t="shared" ref="I101:S101" si="35">I27</f>
        <v>5158.7860000000001</v>
      </c>
      <c r="J101" s="96">
        <f t="shared" si="35"/>
        <v>5653.1830000000009</v>
      </c>
      <c r="K101" s="96">
        <f t="shared" si="35"/>
        <v>9679.27</v>
      </c>
      <c r="L101" s="96">
        <f t="shared" si="35"/>
        <v>9612.7260000000006</v>
      </c>
      <c r="M101" s="96">
        <f t="shared" si="35"/>
        <v>10037.130000000001</v>
      </c>
      <c r="N101" s="96">
        <f t="shared" si="35"/>
        <v>9962</v>
      </c>
      <c r="O101" s="96">
        <f t="shared" si="35"/>
        <v>9773</v>
      </c>
      <c r="P101" s="96">
        <f t="shared" si="35"/>
        <v>10603</v>
      </c>
      <c r="Q101" s="96">
        <f t="shared" si="35"/>
        <v>11318</v>
      </c>
      <c r="R101" s="96">
        <f t="shared" si="35"/>
        <v>11848</v>
      </c>
      <c r="S101" s="96">
        <f t="shared" si="35"/>
        <v>12203</v>
      </c>
    </row>
    <row r="102" spans="1:20" s="4" customFormat="1" x14ac:dyDescent="0.2">
      <c r="A102" s="8"/>
      <c r="B102" s="2" t="s">
        <v>403</v>
      </c>
      <c r="C102" s="10"/>
      <c r="D102" s="10"/>
      <c r="E102" s="9"/>
      <c r="F102" s="8"/>
      <c r="G102" s="97" t="s">
        <v>391</v>
      </c>
      <c r="H102" s="98"/>
      <c r="I102" s="96">
        <f>I101-H101</f>
        <v>55.681999999999789</v>
      </c>
      <c r="J102" s="96">
        <f t="shared" ref="J102:S102" si="36">J101-I101</f>
        <v>494.39700000000084</v>
      </c>
      <c r="K102" s="96">
        <f t="shared" si="36"/>
        <v>4026.0869999999995</v>
      </c>
      <c r="L102" s="96">
        <f t="shared" si="36"/>
        <v>-66.543999999999869</v>
      </c>
      <c r="M102" s="96">
        <f t="shared" si="36"/>
        <v>424.40400000000045</v>
      </c>
      <c r="N102" s="96">
        <f t="shared" si="36"/>
        <v>-75.130000000001019</v>
      </c>
      <c r="O102" s="96">
        <f t="shared" si="36"/>
        <v>-189</v>
      </c>
      <c r="P102" s="96">
        <f t="shared" si="36"/>
        <v>830</v>
      </c>
      <c r="Q102" s="96">
        <f t="shared" si="36"/>
        <v>715</v>
      </c>
      <c r="R102" s="96">
        <f t="shared" si="36"/>
        <v>530</v>
      </c>
      <c r="S102" s="96">
        <f t="shared" si="36"/>
        <v>355</v>
      </c>
    </row>
    <row r="103" spans="1:20" s="40" customFormat="1" x14ac:dyDescent="0.2">
      <c r="A103" s="29" t="s">
        <v>404</v>
      </c>
      <c r="B103" s="2" t="s">
        <v>189</v>
      </c>
      <c r="C103" s="10" t="s">
        <v>405</v>
      </c>
      <c r="D103" s="10"/>
      <c r="E103" s="9"/>
      <c r="F103" s="8"/>
      <c r="G103" s="100" t="s">
        <v>406</v>
      </c>
      <c r="H103" s="101"/>
      <c r="I103" s="102">
        <f>I102-I100</f>
        <v>-25.652000000000953</v>
      </c>
      <c r="J103" s="102">
        <f t="shared" ref="J103:S103" si="37">J102-J100</f>
        <v>-467.61299999999937</v>
      </c>
      <c r="K103" s="102">
        <f t="shared" si="37"/>
        <v>662.40099999999984</v>
      </c>
      <c r="L103" s="102">
        <f t="shared" si="37"/>
        <v>-91.355000000001382</v>
      </c>
      <c r="M103" s="102">
        <f t="shared" si="37"/>
        <v>358.08400000000256</v>
      </c>
      <c r="N103" s="102">
        <f t="shared" si="37"/>
        <v>-19.320000000001528</v>
      </c>
      <c r="O103" s="102">
        <f t="shared" si="37"/>
        <v>-351</v>
      </c>
      <c r="P103" s="102">
        <f t="shared" si="37"/>
        <v>-160</v>
      </c>
      <c r="Q103" s="102">
        <f t="shared" si="37"/>
        <v>1</v>
      </c>
      <c r="R103" s="102">
        <f t="shared" si="37"/>
        <v>0</v>
      </c>
      <c r="S103" s="102">
        <f t="shared" si="37"/>
        <v>0</v>
      </c>
    </row>
    <row r="104" spans="1:20" s="4" customFormat="1" x14ac:dyDescent="0.2">
      <c r="A104" s="8"/>
      <c r="B104" s="2"/>
      <c r="C104" s="10"/>
      <c r="D104" s="10"/>
      <c r="E104" s="9"/>
      <c r="F104" s="8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</row>
    <row r="105" spans="1:20" s="4" customFormat="1" x14ac:dyDescent="0.2">
      <c r="A105" s="13"/>
      <c r="B105" s="2"/>
      <c r="C105" s="10"/>
      <c r="D105" s="10"/>
      <c r="E105" s="9"/>
      <c r="F105" s="8"/>
      <c r="G105" s="94" t="s">
        <v>407</v>
      </c>
      <c r="H105" s="87">
        <f t="shared" ref="H105:S105" si="38">H32</f>
        <v>2011</v>
      </c>
      <c r="I105" s="87">
        <f t="shared" si="38"/>
        <v>2012</v>
      </c>
      <c r="J105" s="87">
        <f t="shared" si="38"/>
        <v>2013</v>
      </c>
      <c r="K105" s="87">
        <f t="shared" si="38"/>
        <v>2014</v>
      </c>
      <c r="L105" s="87">
        <f t="shared" si="38"/>
        <v>2015</v>
      </c>
      <c r="M105" s="87">
        <f t="shared" si="38"/>
        <v>2016</v>
      </c>
      <c r="N105" s="87">
        <f t="shared" si="38"/>
        <v>2017</v>
      </c>
      <c r="O105" s="87">
        <f t="shared" si="38"/>
        <v>2018</v>
      </c>
      <c r="P105" s="87">
        <f t="shared" si="38"/>
        <v>2019</v>
      </c>
      <c r="Q105" s="87">
        <f t="shared" si="38"/>
        <v>2020</v>
      </c>
      <c r="R105" s="87">
        <f t="shared" si="38"/>
        <v>2021</v>
      </c>
      <c r="S105" s="87">
        <f t="shared" si="38"/>
        <v>2022</v>
      </c>
    </row>
    <row r="106" spans="1:20" s="40" customFormat="1" x14ac:dyDescent="0.2">
      <c r="A106" s="29" t="s">
        <v>408</v>
      </c>
      <c r="B106" s="2" t="s">
        <v>192</v>
      </c>
      <c r="C106" s="29" t="s">
        <v>409</v>
      </c>
      <c r="D106" s="10"/>
      <c r="E106" s="9"/>
      <c r="F106" s="8"/>
      <c r="G106" s="103" t="s">
        <v>407</v>
      </c>
      <c r="H106" s="101" t="s">
        <v>358</v>
      </c>
      <c r="I106" s="104">
        <f t="shared" ref="I106:N106" si="39">(I48-I45+I50)+(I58+I59)+(I82+I83+I84+I85)-(I85-I49)</f>
        <v>-19.098000000000411</v>
      </c>
      <c r="J106" s="104">
        <f t="shared" si="39"/>
        <v>-369.69899999999984</v>
      </c>
      <c r="K106" s="104">
        <f t="shared" si="39"/>
        <v>533.31500000000005</v>
      </c>
      <c r="L106" s="104">
        <f t="shared" si="39"/>
        <v>-74.108999999999966</v>
      </c>
      <c r="M106" s="104">
        <f t="shared" si="39"/>
        <v>339.67699999999985</v>
      </c>
      <c r="N106" s="104">
        <f t="shared" si="39"/>
        <v>-19</v>
      </c>
      <c r="O106" s="104">
        <f>(O48-O45+O50)+(O58+O59)+(O82+O83+O84+O85)-(O85-O49)</f>
        <v>-351</v>
      </c>
      <c r="P106" s="104">
        <f>(P48-P45+P50)+(P58+P59)+(P82+P83+P84+P85)-(P85-P49)</f>
        <v>-160</v>
      </c>
      <c r="Q106" s="104">
        <f>(Q48-Q45+Q50)+(Q58+Q59)+(Q82+Q83+Q84+Q85)-(Q85-Q49)</f>
        <v>1</v>
      </c>
      <c r="R106" s="104">
        <f>(R48-R45+R50)+(R58+R59)+(R82+R83+R84+R85)-(R85-R49)</f>
        <v>0</v>
      </c>
      <c r="S106" s="104">
        <f>(S48-S45+S50)+(S58+S59)+(S82+S83+S84+S85)-(S85-S49)</f>
        <v>0</v>
      </c>
    </row>
    <row r="107" spans="1:20" s="40" customFormat="1" x14ac:dyDescent="0.2">
      <c r="A107" s="29" t="s">
        <v>410</v>
      </c>
      <c r="B107" s="2" t="s">
        <v>194</v>
      </c>
      <c r="C107" s="29" t="s">
        <v>411</v>
      </c>
      <c r="D107" s="10"/>
      <c r="E107" s="9"/>
      <c r="F107" s="8"/>
      <c r="G107" s="89" t="s">
        <v>412</v>
      </c>
      <c r="H107" s="101" t="s">
        <v>358</v>
      </c>
      <c r="I107" s="85">
        <f>I97-I106</f>
        <v>-6.551999999999623</v>
      </c>
      <c r="J107" s="85">
        <f t="shared" ref="J107:S107" si="40">J97-J106</f>
        <v>-97.915000000000191</v>
      </c>
      <c r="K107" s="85">
        <f t="shared" si="40"/>
        <v>129.08600000000001</v>
      </c>
      <c r="L107" s="85">
        <f t="shared" si="40"/>
        <v>-17.245000000000076</v>
      </c>
      <c r="M107" s="85">
        <f t="shared" si="40"/>
        <v>18.40600000000029</v>
      </c>
      <c r="N107" s="85">
        <f t="shared" si="40"/>
        <v>-0.32000000000005002</v>
      </c>
      <c r="O107" s="85">
        <f t="shared" si="40"/>
        <v>0</v>
      </c>
      <c r="P107" s="85">
        <f t="shared" si="40"/>
        <v>0</v>
      </c>
      <c r="Q107" s="85">
        <f t="shared" si="40"/>
        <v>0</v>
      </c>
      <c r="R107" s="85">
        <f t="shared" si="40"/>
        <v>0</v>
      </c>
      <c r="S107" s="85">
        <f t="shared" si="40"/>
        <v>0</v>
      </c>
    </row>
    <row r="108" spans="1:20" s="40" customFormat="1" x14ac:dyDescent="0.2">
      <c r="A108" s="29"/>
      <c r="B108" s="2"/>
      <c r="C108" s="29"/>
      <c r="D108" s="10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</row>
    <row r="109" spans="1:20" s="40" customFormat="1" x14ac:dyDescent="0.2">
      <c r="A109" s="29"/>
      <c r="B109" s="2"/>
      <c r="C109" s="29"/>
      <c r="D109" s="10"/>
      <c r="E109" s="9"/>
      <c r="F109" s="8"/>
      <c r="G109" s="94" t="s">
        <v>413</v>
      </c>
      <c r="H109" s="87">
        <f>H105</f>
        <v>2011</v>
      </c>
      <c r="I109" s="87">
        <f t="shared" ref="I109:S109" si="41">I105</f>
        <v>2012</v>
      </c>
      <c r="J109" s="87">
        <f t="shared" si="41"/>
        <v>2013</v>
      </c>
      <c r="K109" s="87">
        <f t="shared" si="41"/>
        <v>2014</v>
      </c>
      <c r="L109" s="87">
        <f t="shared" si="41"/>
        <v>2015</v>
      </c>
      <c r="M109" s="87">
        <f t="shared" si="41"/>
        <v>2016</v>
      </c>
      <c r="N109" s="87">
        <f t="shared" si="41"/>
        <v>2017</v>
      </c>
      <c r="O109" s="87">
        <f t="shared" si="41"/>
        <v>2018</v>
      </c>
      <c r="P109" s="87">
        <f t="shared" si="41"/>
        <v>2019</v>
      </c>
      <c r="Q109" s="87">
        <f t="shared" si="41"/>
        <v>2020</v>
      </c>
      <c r="R109" s="87">
        <f t="shared" si="41"/>
        <v>2021</v>
      </c>
      <c r="S109" s="87">
        <f t="shared" si="41"/>
        <v>2022</v>
      </c>
    </row>
    <row r="110" spans="1:20" s="4" customFormat="1" x14ac:dyDescent="0.2">
      <c r="A110" s="8" t="s">
        <v>414</v>
      </c>
      <c r="B110" s="2" t="s">
        <v>415</v>
      </c>
      <c r="C110" s="34" t="s">
        <v>190</v>
      </c>
      <c r="D110" s="10"/>
      <c r="E110" s="9"/>
      <c r="F110" s="8"/>
      <c r="G110" s="103" t="s">
        <v>191</v>
      </c>
      <c r="H110" s="105">
        <f t="shared" ref="H110:S110" si="42">H33+H38+H41-H45</f>
        <v>-637.19000000000005</v>
      </c>
      <c r="I110" s="77">
        <f t="shared" si="42"/>
        <v>-704.94700000000034</v>
      </c>
      <c r="J110" s="77">
        <f t="shared" si="42"/>
        <v>-810.57600000000002</v>
      </c>
      <c r="K110" s="77">
        <f t="shared" si="42"/>
        <v>1300.7720000000002</v>
      </c>
      <c r="L110" s="77">
        <f t="shared" si="42"/>
        <v>116.47200000000004</v>
      </c>
      <c r="M110" s="77">
        <f t="shared" si="42"/>
        <v>632.76499999999987</v>
      </c>
      <c r="N110" s="77">
        <f t="shared" si="42"/>
        <v>146</v>
      </c>
      <c r="O110" s="77">
        <f t="shared" si="42"/>
        <v>36</v>
      </c>
      <c r="P110" s="77">
        <f t="shared" si="42"/>
        <v>1056</v>
      </c>
      <c r="Q110" s="77">
        <f t="shared" si="42"/>
        <v>945</v>
      </c>
      <c r="R110" s="77">
        <f t="shared" si="42"/>
        <v>760</v>
      </c>
      <c r="S110" s="77">
        <f t="shared" si="42"/>
        <v>585</v>
      </c>
    </row>
    <row r="111" spans="1:20" s="4" customFormat="1" x14ac:dyDescent="0.2">
      <c r="A111" s="8" t="s">
        <v>416</v>
      </c>
      <c r="B111" s="2" t="s">
        <v>197</v>
      </c>
      <c r="C111" s="8" t="s">
        <v>417</v>
      </c>
      <c r="D111" s="10"/>
      <c r="E111" s="106">
        <v>0</v>
      </c>
      <c r="F111" s="8"/>
      <c r="G111" s="46" t="s">
        <v>193</v>
      </c>
      <c r="H111" s="107">
        <f t="shared" ref="H111:S111" si="43">H110/H33</f>
        <v>-0.52352790385076764</v>
      </c>
      <c r="I111" s="108">
        <f t="shared" si="43"/>
        <v>-0.47779088130240027</v>
      </c>
      <c r="J111" s="108">
        <f t="shared" si="43"/>
        <v>-0.53493762176031767</v>
      </c>
      <c r="K111" s="108">
        <f t="shared" si="43"/>
        <v>0.3531086198851015</v>
      </c>
      <c r="L111" s="108">
        <f t="shared" si="43"/>
        <v>4.2474220337753062E-2</v>
      </c>
      <c r="M111" s="108">
        <f t="shared" si="43"/>
        <v>0.1892317358695616</v>
      </c>
      <c r="N111" s="108">
        <f t="shared" si="43"/>
        <v>4.7479674796747966E-2</v>
      </c>
      <c r="O111" s="108">
        <f t="shared" si="43"/>
        <v>1.1428571428571429E-2</v>
      </c>
      <c r="P111" s="108">
        <f t="shared" si="43"/>
        <v>0.23907629612859407</v>
      </c>
      <c r="Q111" s="108">
        <f t="shared" si="43"/>
        <v>0.20732777534006144</v>
      </c>
      <c r="R111" s="108">
        <f t="shared" si="43"/>
        <v>0.16246259085079093</v>
      </c>
      <c r="S111" s="108">
        <f t="shared" si="43"/>
        <v>0.12202753441802253</v>
      </c>
    </row>
    <row r="112" spans="1:20" s="4" customFormat="1" x14ac:dyDescent="0.2">
      <c r="A112" s="8" t="s">
        <v>418</v>
      </c>
      <c r="B112" s="2" t="s">
        <v>200</v>
      </c>
      <c r="C112" s="34" t="s">
        <v>195</v>
      </c>
      <c r="D112" s="10"/>
      <c r="E112" s="109"/>
      <c r="F112" s="8"/>
      <c r="G112" s="110" t="s">
        <v>196</v>
      </c>
      <c r="H112" s="111">
        <f t="shared" ref="H112:S112" si="44">-H33/(H38+H41)</f>
        <v>0.61480627238704</v>
      </c>
      <c r="I112" s="111">
        <f t="shared" si="44"/>
        <v>0.63859403099416334</v>
      </c>
      <c r="J112" s="111">
        <f t="shared" si="44"/>
        <v>0.61758073265755375</v>
      </c>
      <c r="K112" s="111">
        <f t="shared" si="44"/>
        <v>1.4447511396157213</v>
      </c>
      <c r="L112" s="111">
        <f t="shared" si="44"/>
        <v>0.97636303495697274</v>
      </c>
      <c r="M112" s="111">
        <f t="shared" si="44"/>
        <v>1.1449625064201334</v>
      </c>
      <c r="N112" s="111">
        <f t="shared" si="44"/>
        <v>0.97619047619047616</v>
      </c>
      <c r="O112" s="111">
        <f t="shared" si="44"/>
        <v>0.94339622641509435</v>
      </c>
      <c r="P112" s="111">
        <f t="shared" si="44"/>
        <v>1.2317345231455661</v>
      </c>
      <c r="Q112" s="111">
        <f t="shared" si="44"/>
        <v>1.1860525631017433</v>
      </c>
      <c r="R112" s="111">
        <f t="shared" si="44"/>
        <v>1.1277724204435873</v>
      </c>
      <c r="S112" s="111">
        <f t="shared" si="44"/>
        <v>1.0799729668844333</v>
      </c>
    </row>
    <row r="113" spans="1:20" s="4" customFormat="1" x14ac:dyDescent="0.2">
      <c r="A113" s="8" t="s">
        <v>419</v>
      </c>
      <c r="B113" s="2" t="s">
        <v>420</v>
      </c>
      <c r="C113" s="8" t="s">
        <v>198</v>
      </c>
      <c r="D113" s="10"/>
      <c r="E113" s="109"/>
      <c r="F113" s="8"/>
      <c r="G113" s="103" t="s">
        <v>199</v>
      </c>
      <c r="H113" s="105">
        <f t="shared" ref="H113:S113" si="45">H46</f>
        <v>-762.55300000000011</v>
      </c>
      <c r="I113" s="105">
        <f t="shared" si="45"/>
        <v>-835.00500000000034</v>
      </c>
      <c r="J113" s="105">
        <f t="shared" si="45"/>
        <v>-938.28899999999999</v>
      </c>
      <c r="K113" s="105">
        <f t="shared" si="45"/>
        <v>1134.0100000000002</v>
      </c>
      <c r="L113" s="105">
        <f t="shared" si="45"/>
        <v>-66.385999999999967</v>
      </c>
      <c r="M113" s="105">
        <f t="shared" si="45"/>
        <v>423.36299999999983</v>
      </c>
      <c r="N113" s="105">
        <f t="shared" si="45"/>
        <v>-75</v>
      </c>
      <c r="O113" s="105">
        <f t="shared" si="45"/>
        <v>-189</v>
      </c>
      <c r="P113" s="105">
        <f t="shared" si="45"/>
        <v>831</v>
      </c>
      <c r="Q113" s="105">
        <f t="shared" si="45"/>
        <v>715</v>
      </c>
      <c r="R113" s="105">
        <f t="shared" si="45"/>
        <v>530</v>
      </c>
      <c r="S113" s="105">
        <f t="shared" si="45"/>
        <v>355</v>
      </c>
    </row>
    <row r="114" spans="1:20" s="4" customFormat="1" x14ac:dyDescent="0.2">
      <c r="A114" s="8" t="s">
        <v>421</v>
      </c>
      <c r="B114" s="2" t="s">
        <v>422</v>
      </c>
      <c r="C114" s="8" t="s">
        <v>201</v>
      </c>
      <c r="D114" s="106">
        <v>-0.3</v>
      </c>
      <c r="E114" s="106">
        <v>0</v>
      </c>
      <c r="F114" s="8"/>
      <c r="G114" s="110" t="s">
        <v>202</v>
      </c>
      <c r="H114" s="112">
        <f t="shared" ref="H114:S114" si="46">H46/H33</f>
        <v>-0.62652862358968975</v>
      </c>
      <c r="I114" s="113">
        <f t="shared" si="46"/>
        <v>-0.56594009881864982</v>
      </c>
      <c r="J114" s="113">
        <f t="shared" si="46"/>
        <v>-0.6192214995063593</v>
      </c>
      <c r="K114" s="113">
        <f t="shared" si="46"/>
        <v>0.30783927239816355</v>
      </c>
      <c r="L114" s="113">
        <f t="shared" si="46"/>
        <v>-2.4209196985902813E-2</v>
      </c>
      <c r="M114" s="113">
        <f t="shared" si="46"/>
        <v>0.12660895497213848</v>
      </c>
      <c r="N114" s="113">
        <f t="shared" si="46"/>
        <v>-2.4390243902439025E-2</v>
      </c>
      <c r="O114" s="113">
        <f t="shared" si="46"/>
        <v>-0.06</v>
      </c>
      <c r="P114" s="113">
        <f t="shared" si="46"/>
        <v>0.18813674439664932</v>
      </c>
      <c r="Q114" s="113">
        <f t="shared" si="46"/>
        <v>0.15686704695041684</v>
      </c>
      <c r="R114" s="113">
        <f t="shared" si="46"/>
        <v>0.11329628046173579</v>
      </c>
      <c r="S114" s="113">
        <f t="shared" si="46"/>
        <v>7.4050896954526491E-2</v>
      </c>
    </row>
    <row r="115" spans="1:20" s="4" customFormat="1" x14ac:dyDescent="0.2">
      <c r="A115" s="8" t="s">
        <v>423</v>
      </c>
      <c r="B115" s="2" t="s">
        <v>424</v>
      </c>
      <c r="C115" s="8" t="s">
        <v>204</v>
      </c>
      <c r="D115" s="10"/>
      <c r="E115" s="109"/>
      <c r="F115" s="8"/>
      <c r="G115" s="46" t="s">
        <v>205</v>
      </c>
      <c r="H115" s="105">
        <f t="shared" ref="H115:S115" si="47">H29+H30</f>
        <v>0</v>
      </c>
      <c r="I115" s="105">
        <f t="shared" si="47"/>
        <v>0</v>
      </c>
      <c r="J115" s="105">
        <f t="shared" si="47"/>
        <v>0</v>
      </c>
      <c r="K115" s="105">
        <f t="shared" si="47"/>
        <v>4494.4709999999995</v>
      </c>
      <c r="L115" s="105">
        <f t="shared" si="47"/>
        <v>4427.9269999999997</v>
      </c>
      <c r="M115" s="105">
        <f t="shared" si="47"/>
        <v>4852.3310000000001</v>
      </c>
      <c r="N115" s="105">
        <f t="shared" si="47"/>
        <v>4777</v>
      </c>
      <c r="O115" s="105">
        <f t="shared" si="47"/>
        <v>4588</v>
      </c>
      <c r="P115" s="105">
        <f t="shared" si="47"/>
        <v>5418</v>
      </c>
      <c r="Q115" s="105">
        <f t="shared" si="47"/>
        <v>6133</v>
      </c>
      <c r="R115" s="105">
        <f t="shared" si="47"/>
        <v>6663</v>
      </c>
      <c r="S115" s="105">
        <f t="shared" si="47"/>
        <v>7018</v>
      </c>
    </row>
    <row r="116" spans="1:20" s="4" customFormat="1" x14ac:dyDescent="0.2">
      <c r="A116" s="8"/>
      <c r="B116" s="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</row>
    <row r="117" spans="1:20" s="4" customFormat="1" x14ac:dyDescent="0.2">
      <c r="A117" s="8"/>
      <c r="B117" s="2"/>
      <c r="C117" s="10"/>
      <c r="D117" s="10"/>
      <c r="E117" s="8"/>
      <c r="F117" s="8"/>
      <c r="G117" s="94" t="s">
        <v>206</v>
      </c>
      <c r="H117" s="87">
        <f t="shared" ref="H117:S117" si="48">H105</f>
        <v>2011</v>
      </c>
      <c r="I117" s="87">
        <f t="shared" si="48"/>
        <v>2012</v>
      </c>
      <c r="J117" s="87">
        <f t="shared" si="48"/>
        <v>2013</v>
      </c>
      <c r="K117" s="87">
        <f t="shared" si="48"/>
        <v>2014</v>
      </c>
      <c r="L117" s="87">
        <f t="shared" si="48"/>
        <v>2015</v>
      </c>
      <c r="M117" s="87">
        <f t="shared" si="48"/>
        <v>2016</v>
      </c>
      <c r="N117" s="87">
        <f t="shared" si="48"/>
        <v>2017</v>
      </c>
      <c r="O117" s="87">
        <f t="shared" si="48"/>
        <v>2018</v>
      </c>
      <c r="P117" s="87">
        <f t="shared" si="48"/>
        <v>2019</v>
      </c>
      <c r="Q117" s="87">
        <f t="shared" si="48"/>
        <v>2020</v>
      </c>
      <c r="R117" s="87">
        <f t="shared" si="48"/>
        <v>2021</v>
      </c>
      <c r="S117" s="87">
        <f t="shared" si="48"/>
        <v>2022</v>
      </c>
    </row>
    <row r="118" spans="1:20" s="4" customFormat="1" x14ac:dyDescent="0.2">
      <c r="A118" s="34" t="s">
        <v>425</v>
      </c>
      <c r="B118" s="2" t="s">
        <v>426</v>
      </c>
      <c r="C118" s="10" t="s">
        <v>208</v>
      </c>
      <c r="D118" s="10"/>
      <c r="E118" s="109"/>
      <c r="F118" s="37"/>
      <c r="G118" s="103" t="s">
        <v>209</v>
      </c>
      <c r="H118" s="105">
        <f t="shared" ref="H118:S118" si="49">H6+H12</f>
        <v>283.04000000000002</v>
      </c>
      <c r="I118" s="77">
        <f t="shared" si="49"/>
        <v>226.77500000000001</v>
      </c>
      <c r="J118" s="77">
        <f t="shared" si="49"/>
        <v>274.524</v>
      </c>
      <c r="K118" s="77">
        <f t="shared" si="49"/>
        <v>665.37599999999998</v>
      </c>
      <c r="L118" s="77">
        <f t="shared" si="49"/>
        <v>731.53599999999994</v>
      </c>
      <c r="M118" s="77">
        <f t="shared" si="49"/>
        <v>1118.181</v>
      </c>
      <c r="N118" s="77">
        <f t="shared" si="49"/>
        <v>942</v>
      </c>
      <c r="O118" s="77">
        <f t="shared" si="49"/>
        <v>455</v>
      </c>
      <c r="P118" s="77">
        <f t="shared" si="49"/>
        <v>295</v>
      </c>
      <c r="Q118" s="77">
        <f t="shared" si="49"/>
        <v>250</v>
      </c>
      <c r="R118" s="77">
        <f t="shared" si="49"/>
        <v>250</v>
      </c>
      <c r="S118" s="77">
        <f t="shared" si="49"/>
        <v>260</v>
      </c>
    </row>
    <row r="119" spans="1:20" s="4" customFormat="1" x14ac:dyDescent="0.2">
      <c r="A119" s="8" t="s">
        <v>427</v>
      </c>
      <c r="B119" s="2" t="s">
        <v>428</v>
      </c>
      <c r="C119" s="8" t="s">
        <v>42</v>
      </c>
      <c r="D119" s="10"/>
      <c r="E119" s="109"/>
      <c r="F119" s="37"/>
      <c r="G119" s="110" t="s">
        <v>211</v>
      </c>
      <c r="H119" s="105">
        <f t="shared" ref="H119:S119" si="50">H19</f>
        <v>367.60700000000003</v>
      </c>
      <c r="I119" s="105">
        <f t="shared" si="50"/>
        <v>375.49400000000003</v>
      </c>
      <c r="J119" s="105">
        <f t="shared" si="50"/>
        <v>905.02700000000004</v>
      </c>
      <c r="K119" s="105">
        <f t="shared" si="50"/>
        <v>469.47300000000001</v>
      </c>
      <c r="L119" s="105">
        <f t="shared" si="50"/>
        <v>499.16900000000004</v>
      </c>
      <c r="M119" s="105">
        <f t="shared" si="50"/>
        <v>533.72300000000007</v>
      </c>
      <c r="N119" s="105">
        <f t="shared" si="50"/>
        <v>441</v>
      </c>
      <c r="O119" s="105">
        <f t="shared" si="50"/>
        <v>332</v>
      </c>
      <c r="P119" s="105">
        <f t="shared" si="50"/>
        <v>359</v>
      </c>
      <c r="Q119" s="105">
        <f t="shared" si="50"/>
        <v>306</v>
      </c>
      <c r="R119" s="105">
        <f t="shared" si="50"/>
        <v>301</v>
      </c>
      <c r="S119" s="105">
        <f t="shared" si="50"/>
        <v>309</v>
      </c>
    </row>
    <row r="120" spans="1:20" s="4" customFormat="1" x14ac:dyDescent="0.2">
      <c r="A120" s="8" t="s">
        <v>429</v>
      </c>
      <c r="B120" s="2" t="s">
        <v>203</v>
      </c>
      <c r="C120" s="8" t="s">
        <v>430</v>
      </c>
      <c r="D120" s="10"/>
      <c r="E120" s="109"/>
      <c r="F120" s="37"/>
      <c r="G120" s="110" t="s">
        <v>212</v>
      </c>
      <c r="H120" s="105">
        <f t="shared" ref="H120:S120" si="51">H119-H118</f>
        <v>84.567000000000007</v>
      </c>
      <c r="I120" s="77">
        <f t="shared" si="51"/>
        <v>148.71900000000002</v>
      </c>
      <c r="J120" s="77">
        <f t="shared" si="51"/>
        <v>630.50300000000004</v>
      </c>
      <c r="K120" s="77">
        <f t="shared" si="51"/>
        <v>-195.90299999999996</v>
      </c>
      <c r="L120" s="77">
        <f t="shared" si="51"/>
        <v>-232.3669999999999</v>
      </c>
      <c r="M120" s="77">
        <f>M119-M118</f>
        <v>-584.45799999999997</v>
      </c>
      <c r="N120" s="77">
        <f t="shared" si="51"/>
        <v>-501</v>
      </c>
      <c r="O120" s="77">
        <f t="shared" si="51"/>
        <v>-123</v>
      </c>
      <c r="P120" s="77">
        <f t="shared" si="51"/>
        <v>64</v>
      </c>
      <c r="Q120" s="77">
        <f t="shared" si="51"/>
        <v>56</v>
      </c>
      <c r="R120" s="77">
        <f t="shared" si="51"/>
        <v>51</v>
      </c>
      <c r="S120" s="77">
        <f t="shared" si="51"/>
        <v>49</v>
      </c>
    </row>
    <row r="121" spans="1:20" s="4" customFormat="1" x14ac:dyDescent="0.2">
      <c r="A121" s="34" t="s">
        <v>431</v>
      </c>
      <c r="B121" s="2" t="s">
        <v>207</v>
      </c>
      <c r="C121" s="8" t="s">
        <v>432</v>
      </c>
      <c r="D121" s="10"/>
      <c r="E121" s="106">
        <v>0.4</v>
      </c>
      <c r="F121" s="114" t="s">
        <v>433</v>
      </c>
      <c r="G121" s="46" t="s">
        <v>213</v>
      </c>
      <c r="H121" s="115">
        <f t="shared" ref="H121:S121" si="52">H120/H33</f>
        <v>6.9481919435251435E-2</v>
      </c>
      <c r="I121" s="108">
        <f t="shared" si="52"/>
        <v>0.10079705577357112</v>
      </c>
      <c r="J121" s="108">
        <f t="shared" si="52"/>
        <v>0.41609889181612281</v>
      </c>
      <c r="K121" s="108">
        <f t="shared" si="52"/>
        <v>-5.3179986931876623E-2</v>
      </c>
      <c r="L121" s="108">
        <f t="shared" si="52"/>
        <v>-8.4738024222325181E-2</v>
      </c>
      <c r="M121" s="108">
        <f t="shared" si="52"/>
        <v>-0.17478527080804446</v>
      </c>
      <c r="N121" s="108">
        <f t="shared" si="52"/>
        <v>-0.16292682926829269</v>
      </c>
      <c r="O121" s="108">
        <f t="shared" si="52"/>
        <v>-3.9047619047619046E-2</v>
      </c>
      <c r="P121" s="108">
        <f t="shared" si="52"/>
        <v>1.4489472492642064E-2</v>
      </c>
      <c r="Q121" s="108">
        <f t="shared" si="52"/>
        <v>1.2286090390522159E-2</v>
      </c>
      <c r="R121" s="108">
        <f t="shared" si="52"/>
        <v>1.0902094912355708E-2</v>
      </c>
      <c r="S121" s="108">
        <f t="shared" si="52"/>
        <v>1.0221109720483939E-2</v>
      </c>
    </row>
    <row r="122" spans="1:20" s="4" customFormat="1" x14ac:dyDescent="0.2">
      <c r="A122" s="8" t="s">
        <v>434</v>
      </c>
      <c r="B122" s="2" t="s">
        <v>210</v>
      </c>
      <c r="C122" s="8" t="s">
        <v>435</v>
      </c>
      <c r="D122" s="116">
        <v>0</v>
      </c>
      <c r="E122" s="116">
        <v>5</v>
      </c>
      <c r="F122" s="37"/>
      <c r="G122" s="100" t="s">
        <v>215</v>
      </c>
      <c r="H122" s="111">
        <f t="shared" ref="H122:S122" si="53">H120/H110</f>
        <v>-0.13271865534612909</v>
      </c>
      <c r="I122" s="111">
        <f t="shared" si="53"/>
        <v>-0.21096479593501349</v>
      </c>
      <c r="J122" s="111">
        <f t="shared" si="53"/>
        <v>-0.77784563076133517</v>
      </c>
      <c r="K122" s="111">
        <f t="shared" si="53"/>
        <v>-0.1506051790782704</v>
      </c>
      <c r="L122" s="111">
        <f t="shared" si="53"/>
        <v>-1.9950460196442048</v>
      </c>
      <c r="M122" s="111">
        <f>M120/M110</f>
        <v>-0.9236572819293104</v>
      </c>
      <c r="N122" s="111">
        <f t="shared" si="53"/>
        <v>-3.4315068493150687</v>
      </c>
      <c r="O122" s="111">
        <f t="shared" si="53"/>
        <v>-3.4166666666666665</v>
      </c>
      <c r="P122" s="111">
        <f t="shared" si="53"/>
        <v>6.0606060606060608E-2</v>
      </c>
      <c r="Q122" s="111">
        <f t="shared" si="53"/>
        <v>5.9259259259259262E-2</v>
      </c>
      <c r="R122" s="111">
        <f t="shared" si="53"/>
        <v>6.7105263157894737E-2</v>
      </c>
      <c r="S122" s="111">
        <f t="shared" si="53"/>
        <v>8.3760683760683755E-2</v>
      </c>
    </row>
    <row r="123" spans="1:20" s="4" customFormat="1" x14ac:dyDescent="0.2">
      <c r="A123" s="8" t="s">
        <v>436</v>
      </c>
      <c r="B123" s="2" t="s">
        <v>437</v>
      </c>
      <c r="C123" s="8" t="s">
        <v>217</v>
      </c>
      <c r="D123" s="10"/>
      <c r="E123" s="109"/>
      <c r="F123" s="37"/>
      <c r="G123" s="110" t="s">
        <v>218</v>
      </c>
      <c r="H123" s="105">
        <f t="shared" ref="H123:S123" si="54">-(H75+H77+H78+H79+H80+H81)</f>
        <v>24.161999999999999</v>
      </c>
      <c r="I123" s="105">
        <f t="shared" si="54"/>
        <v>24.821999999999999</v>
      </c>
      <c r="J123" s="105">
        <f t="shared" si="54"/>
        <v>125.985</v>
      </c>
      <c r="K123" s="105">
        <f t="shared" si="54"/>
        <v>6.3549999999999995</v>
      </c>
      <c r="L123" s="105">
        <f t="shared" si="54"/>
        <v>5.4220000000000006</v>
      </c>
      <c r="M123" s="105">
        <f t="shared" si="54"/>
        <v>5.4059999999999997</v>
      </c>
      <c r="N123" s="105">
        <f t="shared" si="54"/>
        <v>5</v>
      </c>
      <c r="O123" s="105">
        <f t="shared" si="54"/>
        <v>5</v>
      </c>
      <c r="P123" s="105">
        <f t="shared" si="54"/>
        <v>13</v>
      </c>
      <c r="Q123" s="105">
        <f t="shared" si="54"/>
        <v>0</v>
      </c>
      <c r="R123" s="105">
        <f t="shared" si="54"/>
        <v>0</v>
      </c>
      <c r="S123" s="105">
        <f t="shared" si="54"/>
        <v>0</v>
      </c>
    </row>
    <row r="124" spans="1:20" s="4" customFormat="1" x14ac:dyDescent="0.2">
      <c r="A124" s="8" t="s">
        <v>438</v>
      </c>
      <c r="B124" s="2" t="s">
        <v>439</v>
      </c>
      <c r="C124" s="8" t="s">
        <v>440</v>
      </c>
      <c r="D124" s="10"/>
      <c r="E124" s="116">
        <v>1.2</v>
      </c>
      <c r="F124" s="114" t="s">
        <v>433</v>
      </c>
      <c r="G124" s="110" t="s">
        <v>220</v>
      </c>
      <c r="H124" s="117">
        <f t="shared" ref="H124:S124" si="55">H110/H123</f>
        <v>-26.371575200728419</v>
      </c>
      <c r="I124" s="111">
        <f t="shared" si="55"/>
        <v>-28.400088631053112</v>
      </c>
      <c r="J124" s="111">
        <f t="shared" si="55"/>
        <v>-6.4339087986665078</v>
      </c>
      <c r="K124" s="111">
        <f t="shared" si="55"/>
        <v>204.68481510621561</v>
      </c>
      <c r="L124" s="111">
        <f t="shared" si="55"/>
        <v>21.481372187384732</v>
      </c>
      <c r="M124" s="111">
        <f t="shared" si="55"/>
        <v>117.04864964853864</v>
      </c>
      <c r="N124" s="111">
        <f t="shared" si="55"/>
        <v>29.2</v>
      </c>
      <c r="O124" s="111">
        <f t="shared" si="55"/>
        <v>7.2</v>
      </c>
      <c r="P124" s="111">
        <f t="shared" si="55"/>
        <v>81.230769230769226</v>
      </c>
      <c r="Q124" s="111" t="e">
        <f t="shared" si="55"/>
        <v>#DIV/0!</v>
      </c>
      <c r="R124" s="111" t="e">
        <f t="shared" si="55"/>
        <v>#DIV/0!</v>
      </c>
      <c r="S124" s="111" t="e">
        <f t="shared" si="55"/>
        <v>#DIV/0!</v>
      </c>
    </row>
    <row r="125" spans="1:20" s="4" customFormat="1" x14ac:dyDescent="0.2">
      <c r="A125" s="38" t="s">
        <v>441</v>
      </c>
      <c r="B125" s="2" t="s">
        <v>442</v>
      </c>
      <c r="C125" s="8" t="s">
        <v>222</v>
      </c>
      <c r="D125" s="10"/>
      <c r="E125" s="116">
        <v>0</v>
      </c>
      <c r="F125" s="37"/>
      <c r="G125" s="103" t="s">
        <v>223</v>
      </c>
      <c r="H125" s="105">
        <f t="shared" ref="H125:S125" si="56">H5-H20</f>
        <v>277.45400000000001</v>
      </c>
      <c r="I125" s="105">
        <f t="shared" si="56"/>
        <v>251.803</v>
      </c>
      <c r="J125" s="105">
        <f t="shared" si="56"/>
        <v>-215.81000000000006</v>
      </c>
      <c r="K125" s="105">
        <f t="shared" si="56"/>
        <v>473.70599999999996</v>
      </c>
      <c r="L125" s="105">
        <f t="shared" si="56"/>
        <v>377.85999999999996</v>
      </c>
      <c r="M125" s="105">
        <f t="shared" si="56"/>
        <v>731.28600000000017</v>
      </c>
      <c r="N125" s="105">
        <f t="shared" si="56"/>
        <v>694</v>
      </c>
      <c r="O125" s="105">
        <f t="shared" si="56"/>
        <v>338</v>
      </c>
      <c r="P125" s="105">
        <f t="shared" si="56"/>
        <v>183</v>
      </c>
      <c r="Q125" s="105">
        <f t="shared" si="56"/>
        <v>184</v>
      </c>
      <c r="R125" s="105">
        <f t="shared" si="56"/>
        <v>186</v>
      </c>
      <c r="S125" s="105">
        <f t="shared" si="56"/>
        <v>184</v>
      </c>
    </row>
    <row r="126" spans="1:20" s="4" customFormat="1" x14ac:dyDescent="0.2">
      <c r="A126" s="34" t="s">
        <v>443</v>
      </c>
      <c r="B126" s="2" t="s">
        <v>444</v>
      </c>
      <c r="C126" s="8" t="s">
        <v>225</v>
      </c>
      <c r="D126" s="10"/>
      <c r="E126" s="116">
        <v>1</v>
      </c>
      <c r="F126" s="114" t="s">
        <v>433</v>
      </c>
      <c r="G126" s="110" t="s">
        <v>226</v>
      </c>
      <c r="H126" s="117">
        <f t="shared" ref="H126:S126" si="57">H5/H20</f>
        <v>1.7547571183356139</v>
      </c>
      <c r="I126" s="117">
        <f t="shared" si="57"/>
        <v>1.6705894885417916</v>
      </c>
      <c r="J126" s="117">
        <f t="shared" si="57"/>
        <v>0.76154302578818089</v>
      </c>
      <c r="K126" s="117">
        <f t="shared" si="57"/>
        <v>2.0708656789297355</v>
      </c>
      <c r="L126" s="117">
        <f t="shared" si="57"/>
        <v>1.7929140103998353</v>
      </c>
      <c r="M126" s="117">
        <f t="shared" si="57"/>
        <v>2.4178886568674787</v>
      </c>
      <c r="N126" s="117">
        <f t="shared" si="57"/>
        <v>2.5736961451247167</v>
      </c>
      <c r="O126" s="117">
        <f t="shared" si="57"/>
        <v>2.0029673590504453</v>
      </c>
      <c r="P126" s="117">
        <f t="shared" si="57"/>
        <v>1.50974930362117</v>
      </c>
      <c r="Q126" s="117">
        <f t="shared" si="57"/>
        <v>1.6013071895424837</v>
      </c>
      <c r="R126" s="117">
        <f t="shared" si="57"/>
        <v>1.6220735785953178</v>
      </c>
      <c r="S126" s="117">
        <f t="shared" si="57"/>
        <v>1.5954692556634305</v>
      </c>
    </row>
    <row r="127" spans="1:20" s="4" customFormat="1" x14ac:dyDescent="0.2">
      <c r="A127" s="34" t="s">
        <v>445</v>
      </c>
      <c r="B127" s="2" t="s">
        <v>214</v>
      </c>
      <c r="C127" s="34" t="s">
        <v>228</v>
      </c>
      <c r="D127" s="10"/>
      <c r="E127" s="116">
        <v>1</v>
      </c>
      <c r="F127" s="37"/>
      <c r="G127" s="46" t="s">
        <v>229</v>
      </c>
      <c r="H127" s="117">
        <f t="shared" ref="H127:S127" si="58">-H6/((H38+H41-H45+H47)/12)</f>
        <v>1.8316796976537753</v>
      </c>
      <c r="I127" s="117">
        <f t="shared" si="58"/>
        <v>1.2480869134099286</v>
      </c>
      <c r="J127" s="117">
        <f t="shared" si="58"/>
        <v>1.4163814660287348</v>
      </c>
      <c r="K127" s="117">
        <f t="shared" si="58"/>
        <v>3.3493457365277601</v>
      </c>
      <c r="L127" s="117">
        <f t="shared" si="58"/>
        <v>3.3430909616454603</v>
      </c>
      <c r="M127" s="117">
        <f t="shared" si="58"/>
        <v>4.9516966668917739</v>
      </c>
      <c r="N127" s="117">
        <f t="shared" si="58"/>
        <v>3.8593376579037213</v>
      </c>
      <c r="O127" s="117">
        <f t="shared" si="58"/>
        <v>1.7533718689788054</v>
      </c>
      <c r="P127" s="117">
        <f t="shared" si="58"/>
        <v>1.0529446757882213</v>
      </c>
      <c r="Q127" s="117">
        <f t="shared" si="58"/>
        <v>0.83033490174370339</v>
      </c>
      <c r="R127" s="117">
        <f t="shared" si="58"/>
        <v>0.76569678407350694</v>
      </c>
      <c r="S127" s="117">
        <f t="shared" si="58"/>
        <v>0.74126870990734139</v>
      </c>
    </row>
    <row r="128" spans="1:20" s="4" customFormat="1" x14ac:dyDescent="0.2">
      <c r="A128" s="34"/>
      <c r="B128" s="2"/>
      <c r="C128" s="34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</row>
    <row r="129" spans="1:21" s="4" customFormat="1" x14ac:dyDescent="0.2">
      <c r="A129" s="8"/>
      <c r="B129" s="2"/>
      <c r="C129" s="8"/>
      <c r="D129" s="10"/>
      <c r="E129" s="9"/>
      <c r="F129" s="37"/>
      <c r="G129" s="94" t="s">
        <v>230</v>
      </c>
      <c r="H129" s="87">
        <f t="shared" ref="H129:S129" si="59">H117</f>
        <v>2011</v>
      </c>
      <c r="I129" s="87">
        <f t="shared" si="59"/>
        <v>2012</v>
      </c>
      <c r="J129" s="87">
        <f t="shared" si="59"/>
        <v>2013</v>
      </c>
      <c r="K129" s="87">
        <f t="shared" si="59"/>
        <v>2014</v>
      </c>
      <c r="L129" s="87">
        <f t="shared" si="59"/>
        <v>2015</v>
      </c>
      <c r="M129" s="87">
        <f t="shared" si="59"/>
        <v>2016</v>
      </c>
      <c r="N129" s="87">
        <f t="shared" si="59"/>
        <v>2017</v>
      </c>
      <c r="O129" s="87">
        <f t="shared" si="59"/>
        <v>2018</v>
      </c>
      <c r="P129" s="87">
        <f t="shared" si="59"/>
        <v>2019</v>
      </c>
      <c r="Q129" s="87">
        <f t="shared" si="59"/>
        <v>2020</v>
      </c>
      <c r="R129" s="87">
        <f t="shared" si="59"/>
        <v>2021</v>
      </c>
      <c r="S129" s="87">
        <f t="shared" si="59"/>
        <v>2022</v>
      </c>
    </row>
    <row r="130" spans="1:21" s="4" customFormat="1" x14ac:dyDescent="0.2">
      <c r="A130" s="34" t="s">
        <v>446</v>
      </c>
      <c r="B130" s="2" t="s">
        <v>216</v>
      </c>
      <c r="C130" s="34" t="s">
        <v>232</v>
      </c>
      <c r="D130" s="10"/>
      <c r="E130" s="106">
        <v>0.6</v>
      </c>
      <c r="F130" s="37"/>
      <c r="G130" s="103" t="s">
        <v>233</v>
      </c>
      <c r="H130" s="115">
        <f t="shared" ref="H130:S130" si="60">H17/H4</f>
        <v>0</v>
      </c>
      <c r="I130" s="115">
        <f t="shared" si="60"/>
        <v>0</v>
      </c>
      <c r="J130" s="115">
        <f t="shared" si="60"/>
        <v>0</v>
      </c>
      <c r="K130" s="115">
        <f t="shared" si="60"/>
        <v>0</v>
      </c>
      <c r="L130" s="115">
        <f t="shared" si="60"/>
        <v>0</v>
      </c>
      <c r="M130" s="115">
        <f t="shared" si="60"/>
        <v>0</v>
      </c>
      <c r="N130" s="115">
        <f t="shared" si="60"/>
        <v>0</v>
      </c>
      <c r="O130" s="115">
        <f t="shared" si="60"/>
        <v>0</v>
      </c>
      <c r="P130" s="115">
        <f t="shared" si="60"/>
        <v>0</v>
      </c>
      <c r="Q130" s="115">
        <f t="shared" si="60"/>
        <v>0</v>
      </c>
      <c r="R130" s="115">
        <f t="shared" si="60"/>
        <v>0</v>
      </c>
      <c r="S130" s="115">
        <f t="shared" si="60"/>
        <v>0</v>
      </c>
    </row>
    <row r="131" spans="1:21" s="4" customFormat="1" x14ac:dyDescent="0.2">
      <c r="A131" s="34" t="s">
        <v>447</v>
      </c>
      <c r="B131" s="2" t="s">
        <v>219</v>
      </c>
      <c r="C131" s="34" t="s">
        <v>235</v>
      </c>
      <c r="D131" s="10"/>
      <c r="E131" s="106">
        <v>0.4</v>
      </c>
      <c r="F131" s="37"/>
      <c r="G131" s="46" t="s">
        <v>236</v>
      </c>
      <c r="H131" s="115" t="e">
        <f t="shared" ref="H131:S131" si="61">H27/H17</f>
        <v>#DIV/0!</v>
      </c>
      <c r="I131" s="115" t="e">
        <f t="shared" si="61"/>
        <v>#DIV/0!</v>
      </c>
      <c r="J131" s="115" t="e">
        <f t="shared" si="61"/>
        <v>#DIV/0!</v>
      </c>
      <c r="K131" s="115" t="e">
        <f t="shared" si="61"/>
        <v>#DIV/0!</v>
      </c>
      <c r="L131" s="115" t="e">
        <f t="shared" si="61"/>
        <v>#DIV/0!</v>
      </c>
      <c r="M131" s="115" t="e">
        <f t="shared" si="61"/>
        <v>#DIV/0!</v>
      </c>
      <c r="N131" s="115" t="e">
        <f t="shared" si="61"/>
        <v>#DIV/0!</v>
      </c>
      <c r="O131" s="115" t="e">
        <f t="shared" si="61"/>
        <v>#DIV/0!</v>
      </c>
      <c r="P131" s="115" t="e">
        <f t="shared" si="61"/>
        <v>#DIV/0!</v>
      </c>
      <c r="Q131" s="115" t="e">
        <f t="shared" si="61"/>
        <v>#DIV/0!</v>
      </c>
      <c r="R131" s="115" t="e">
        <f t="shared" si="61"/>
        <v>#DIV/0!</v>
      </c>
      <c r="S131" s="115" t="e">
        <f t="shared" si="61"/>
        <v>#DIV/0!</v>
      </c>
    </row>
    <row r="132" spans="1:21" s="4" customFormat="1" x14ac:dyDescent="0.2">
      <c r="A132" s="34"/>
      <c r="B132" s="2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</row>
    <row r="133" spans="1:21" s="4" customFormat="1" x14ac:dyDescent="0.2">
      <c r="A133" s="8"/>
      <c r="B133" s="2"/>
      <c r="C133" s="8"/>
      <c r="D133" s="10"/>
      <c r="E133" s="9"/>
      <c r="F133" s="37"/>
      <c r="G133" s="94" t="s">
        <v>237</v>
      </c>
      <c r="H133" s="87">
        <f t="shared" ref="H133:S133" si="62">H117</f>
        <v>2011</v>
      </c>
      <c r="I133" s="87">
        <f t="shared" si="62"/>
        <v>2012</v>
      </c>
      <c r="J133" s="87">
        <f t="shared" si="62"/>
        <v>2013</v>
      </c>
      <c r="K133" s="87">
        <f t="shared" si="62"/>
        <v>2014</v>
      </c>
      <c r="L133" s="87">
        <f t="shared" si="62"/>
        <v>2015</v>
      </c>
      <c r="M133" s="87">
        <f t="shared" si="62"/>
        <v>2016</v>
      </c>
      <c r="N133" s="87">
        <f t="shared" si="62"/>
        <v>2017</v>
      </c>
      <c r="O133" s="87">
        <f t="shared" si="62"/>
        <v>2018</v>
      </c>
      <c r="P133" s="87">
        <f t="shared" si="62"/>
        <v>2019</v>
      </c>
      <c r="Q133" s="87">
        <f t="shared" si="62"/>
        <v>2020</v>
      </c>
      <c r="R133" s="87">
        <f t="shared" si="62"/>
        <v>2021</v>
      </c>
      <c r="S133" s="87">
        <f t="shared" si="62"/>
        <v>2022</v>
      </c>
    </row>
    <row r="134" spans="1:21" s="4" customFormat="1" x14ac:dyDescent="0.2">
      <c r="A134" s="34" t="s">
        <v>448</v>
      </c>
      <c r="B134" s="2" t="s">
        <v>221</v>
      </c>
      <c r="C134" s="39" t="s">
        <v>239</v>
      </c>
      <c r="D134" s="10"/>
      <c r="E134" s="109"/>
      <c r="F134" s="37"/>
      <c r="G134" s="110" t="s">
        <v>240</v>
      </c>
      <c r="H134" s="118">
        <f t="shared" ref="H134:S134" si="63">H10/H4</f>
        <v>0.88208824814329401</v>
      </c>
      <c r="I134" s="118">
        <f t="shared" si="63"/>
        <v>0.88665230406623741</v>
      </c>
      <c r="J134" s="118">
        <f t="shared" si="63"/>
        <v>0.89490775684218715</v>
      </c>
      <c r="K134" s="118">
        <f t="shared" si="63"/>
        <v>0.90973621068146071</v>
      </c>
      <c r="L134" s="118">
        <f t="shared" si="63"/>
        <v>0.91550486674309139</v>
      </c>
      <c r="M134" s="118">
        <f t="shared" si="63"/>
        <v>0.88203004998745138</v>
      </c>
      <c r="N134" s="118">
        <f t="shared" si="63"/>
        <v>0.89089685667595886</v>
      </c>
      <c r="O134" s="118">
        <f t="shared" si="63"/>
        <v>0.93320138545274611</v>
      </c>
      <c r="P134" s="118">
        <f t="shared" si="63"/>
        <v>0.95055646779784708</v>
      </c>
      <c r="Q134" s="118">
        <f t="shared" si="63"/>
        <v>0.95784583620096353</v>
      </c>
      <c r="R134" s="118">
        <f t="shared" si="63"/>
        <v>0.96007901884928804</v>
      </c>
      <c r="S134" s="118">
        <f t="shared" si="63"/>
        <v>0.96059782608695654</v>
      </c>
    </row>
    <row r="135" spans="1:21" s="4" customFormat="1" x14ac:dyDescent="0.2">
      <c r="A135" s="34" t="s">
        <v>449</v>
      </c>
      <c r="B135" s="2" t="s">
        <v>224</v>
      </c>
      <c r="C135" s="39" t="s">
        <v>242</v>
      </c>
      <c r="D135" s="10"/>
      <c r="E135" s="109"/>
      <c r="F135" s="37"/>
      <c r="G135" s="110" t="s">
        <v>243</v>
      </c>
      <c r="H135" s="118">
        <f t="shared" ref="H135:S135" si="64">-(H58)/H15</f>
        <v>2.9974880928026772E-2</v>
      </c>
      <c r="I135" s="118">
        <f t="shared" si="64"/>
        <v>4.2878279232463956E-2</v>
      </c>
      <c r="J135" s="118">
        <f t="shared" si="64"/>
        <v>0.17005568243881949</v>
      </c>
      <c r="K135" s="118">
        <f t="shared" si="64"/>
        <v>8.3067776077773076E-2</v>
      </c>
      <c r="L135" s="118">
        <f t="shared" si="64"/>
        <v>2.0582434244868362E-2</v>
      </c>
      <c r="M135" s="118">
        <f t="shared" si="64"/>
        <v>3.1587763340454829E-2</v>
      </c>
      <c r="N135" s="118">
        <f t="shared" si="64"/>
        <v>1.7812803627334558E-2</v>
      </c>
      <c r="O135" s="118">
        <f t="shared" si="64"/>
        <v>4.1061007957559681E-2</v>
      </c>
      <c r="P135" s="118">
        <f t="shared" si="64"/>
        <v>0.11665866538646183</v>
      </c>
      <c r="Q135" s="118">
        <f t="shared" si="64"/>
        <v>8.4823434270823977E-2</v>
      </c>
      <c r="R135" s="118">
        <f t="shared" si="64"/>
        <v>6.5185693455699453E-2</v>
      </c>
      <c r="S135" s="118">
        <f t="shared" si="64"/>
        <v>4.8693191276843684E-2</v>
      </c>
    </row>
    <row r="136" spans="1:21" s="4" customFormat="1" x14ac:dyDescent="0.2">
      <c r="A136" s="34" t="s">
        <v>450</v>
      </c>
      <c r="B136" s="2" t="s">
        <v>227</v>
      </c>
      <c r="C136" s="8" t="s">
        <v>245</v>
      </c>
      <c r="D136" s="10"/>
      <c r="E136" s="109"/>
      <c r="F136" s="37"/>
      <c r="G136" s="103" t="s">
        <v>246</v>
      </c>
      <c r="H136" s="111">
        <f t="shared" ref="H136:S136" si="65">H33/H4</f>
        <v>0.22247715561599868</v>
      </c>
      <c r="I136" s="111">
        <f t="shared" si="65"/>
        <v>0.2665983169268058</v>
      </c>
      <c r="J136" s="111">
        <f t="shared" si="65"/>
        <v>0.2310496309206323</v>
      </c>
      <c r="K136" s="111">
        <f t="shared" si="65"/>
        <v>0.36297825257768374</v>
      </c>
      <c r="L136" s="111">
        <f t="shared" si="65"/>
        <v>0.27118366328134702</v>
      </c>
      <c r="M136" s="111">
        <f t="shared" si="65"/>
        <v>0.31632858767405053</v>
      </c>
      <c r="N136" s="111">
        <f t="shared" si="65"/>
        <v>0.2955878112083053</v>
      </c>
      <c r="O136" s="111">
        <f t="shared" si="65"/>
        <v>0.31172686788718457</v>
      </c>
      <c r="P136" s="111">
        <f t="shared" si="65"/>
        <v>0.40293742017879947</v>
      </c>
      <c r="Q136" s="111">
        <f t="shared" si="65"/>
        <v>0.39211975223675155</v>
      </c>
      <c r="R136" s="111">
        <f t="shared" si="65"/>
        <v>0.38505226767635198</v>
      </c>
      <c r="S136" s="111">
        <f t="shared" si="65"/>
        <v>0.38315217391304346</v>
      </c>
    </row>
    <row r="137" spans="1:21" s="4" customFormat="1" x14ac:dyDescent="0.2">
      <c r="A137" s="34" t="s">
        <v>451</v>
      </c>
      <c r="B137" s="2" t="s">
        <v>231</v>
      </c>
      <c r="C137" s="39" t="s">
        <v>248</v>
      </c>
      <c r="D137" s="10"/>
      <c r="E137" s="109"/>
      <c r="F137" s="37"/>
      <c r="G137" s="46" t="s">
        <v>249</v>
      </c>
      <c r="H137" s="111">
        <f t="shared" ref="H137:S137" si="66">H33/H15</f>
        <v>0.26181916118175158</v>
      </c>
      <c r="I137" s="111">
        <f t="shared" si="66"/>
        <v>0.3121645869869748</v>
      </c>
      <c r="J137" s="111">
        <f t="shared" si="66"/>
        <v>0.26618935683155559</v>
      </c>
      <c r="K137" s="111">
        <f t="shared" si="66"/>
        <v>0.39919174944211033</v>
      </c>
      <c r="L137" s="111">
        <f t="shared" si="66"/>
        <v>0.29635940770937513</v>
      </c>
      <c r="M137" s="111">
        <f t="shared" si="66"/>
        <v>0.35881399818224935</v>
      </c>
      <c r="N137" s="111">
        <f t="shared" si="66"/>
        <v>0.33196588578214403</v>
      </c>
      <c r="O137" s="111">
        <f t="shared" si="66"/>
        <v>0.33421750663129973</v>
      </c>
      <c r="P137" s="111">
        <f t="shared" si="66"/>
        <v>0.42409985597695632</v>
      </c>
      <c r="Q137" s="111">
        <f t="shared" si="66"/>
        <v>0.40956060742205047</v>
      </c>
      <c r="R137" s="111">
        <f t="shared" si="66"/>
        <v>0.40123509734968693</v>
      </c>
      <c r="S137" s="111">
        <f t="shared" si="66"/>
        <v>0.39903445979690361</v>
      </c>
    </row>
    <row r="138" spans="1:21" s="4" customFormat="1" x14ac:dyDescent="0.2">
      <c r="A138" s="8" t="s">
        <v>452</v>
      </c>
      <c r="B138" s="2" t="s">
        <v>234</v>
      </c>
      <c r="C138" s="39" t="s">
        <v>251</v>
      </c>
      <c r="D138" s="106">
        <v>0.5</v>
      </c>
      <c r="E138" s="106">
        <f>1/3</f>
        <v>0.33333333333333331</v>
      </c>
      <c r="F138" s="114" t="s">
        <v>433</v>
      </c>
      <c r="G138" s="100" t="s">
        <v>252</v>
      </c>
      <c r="H138" s="118">
        <f t="shared" ref="H138:S138" si="67">H27/H4</f>
        <v>0.93280469993839943</v>
      </c>
      <c r="I138" s="118">
        <f t="shared" si="67"/>
        <v>0.93215107798104213</v>
      </c>
      <c r="J138" s="118">
        <f t="shared" si="67"/>
        <v>0.86200091183417438</v>
      </c>
      <c r="K138" s="118">
        <f t="shared" si="67"/>
        <v>0.95374077361107679</v>
      </c>
      <c r="L138" s="118">
        <f t="shared" si="67"/>
        <v>0.95063537045871516</v>
      </c>
      <c r="M138" s="118">
        <f t="shared" si="67"/>
        <v>0.94950994021012325</v>
      </c>
      <c r="N138" s="118">
        <f t="shared" si="67"/>
        <v>0.95760838219744304</v>
      </c>
      <c r="O138" s="118">
        <f t="shared" si="67"/>
        <v>0.96714497773379515</v>
      </c>
      <c r="P138" s="118">
        <f t="shared" si="67"/>
        <v>0.96725050173326033</v>
      </c>
      <c r="Q138" s="118">
        <f t="shared" si="67"/>
        <v>0.97367515485203027</v>
      </c>
      <c r="R138" s="118">
        <f t="shared" si="67"/>
        <v>0.97522429829615609</v>
      </c>
      <c r="S138" s="118">
        <f t="shared" si="67"/>
        <v>0.97530370843989767</v>
      </c>
    </row>
    <row r="139" spans="1:21" s="4" customFormat="1" x14ac:dyDescent="0.2">
      <c r="A139" s="8"/>
      <c r="B139" s="2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</row>
    <row r="140" spans="1:21" s="4" customFormat="1" x14ac:dyDescent="0.2">
      <c r="A140" s="40"/>
      <c r="B140" s="2"/>
      <c r="C140" s="2"/>
      <c r="D140" s="41"/>
      <c r="E140" s="42"/>
      <c r="F140" s="37"/>
      <c r="G140" s="94" t="s">
        <v>253</v>
      </c>
      <c r="H140" s="87">
        <f t="shared" ref="H140:S140" si="68">H133</f>
        <v>2011</v>
      </c>
      <c r="I140" s="87">
        <f t="shared" si="68"/>
        <v>2012</v>
      </c>
      <c r="J140" s="87">
        <f t="shared" si="68"/>
        <v>2013</v>
      </c>
      <c r="K140" s="87">
        <f t="shared" si="68"/>
        <v>2014</v>
      </c>
      <c r="L140" s="87">
        <f t="shared" si="68"/>
        <v>2015</v>
      </c>
      <c r="M140" s="87">
        <f t="shared" si="68"/>
        <v>2016</v>
      </c>
      <c r="N140" s="87">
        <f t="shared" si="68"/>
        <v>2017</v>
      </c>
      <c r="O140" s="87">
        <f t="shared" si="68"/>
        <v>2018</v>
      </c>
      <c r="P140" s="87">
        <f t="shared" si="68"/>
        <v>2019</v>
      </c>
      <c r="Q140" s="87">
        <f t="shared" si="68"/>
        <v>2020</v>
      </c>
      <c r="R140" s="87">
        <f t="shared" si="68"/>
        <v>2021</v>
      </c>
      <c r="S140" s="87">
        <f t="shared" si="68"/>
        <v>2022</v>
      </c>
    </row>
    <row r="141" spans="1:21" s="4" customFormat="1" x14ac:dyDescent="0.2">
      <c r="A141" s="8" t="s">
        <v>453</v>
      </c>
      <c r="B141" s="2" t="s">
        <v>238</v>
      </c>
      <c r="C141" s="8" t="s">
        <v>255</v>
      </c>
      <c r="D141" s="43"/>
      <c r="E141" s="106">
        <v>0.05</v>
      </c>
      <c r="F141" s="8"/>
      <c r="G141" s="103" t="s">
        <v>256</v>
      </c>
      <c r="H141" s="108">
        <f t="shared" ref="H141:S141" si="69">H35/H33</f>
        <v>0.70395889271946288</v>
      </c>
      <c r="I141" s="108">
        <f t="shared" si="69"/>
        <v>0.56793206048406231</v>
      </c>
      <c r="J141" s="108">
        <f t="shared" si="69"/>
        <v>0.5913446562729332</v>
      </c>
      <c r="K141" s="108">
        <f t="shared" si="69"/>
        <v>0.25007214071008171</v>
      </c>
      <c r="L141" s="108">
        <f t="shared" si="69"/>
        <v>0.3505020274008171</v>
      </c>
      <c r="M141" s="108">
        <f t="shared" si="69"/>
        <v>0.34317434655666218</v>
      </c>
      <c r="N141" s="108">
        <f t="shared" si="69"/>
        <v>0.40032520325203252</v>
      </c>
      <c r="O141" s="108">
        <f t="shared" si="69"/>
        <v>0.37396825396825395</v>
      </c>
      <c r="P141" s="108">
        <f t="shared" si="69"/>
        <v>0.27960153950645233</v>
      </c>
      <c r="Q141" s="108">
        <f t="shared" si="69"/>
        <v>0.28455462922334357</v>
      </c>
      <c r="R141" s="108">
        <f t="shared" si="69"/>
        <v>0.29093629756306116</v>
      </c>
      <c r="S141" s="108">
        <f t="shared" si="69"/>
        <v>0.29828952857738839</v>
      </c>
    </row>
    <row r="142" spans="1:21" s="4" customFormat="1" x14ac:dyDescent="0.2">
      <c r="A142" s="8" t="s">
        <v>454</v>
      </c>
      <c r="B142" s="2" t="s">
        <v>241</v>
      </c>
      <c r="C142" s="8" t="s">
        <v>258</v>
      </c>
      <c r="D142" s="10"/>
      <c r="E142" s="106">
        <v>0.95</v>
      </c>
      <c r="F142" s="8"/>
      <c r="G142" s="110" t="s">
        <v>259</v>
      </c>
      <c r="H142" s="118">
        <f t="shared" ref="H142:S142" si="70">(H36+H34)/H33</f>
        <v>0.29604110728053717</v>
      </c>
      <c r="I142" s="118">
        <f t="shared" si="70"/>
        <v>0.43206793951593775</v>
      </c>
      <c r="J142" s="118">
        <f t="shared" si="70"/>
        <v>0.40865534372706686</v>
      </c>
      <c r="K142" s="118">
        <f t="shared" si="70"/>
        <v>0.74631498737842972</v>
      </c>
      <c r="L142" s="118">
        <f t="shared" si="70"/>
        <v>0.64935538536661153</v>
      </c>
      <c r="M142" s="118">
        <f t="shared" si="70"/>
        <v>0.65675178678073842</v>
      </c>
      <c r="N142" s="118">
        <f t="shared" si="70"/>
        <v>0.59934959349593497</v>
      </c>
      <c r="O142" s="118">
        <f t="shared" si="70"/>
        <v>0.61873015873015869</v>
      </c>
      <c r="P142" s="118">
        <f t="shared" si="70"/>
        <v>0.72039846049354761</v>
      </c>
      <c r="Q142" s="118">
        <f t="shared" si="70"/>
        <v>0.71544537077665638</v>
      </c>
      <c r="R142" s="118">
        <f t="shared" si="70"/>
        <v>0.70906370243693884</v>
      </c>
      <c r="S142" s="118">
        <f t="shared" si="70"/>
        <v>0.70171047142261156</v>
      </c>
    </row>
    <row r="143" spans="1:21" s="4" customFormat="1" x14ac:dyDescent="0.2">
      <c r="A143" s="8" t="s">
        <v>455</v>
      </c>
      <c r="B143" s="2" t="s">
        <v>244</v>
      </c>
      <c r="C143" s="8" t="s">
        <v>261</v>
      </c>
      <c r="D143" s="10"/>
      <c r="E143" s="106">
        <v>0.95</v>
      </c>
      <c r="F143" s="8"/>
      <c r="G143" s="46" t="s">
        <v>262</v>
      </c>
      <c r="H143" s="108">
        <f t="shared" ref="H143:S143" si="71">H38/(H38+H41)</f>
        <v>5.9663245373829152E-2</v>
      </c>
      <c r="I143" s="108">
        <f t="shared" si="71"/>
        <v>0.1530374150322342</v>
      </c>
      <c r="J143" s="108">
        <f t="shared" si="71"/>
        <v>0.19338748863386729</v>
      </c>
      <c r="K143" s="108">
        <f t="shared" si="71"/>
        <v>7.0653625454601077E-2</v>
      </c>
      <c r="L143" s="108">
        <f t="shared" si="71"/>
        <v>3.3458343703390379E-3</v>
      </c>
      <c r="M143" s="108">
        <f t="shared" si="71"/>
        <v>0</v>
      </c>
      <c r="N143" s="108">
        <f t="shared" si="71"/>
        <v>0</v>
      </c>
      <c r="O143" s="108">
        <f t="shared" si="71"/>
        <v>0</v>
      </c>
      <c r="P143" s="108">
        <f t="shared" si="71"/>
        <v>0</v>
      </c>
      <c r="Q143" s="108">
        <f t="shared" si="71"/>
        <v>0</v>
      </c>
      <c r="R143" s="108">
        <f t="shared" si="71"/>
        <v>0</v>
      </c>
      <c r="S143" s="108">
        <f t="shared" si="71"/>
        <v>0</v>
      </c>
    </row>
    <row r="144" spans="1:21" s="4" customFormat="1" x14ac:dyDescent="0.2">
      <c r="A144" s="8"/>
      <c r="B144" s="2"/>
      <c r="C144" s="8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</row>
    <row r="145" spans="1:19" s="4" customFormat="1" x14ac:dyDescent="0.2">
      <c r="A145" s="40"/>
      <c r="B145" s="2"/>
      <c r="C145" s="119"/>
      <c r="D145" s="41"/>
      <c r="E145" s="42"/>
      <c r="F145" s="37"/>
      <c r="G145" s="94"/>
      <c r="H145" s="87">
        <f>H140</f>
        <v>2011</v>
      </c>
      <c r="I145" s="87">
        <f t="shared" ref="I145:S145" si="72">I140</f>
        <v>2012</v>
      </c>
      <c r="J145" s="87">
        <f t="shared" si="72"/>
        <v>2013</v>
      </c>
      <c r="K145" s="87">
        <f t="shared" si="72"/>
        <v>2014</v>
      </c>
      <c r="L145" s="87">
        <f t="shared" si="72"/>
        <v>2015</v>
      </c>
      <c r="M145" s="87">
        <f t="shared" si="72"/>
        <v>2016</v>
      </c>
      <c r="N145" s="87">
        <f t="shared" si="72"/>
        <v>2017</v>
      </c>
      <c r="O145" s="87">
        <f t="shared" si="72"/>
        <v>2018</v>
      </c>
      <c r="P145" s="87">
        <f t="shared" si="72"/>
        <v>2019</v>
      </c>
      <c r="Q145" s="87">
        <f t="shared" si="72"/>
        <v>2020</v>
      </c>
      <c r="R145" s="87">
        <f t="shared" si="72"/>
        <v>2021</v>
      </c>
      <c r="S145" s="87">
        <f t="shared" si="72"/>
        <v>2022</v>
      </c>
    </row>
    <row r="146" spans="1:19" s="4" customFormat="1" x14ac:dyDescent="0.2">
      <c r="A146" s="4" t="s">
        <v>456</v>
      </c>
      <c r="B146" s="2" t="s">
        <v>247</v>
      </c>
      <c r="C146" s="8" t="s">
        <v>264</v>
      </c>
      <c r="D146" s="120">
        <v>0.5</v>
      </c>
      <c r="E146" s="121" t="s">
        <v>265</v>
      </c>
      <c r="G146" s="103" t="s">
        <v>266</v>
      </c>
      <c r="H146" s="111">
        <f t="shared" ref="H146:S146" si="73">IF(H141&lt;$D$146,$E$146,H35/H4)</f>
        <v>0.15661477212281405</v>
      </c>
      <c r="I146" s="111">
        <f t="shared" si="73"/>
        <v>0.15140973145382389</v>
      </c>
      <c r="J146" s="111">
        <f t="shared" si="73"/>
        <v>0.13662996457874937</v>
      </c>
      <c r="K146" s="111" t="str">
        <f t="shared" si="73"/>
        <v>N/A</v>
      </c>
      <c r="L146" s="111" t="str">
        <f t="shared" si="73"/>
        <v>N/A</v>
      </c>
      <c r="M146" s="111" t="str">
        <f t="shared" si="73"/>
        <v>N/A</v>
      </c>
      <c r="N146" s="111" t="str">
        <f t="shared" si="73"/>
        <v>N/A</v>
      </c>
      <c r="O146" s="111" t="str">
        <f t="shared" si="73"/>
        <v>N/A</v>
      </c>
      <c r="P146" s="111" t="str">
        <f t="shared" si="73"/>
        <v>N/A</v>
      </c>
      <c r="Q146" s="111" t="str">
        <f t="shared" si="73"/>
        <v>N/A</v>
      </c>
      <c r="R146" s="111" t="str">
        <f t="shared" si="73"/>
        <v>N/A</v>
      </c>
      <c r="S146" s="111" t="str">
        <f t="shared" si="73"/>
        <v>N/A</v>
      </c>
    </row>
    <row r="147" spans="1:19" s="4" customFormat="1" x14ac:dyDescent="0.2">
      <c r="A147" s="4" t="s">
        <v>457</v>
      </c>
      <c r="B147" s="2" t="s">
        <v>250</v>
      </c>
      <c r="C147" s="8" t="s">
        <v>267</v>
      </c>
      <c r="D147" s="120">
        <v>0.5</v>
      </c>
      <c r="E147" s="121" t="s">
        <v>265</v>
      </c>
      <c r="G147" s="110" t="s">
        <v>268</v>
      </c>
      <c r="H147" s="111">
        <f t="shared" ref="H147:S147" si="74">IF(H141&lt;$D$147,$E$147,H35/H15)</f>
        <v>0.1843099267982444</v>
      </c>
      <c r="I147" s="111">
        <f t="shared" si="74"/>
        <v>0.17728827709766889</v>
      </c>
      <c r="J147" s="111">
        <f t="shared" si="74"/>
        <v>0.1574096537190694</v>
      </c>
      <c r="K147" s="111" t="str">
        <f t="shared" si="74"/>
        <v>N/A</v>
      </c>
      <c r="L147" s="111" t="str">
        <f t="shared" si="74"/>
        <v>N/A</v>
      </c>
      <c r="M147" s="111" t="str">
        <f t="shared" si="74"/>
        <v>N/A</v>
      </c>
      <c r="N147" s="111" t="str">
        <f t="shared" si="74"/>
        <v>N/A</v>
      </c>
      <c r="O147" s="111" t="str">
        <f t="shared" si="74"/>
        <v>N/A</v>
      </c>
      <c r="P147" s="111" t="str">
        <f t="shared" si="74"/>
        <v>N/A</v>
      </c>
      <c r="Q147" s="111" t="str">
        <f t="shared" si="74"/>
        <v>N/A</v>
      </c>
      <c r="R147" s="111" t="str">
        <f t="shared" si="74"/>
        <v>N/A</v>
      </c>
      <c r="S147" s="111" t="str">
        <f t="shared" si="74"/>
        <v>N/A</v>
      </c>
    </row>
    <row r="148" spans="1:19" s="4" customFormat="1" x14ac:dyDescent="0.2">
      <c r="A148" s="4" t="s">
        <v>458</v>
      </c>
      <c r="B148" s="2" t="s">
        <v>254</v>
      </c>
      <c r="C148" s="8" t="s">
        <v>201</v>
      </c>
      <c r="D148" s="120">
        <v>0.5</v>
      </c>
      <c r="E148" s="121" t="s">
        <v>265</v>
      </c>
      <c r="G148" s="103" t="s">
        <v>269</v>
      </c>
      <c r="H148" s="118">
        <f t="shared" ref="H148:S148" si="75">IF(H141&lt;$D$148,$E$148,H46/H33)</f>
        <v>-0.62652862358968975</v>
      </c>
      <c r="I148" s="118">
        <f t="shared" si="75"/>
        <v>-0.56594009881864982</v>
      </c>
      <c r="J148" s="118">
        <f t="shared" si="75"/>
        <v>-0.6192214995063593</v>
      </c>
      <c r="K148" s="118" t="str">
        <f t="shared" si="75"/>
        <v>N/A</v>
      </c>
      <c r="L148" s="118" t="str">
        <f t="shared" si="75"/>
        <v>N/A</v>
      </c>
      <c r="M148" s="118" t="str">
        <f t="shared" si="75"/>
        <v>N/A</v>
      </c>
      <c r="N148" s="118" t="str">
        <f t="shared" si="75"/>
        <v>N/A</v>
      </c>
      <c r="O148" s="118" t="str">
        <f t="shared" si="75"/>
        <v>N/A</v>
      </c>
      <c r="P148" s="118" t="str">
        <f t="shared" si="75"/>
        <v>N/A</v>
      </c>
      <c r="Q148" s="118" t="str">
        <f t="shared" si="75"/>
        <v>N/A</v>
      </c>
      <c r="R148" s="118" t="str">
        <f t="shared" si="75"/>
        <v>N/A</v>
      </c>
      <c r="S148" s="118" t="str">
        <f t="shared" si="75"/>
        <v>N/A</v>
      </c>
    </row>
    <row r="149" spans="1:19" s="4" customFormat="1" x14ac:dyDescent="0.2">
      <c r="A149" s="4" t="s">
        <v>459</v>
      </c>
      <c r="B149" s="2" t="s">
        <v>257</v>
      </c>
      <c r="C149" s="8" t="s">
        <v>270</v>
      </c>
      <c r="D149" s="120">
        <v>0.5</v>
      </c>
      <c r="E149" s="121" t="s">
        <v>265</v>
      </c>
      <c r="G149" s="110" t="s">
        <v>271</v>
      </c>
      <c r="H149" s="118">
        <f t="shared" ref="H149:S149" si="76">IF(H141&lt;$D$148,$E$149,H51/H33)</f>
        <v>-0.62652862358968975</v>
      </c>
      <c r="I149" s="118">
        <f t="shared" si="76"/>
        <v>-0.56594009881864982</v>
      </c>
      <c r="J149" s="118">
        <f t="shared" si="76"/>
        <v>-0.6192214995063593</v>
      </c>
      <c r="K149" s="118" t="str">
        <f t="shared" si="76"/>
        <v>N/A</v>
      </c>
      <c r="L149" s="118" t="str">
        <f t="shared" si="76"/>
        <v>N/A</v>
      </c>
      <c r="M149" s="118" t="str">
        <f t="shared" si="76"/>
        <v>N/A</v>
      </c>
      <c r="N149" s="118" t="str">
        <f t="shared" si="76"/>
        <v>N/A</v>
      </c>
      <c r="O149" s="118" t="str">
        <f t="shared" si="76"/>
        <v>N/A</v>
      </c>
      <c r="P149" s="118" t="str">
        <f t="shared" si="76"/>
        <v>N/A</v>
      </c>
      <c r="Q149" s="118" t="str">
        <f t="shared" si="76"/>
        <v>N/A</v>
      </c>
      <c r="R149" s="118" t="str">
        <f t="shared" si="76"/>
        <v>N/A</v>
      </c>
      <c r="S149" s="118" t="str">
        <f t="shared" si="76"/>
        <v>N/A</v>
      </c>
    </row>
    <row r="150" spans="1:19" s="4" customFormat="1" x14ac:dyDescent="0.2">
      <c r="A150" s="4" t="s">
        <v>460</v>
      </c>
      <c r="B150" s="2" t="s">
        <v>260</v>
      </c>
      <c r="C150" s="8" t="s">
        <v>272</v>
      </c>
      <c r="D150" s="120">
        <v>0.5</v>
      </c>
      <c r="E150" s="121" t="s">
        <v>265</v>
      </c>
      <c r="G150" s="110" t="s">
        <v>273</v>
      </c>
      <c r="H150" s="118">
        <f t="shared" ref="H150:S150" si="77">IF(H141&lt;$D$150,$E$150,H51/H4)</f>
        <v>-0.13938830608824088</v>
      </c>
      <c r="I150" s="118">
        <f t="shared" si="77"/>
        <v>-0.15087867782644221</v>
      </c>
      <c r="J150" s="118">
        <f t="shared" si="77"/>
        <v>-0.1430708989190648</v>
      </c>
      <c r="K150" s="118" t="str">
        <f t="shared" si="77"/>
        <v>N/A</v>
      </c>
      <c r="L150" s="118" t="str">
        <f t="shared" si="77"/>
        <v>N/A</v>
      </c>
      <c r="M150" s="118" t="str">
        <f t="shared" si="77"/>
        <v>N/A</v>
      </c>
      <c r="N150" s="118" t="str">
        <f t="shared" si="77"/>
        <v>N/A</v>
      </c>
      <c r="O150" s="118" t="str">
        <f t="shared" si="77"/>
        <v>N/A</v>
      </c>
      <c r="P150" s="118" t="str">
        <f t="shared" si="77"/>
        <v>N/A</v>
      </c>
      <c r="Q150" s="118" t="str">
        <f t="shared" si="77"/>
        <v>N/A</v>
      </c>
      <c r="R150" s="118" t="str">
        <f t="shared" si="77"/>
        <v>N/A</v>
      </c>
      <c r="S150" s="118" t="str">
        <f t="shared" si="77"/>
        <v>N/A</v>
      </c>
    </row>
    <row r="151" spans="1:19" s="4" customFormat="1" x14ac:dyDescent="0.2">
      <c r="A151" s="4" t="s">
        <v>461</v>
      </c>
      <c r="B151" s="2" t="s">
        <v>263</v>
      </c>
      <c r="C151" s="8" t="s">
        <v>274</v>
      </c>
      <c r="D151" s="120">
        <v>0.5</v>
      </c>
      <c r="E151" s="121" t="s">
        <v>265</v>
      </c>
      <c r="G151" s="46" t="s">
        <v>275</v>
      </c>
      <c r="H151" s="118">
        <f>IF(H141&lt;$D$151,$E$151,H51/H27)</f>
        <v>-0.14942924933530652</v>
      </c>
      <c r="I151" s="118">
        <f>IF(I141&lt;$D$151,$E$151,I51/((H27+I27)/2))</f>
        <v>-0.16273902760602588</v>
      </c>
      <c r="J151" s="118">
        <f>IF(J141&lt;$D$151,$E$151,J51/((I27+J27)/2))</f>
        <v>-0.17356487056150455</v>
      </c>
      <c r="K151" s="118" t="str">
        <f>IF(K141&lt;$D$151,$E$151,K51/((J27+K27)/2))</f>
        <v>N/A</v>
      </c>
      <c r="L151" s="118" t="str">
        <f>IF(L141&lt;$D$151,$E$151,L51/((K27+L27)/2))</f>
        <v>N/A</v>
      </c>
      <c r="M151" s="118" t="str">
        <f>IF(M141&lt;$D$151,$E$151,M51/((L27+M27)/2))</f>
        <v>N/A</v>
      </c>
      <c r="N151" s="118" t="str">
        <f t="shared" ref="N151:S151" si="78">IF(N141&lt;$D$151,$E$151,N51/((M27+N27)/2))</f>
        <v>N/A</v>
      </c>
      <c r="O151" s="118" t="str">
        <f t="shared" si="78"/>
        <v>N/A</v>
      </c>
      <c r="P151" s="118" t="str">
        <f t="shared" si="78"/>
        <v>N/A</v>
      </c>
      <c r="Q151" s="118" t="str">
        <f t="shared" si="78"/>
        <v>N/A</v>
      </c>
      <c r="R151" s="118" t="str">
        <f t="shared" si="78"/>
        <v>N/A</v>
      </c>
      <c r="S151" s="118" t="str">
        <f t="shared" si="78"/>
        <v>N/A</v>
      </c>
    </row>
    <row r="152" spans="1:19" s="4" customFormat="1" x14ac:dyDescent="0.2">
      <c r="A152" s="8"/>
      <c r="B152" s="2"/>
      <c r="C152" s="119"/>
      <c r="D152" s="41"/>
      <c r="E152" s="42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</row>
    <row r="153" spans="1:19" s="4" customFormat="1" x14ac:dyDescent="0.2">
      <c r="A153" s="8"/>
      <c r="B153" s="2"/>
      <c r="C153" s="10"/>
      <c r="D153" s="10"/>
      <c r="E153" s="9"/>
      <c r="F153" s="8"/>
      <c r="G153" s="94" t="s">
        <v>462</v>
      </c>
      <c r="H153" s="87">
        <f>H145</f>
        <v>2011</v>
      </c>
      <c r="I153" s="87">
        <f t="shared" ref="I153:S153" si="79">I145</f>
        <v>2012</v>
      </c>
      <c r="J153" s="87">
        <f t="shared" si="79"/>
        <v>2013</v>
      </c>
      <c r="K153" s="87">
        <f t="shared" si="79"/>
        <v>2014</v>
      </c>
      <c r="L153" s="87">
        <f t="shared" si="79"/>
        <v>2015</v>
      </c>
      <c r="M153" s="87">
        <f t="shared" si="79"/>
        <v>2016</v>
      </c>
      <c r="N153" s="87">
        <f t="shared" si="79"/>
        <v>2017</v>
      </c>
      <c r="O153" s="87">
        <f t="shared" si="79"/>
        <v>2018</v>
      </c>
      <c r="P153" s="87">
        <f t="shared" si="79"/>
        <v>2019</v>
      </c>
      <c r="Q153" s="87">
        <f t="shared" si="79"/>
        <v>2020</v>
      </c>
      <c r="R153" s="87">
        <f t="shared" si="79"/>
        <v>2021</v>
      </c>
      <c r="S153" s="87">
        <f t="shared" si="79"/>
        <v>2022</v>
      </c>
    </row>
    <row r="154" spans="1:19" s="4" customFormat="1" x14ac:dyDescent="0.2">
      <c r="A154" s="8"/>
      <c r="B154" s="2"/>
      <c r="C154" s="10"/>
      <c r="D154" s="10"/>
      <c r="E154" s="9"/>
      <c r="F154" s="8"/>
      <c r="G154" s="95" t="s">
        <v>276</v>
      </c>
      <c r="H154" s="96">
        <f t="shared" ref="H154:S154" si="80">H33</f>
        <v>1217.1079999999999</v>
      </c>
      <c r="I154" s="96">
        <f t="shared" si="80"/>
        <v>1475.4299999999998</v>
      </c>
      <c r="J154" s="96">
        <f t="shared" si="80"/>
        <v>1515.2719999999999</v>
      </c>
      <c r="K154" s="96">
        <f t="shared" si="80"/>
        <v>3683.7730000000001</v>
      </c>
      <c r="L154" s="96">
        <f>L33</f>
        <v>2742.181</v>
      </c>
      <c r="M154" s="96">
        <f t="shared" si="80"/>
        <v>3343.8629999999998</v>
      </c>
      <c r="N154" s="96">
        <f t="shared" si="80"/>
        <v>3075</v>
      </c>
      <c r="O154" s="96">
        <f t="shared" si="80"/>
        <v>3150</v>
      </c>
      <c r="P154" s="96">
        <f t="shared" si="80"/>
        <v>4417</v>
      </c>
      <c r="Q154" s="96">
        <f t="shared" si="80"/>
        <v>4558</v>
      </c>
      <c r="R154" s="96">
        <f t="shared" si="80"/>
        <v>4678</v>
      </c>
      <c r="S154" s="96">
        <f t="shared" si="80"/>
        <v>4794</v>
      </c>
    </row>
    <row r="155" spans="1:19" s="4" customFormat="1" x14ac:dyDescent="0.2">
      <c r="A155" s="8"/>
      <c r="B155" s="2"/>
      <c r="C155" s="10"/>
      <c r="D155" s="10"/>
      <c r="E155" s="9"/>
      <c r="F155" s="8"/>
      <c r="G155" s="95" t="s">
        <v>277</v>
      </c>
      <c r="H155" s="96">
        <f t="shared" ref="H155:S156" si="81">H35</f>
        <v>856.79399999999998</v>
      </c>
      <c r="I155" s="96">
        <f t="shared" si="81"/>
        <v>837.94399999999996</v>
      </c>
      <c r="J155" s="96">
        <f t="shared" si="81"/>
        <v>896.048</v>
      </c>
      <c r="K155" s="96">
        <f t="shared" si="81"/>
        <v>921.20899999999995</v>
      </c>
      <c r="L155" s="96">
        <f t="shared" si="81"/>
        <v>961.14</v>
      </c>
      <c r="M155" s="96">
        <f t="shared" si="81"/>
        <v>1147.528</v>
      </c>
      <c r="N155" s="96">
        <f t="shared" si="81"/>
        <v>1231</v>
      </c>
      <c r="O155" s="96">
        <f t="shared" si="81"/>
        <v>1178</v>
      </c>
      <c r="P155" s="96">
        <f t="shared" si="81"/>
        <v>1235</v>
      </c>
      <c r="Q155" s="96">
        <f t="shared" si="81"/>
        <v>1297</v>
      </c>
      <c r="R155" s="96">
        <f t="shared" si="81"/>
        <v>1361</v>
      </c>
      <c r="S155" s="96">
        <f t="shared" si="81"/>
        <v>1430</v>
      </c>
    </row>
    <row r="156" spans="1:19" s="4" customFormat="1" x14ac:dyDescent="0.2">
      <c r="A156" s="8"/>
      <c r="B156" s="2"/>
      <c r="C156" s="10"/>
      <c r="D156" s="10"/>
      <c r="E156" s="9"/>
      <c r="F156" s="8"/>
      <c r="G156" s="95" t="s">
        <v>278</v>
      </c>
      <c r="H156" s="96">
        <f t="shared" si="81"/>
        <v>360.31400000000002</v>
      </c>
      <c r="I156" s="96">
        <f t="shared" si="81"/>
        <v>637.48599999999999</v>
      </c>
      <c r="J156" s="96">
        <f t="shared" si="81"/>
        <v>619.22400000000005</v>
      </c>
      <c r="K156" s="96">
        <f t="shared" si="81"/>
        <v>2749.2550000000001</v>
      </c>
      <c r="L156" s="96">
        <f t="shared" si="81"/>
        <v>1780.65</v>
      </c>
      <c r="M156" s="96">
        <f t="shared" si="81"/>
        <v>2196.0880000000002</v>
      </c>
      <c r="N156" s="96">
        <f t="shared" si="81"/>
        <v>1843</v>
      </c>
      <c r="O156" s="96">
        <f t="shared" si="81"/>
        <v>1949</v>
      </c>
      <c r="P156" s="96">
        <f t="shared" si="81"/>
        <v>3182</v>
      </c>
      <c r="Q156" s="96">
        <f t="shared" si="81"/>
        <v>3261</v>
      </c>
      <c r="R156" s="96">
        <f t="shared" si="81"/>
        <v>3317</v>
      </c>
      <c r="S156" s="96">
        <f t="shared" si="81"/>
        <v>3364</v>
      </c>
    </row>
    <row r="157" spans="1:19" s="4" customFormat="1" x14ac:dyDescent="0.2">
      <c r="A157" s="8"/>
      <c r="B157" s="2"/>
      <c r="C157" s="10"/>
      <c r="D157" s="10"/>
      <c r="E157" s="9"/>
      <c r="F157" s="8"/>
      <c r="G157" s="95" t="s">
        <v>279</v>
      </c>
      <c r="H157" s="96">
        <f t="shared" ref="H157:S157" si="82">H38+H41</f>
        <v>-1979.6610000000001</v>
      </c>
      <c r="I157" s="96">
        <f t="shared" si="82"/>
        <v>-2310.4349999999999</v>
      </c>
      <c r="J157" s="96">
        <f t="shared" si="82"/>
        <v>-2453.5609999999997</v>
      </c>
      <c r="K157" s="96">
        <f t="shared" si="82"/>
        <v>-2549.7629999999999</v>
      </c>
      <c r="L157" s="96">
        <f t="shared" si="82"/>
        <v>-2808.567</v>
      </c>
      <c r="M157" s="96">
        <f t="shared" si="82"/>
        <v>-2920.5</v>
      </c>
      <c r="N157" s="96">
        <f t="shared" si="82"/>
        <v>-3150</v>
      </c>
      <c r="O157" s="96">
        <f t="shared" si="82"/>
        <v>-3339</v>
      </c>
      <c r="P157" s="96">
        <f t="shared" si="82"/>
        <v>-3586</v>
      </c>
      <c r="Q157" s="96">
        <f t="shared" si="82"/>
        <v>-3843</v>
      </c>
      <c r="R157" s="96">
        <f t="shared" si="82"/>
        <v>-4148</v>
      </c>
      <c r="S157" s="96">
        <f t="shared" si="82"/>
        <v>-4439</v>
      </c>
    </row>
    <row r="158" spans="1:19" s="4" customFormat="1" x14ac:dyDescent="0.2">
      <c r="A158" s="8"/>
      <c r="B158" s="2"/>
      <c r="C158" s="10"/>
      <c r="D158" s="10"/>
      <c r="E158" s="9"/>
      <c r="F158" s="8"/>
      <c r="G158" s="95" t="s">
        <v>280</v>
      </c>
      <c r="H158" s="96">
        <f t="shared" ref="H158:S158" si="83">H41</f>
        <v>-1861.548</v>
      </c>
      <c r="I158" s="96">
        <f t="shared" si="83"/>
        <v>-1956.8520000000001</v>
      </c>
      <c r="J158" s="96">
        <f t="shared" si="83"/>
        <v>-1979.0729999999999</v>
      </c>
      <c r="K158" s="96">
        <f t="shared" si="83"/>
        <v>-2369.6129999999998</v>
      </c>
      <c r="L158" s="96">
        <f t="shared" si="83"/>
        <v>-2799.17</v>
      </c>
      <c r="M158" s="96">
        <f t="shared" si="83"/>
        <v>-2920.5</v>
      </c>
      <c r="N158" s="96">
        <f t="shared" si="83"/>
        <v>-3150</v>
      </c>
      <c r="O158" s="96">
        <f t="shared" si="83"/>
        <v>-3339</v>
      </c>
      <c r="P158" s="96">
        <f t="shared" si="83"/>
        <v>-3586</v>
      </c>
      <c r="Q158" s="96">
        <f t="shared" si="83"/>
        <v>-3843</v>
      </c>
      <c r="R158" s="96">
        <f t="shared" si="83"/>
        <v>-4148</v>
      </c>
      <c r="S158" s="96">
        <f t="shared" si="83"/>
        <v>-4439</v>
      </c>
    </row>
    <row r="159" spans="1:19" s="4" customFormat="1" x14ac:dyDescent="0.2">
      <c r="A159" s="8"/>
      <c r="B159" s="2"/>
      <c r="C159" s="10"/>
      <c r="D159" s="10"/>
      <c r="E159" s="9"/>
      <c r="F159" s="8"/>
      <c r="G159" s="95" t="s">
        <v>281</v>
      </c>
      <c r="H159" s="96">
        <f t="shared" ref="H159:S159" si="84">H38</f>
        <v>-118.113</v>
      </c>
      <c r="I159" s="96">
        <f t="shared" si="84"/>
        <v>-353.58300000000003</v>
      </c>
      <c r="J159" s="96">
        <f t="shared" si="84"/>
        <v>-474.488</v>
      </c>
      <c r="K159" s="96">
        <f t="shared" si="84"/>
        <v>-180.15</v>
      </c>
      <c r="L159" s="96">
        <f t="shared" si="84"/>
        <v>-9.3970000000000002</v>
      </c>
      <c r="M159" s="96">
        <f t="shared" si="84"/>
        <v>0</v>
      </c>
      <c r="N159" s="96">
        <f t="shared" si="84"/>
        <v>0</v>
      </c>
      <c r="O159" s="96">
        <f t="shared" si="84"/>
        <v>0</v>
      </c>
      <c r="P159" s="96">
        <f t="shared" si="84"/>
        <v>0</v>
      </c>
      <c r="Q159" s="96">
        <f t="shared" si="84"/>
        <v>0</v>
      </c>
      <c r="R159" s="96">
        <f t="shared" si="84"/>
        <v>0</v>
      </c>
      <c r="S159" s="96">
        <f t="shared" si="84"/>
        <v>0</v>
      </c>
    </row>
    <row r="160" spans="1:19" s="4" customFormat="1" x14ac:dyDescent="0.2">
      <c r="A160" s="8"/>
      <c r="B160" s="2"/>
      <c r="C160" s="10"/>
      <c r="D160" s="10"/>
      <c r="E160" s="9"/>
      <c r="F160" s="8"/>
      <c r="G160" s="95" t="s">
        <v>282</v>
      </c>
      <c r="H160" s="96">
        <f t="shared" ref="H160:S160" si="85">H46</f>
        <v>-762.55300000000011</v>
      </c>
      <c r="I160" s="96">
        <f t="shared" si="85"/>
        <v>-835.00500000000034</v>
      </c>
      <c r="J160" s="96">
        <f t="shared" si="85"/>
        <v>-938.28899999999999</v>
      </c>
      <c r="K160" s="96">
        <f t="shared" si="85"/>
        <v>1134.0100000000002</v>
      </c>
      <c r="L160" s="96">
        <f t="shared" si="85"/>
        <v>-66.385999999999967</v>
      </c>
      <c r="M160" s="96">
        <f t="shared" si="85"/>
        <v>423.36299999999983</v>
      </c>
      <c r="N160" s="96">
        <f t="shared" si="85"/>
        <v>-75</v>
      </c>
      <c r="O160" s="96">
        <f t="shared" si="85"/>
        <v>-189</v>
      </c>
      <c r="P160" s="96">
        <f t="shared" si="85"/>
        <v>831</v>
      </c>
      <c r="Q160" s="96">
        <f t="shared" si="85"/>
        <v>715</v>
      </c>
      <c r="R160" s="96">
        <f t="shared" si="85"/>
        <v>530</v>
      </c>
      <c r="S160" s="96">
        <f t="shared" si="85"/>
        <v>355</v>
      </c>
    </row>
    <row r="161" spans="1:19" s="4" customFormat="1" x14ac:dyDescent="0.2">
      <c r="A161" s="8"/>
      <c r="B161" s="2"/>
      <c r="C161" s="10"/>
      <c r="D161" s="10"/>
      <c r="E161" s="9"/>
      <c r="F161" s="8"/>
      <c r="G161" s="95" t="s">
        <v>283</v>
      </c>
      <c r="H161" s="96">
        <f t="shared" ref="H161:S161" si="86">H51</f>
        <v>-762.55300000000011</v>
      </c>
      <c r="I161" s="96">
        <f t="shared" si="86"/>
        <v>-835.00500000000034</v>
      </c>
      <c r="J161" s="96">
        <f t="shared" si="86"/>
        <v>-938.28899999999999</v>
      </c>
      <c r="K161" s="96">
        <f t="shared" si="86"/>
        <v>1133.1090000000002</v>
      </c>
      <c r="L161" s="96">
        <f t="shared" si="86"/>
        <v>-66.519999999999968</v>
      </c>
      <c r="M161" s="96">
        <f t="shared" si="86"/>
        <v>424.64799999999985</v>
      </c>
      <c r="N161" s="96">
        <f t="shared" si="86"/>
        <v>-75</v>
      </c>
      <c r="O161" s="96">
        <f t="shared" si="86"/>
        <v>-189</v>
      </c>
      <c r="P161" s="96">
        <f t="shared" si="86"/>
        <v>830</v>
      </c>
      <c r="Q161" s="96">
        <f t="shared" si="86"/>
        <v>715</v>
      </c>
      <c r="R161" s="96">
        <f t="shared" si="86"/>
        <v>530</v>
      </c>
      <c r="S161" s="96">
        <f t="shared" si="86"/>
        <v>355</v>
      </c>
    </row>
    <row r="162" spans="1:19" s="4" customFormat="1" x14ac:dyDescent="0.2">
      <c r="A162" s="8"/>
      <c r="B162" s="2"/>
      <c r="C162" s="10"/>
      <c r="D162" s="10"/>
      <c r="E162" s="9"/>
      <c r="F162" s="8"/>
      <c r="G162" s="95" t="s">
        <v>284</v>
      </c>
      <c r="H162" s="96">
        <f t="shared" ref="H162:S163" si="87">H4</f>
        <v>5470.7099999999991</v>
      </c>
      <c r="I162" s="96">
        <f t="shared" si="87"/>
        <v>5534.2809999999999</v>
      </c>
      <c r="J162" s="96">
        <f t="shared" si="87"/>
        <v>6558.21</v>
      </c>
      <c r="K162" s="96">
        <f t="shared" si="87"/>
        <v>10148.743</v>
      </c>
      <c r="L162" s="96">
        <f t="shared" si="87"/>
        <v>10111.896000000001</v>
      </c>
      <c r="M162" s="96">
        <f t="shared" si="87"/>
        <v>10570.852999999999</v>
      </c>
      <c r="N162" s="96">
        <f t="shared" si="87"/>
        <v>10403</v>
      </c>
      <c r="O162" s="96">
        <f t="shared" si="87"/>
        <v>10105</v>
      </c>
      <c r="P162" s="96">
        <f t="shared" si="87"/>
        <v>10962</v>
      </c>
      <c r="Q162" s="96">
        <f t="shared" si="87"/>
        <v>11624</v>
      </c>
      <c r="R162" s="96">
        <f t="shared" si="87"/>
        <v>12149</v>
      </c>
      <c r="S162" s="96">
        <f t="shared" si="87"/>
        <v>12512</v>
      </c>
    </row>
    <row r="163" spans="1:19" s="4" customFormat="1" x14ac:dyDescent="0.2">
      <c r="A163" s="8"/>
      <c r="B163" s="2"/>
      <c r="C163" s="10"/>
      <c r="D163" s="10"/>
      <c r="E163" s="9"/>
      <c r="F163" s="8"/>
      <c r="G163" s="95" t="s">
        <v>285</v>
      </c>
      <c r="H163" s="96">
        <f t="shared" si="87"/>
        <v>645.06100000000004</v>
      </c>
      <c r="I163" s="96">
        <f t="shared" si="87"/>
        <v>627.298</v>
      </c>
      <c r="J163" s="96">
        <f t="shared" si="87"/>
        <v>689.21699999999998</v>
      </c>
      <c r="K163" s="96">
        <f t="shared" si="87"/>
        <v>916.06399999999996</v>
      </c>
      <c r="L163" s="96">
        <f t="shared" si="87"/>
        <v>854.40599999999995</v>
      </c>
      <c r="M163" s="96">
        <f t="shared" si="87"/>
        <v>1247.0430000000001</v>
      </c>
      <c r="N163" s="96">
        <f t="shared" si="87"/>
        <v>1135</v>
      </c>
      <c r="O163" s="96">
        <f t="shared" si="87"/>
        <v>675</v>
      </c>
      <c r="P163" s="96">
        <f t="shared" si="87"/>
        <v>542</v>
      </c>
      <c r="Q163" s="96">
        <f t="shared" si="87"/>
        <v>490</v>
      </c>
      <c r="R163" s="96">
        <f t="shared" si="87"/>
        <v>485</v>
      </c>
      <c r="S163" s="96">
        <f t="shared" si="87"/>
        <v>493</v>
      </c>
    </row>
    <row r="164" spans="1:19" s="4" customFormat="1" x14ac:dyDescent="0.2">
      <c r="A164" s="8"/>
      <c r="B164" s="2"/>
      <c r="C164" s="10"/>
      <c r="D164" s="10"/>
      <c r="E164" s="9"/>
      <c r="F164" s="8"/>
      <c r="G164" s="95" t="s">
        <v>286</v>
      </c>
      <c r="H164" s="96">
        <f t="shared" ref="H164:S164" si="88">H10</f>
        <v>4825.6489999999994</v>
      </c>
      <c r="I164" s="96">
        <f t="shared" si="88"/>
        <v>4906.9830000000002</v>
      </c>
      <c r="J164" s="96">
        <f t="shared" si="88"/>
        <v>5868.9930000000004</v>
      </c>
      <c r="K164" s="96">
        <f t="shared" si="88"/>
        <v>9232.6790000000001</v>
      </c>
      <c r="L164" s="96">
        <f t="shared" si="88"/>
        <v>9257.49</v>
      </c>
      <c r="M164" s="96">
        <f t="shared" si="88"/>
        <v>9323.81</v>
      </c>
      <c r="N164" s="96">
        <f t="shared" si="88"/>
        <v>9268</v>
      </c>
      <c r="O164" s="96">
        <f t="shared" si="88"/>
        <v>9430</v>
      </c>
      <c r="P164" s="96">
        <f t="shared" si="88"/>
        <v>10420</v>
      </c>
      <c r="Q164" s="96">
        <f t="shared" si="88"/>
        <v>11134</v>
      </c>
      <c r="R164" s="96">
        <f t="shared" si="88"/>
        <v>11664</v>
      </c>
      <c r="S164" s="96">
        <f t="shared" si="88"/>
        <v>12019</v>
      </c>
    </row>
    <row r="165" spans="1:19" s="4" customFormat="1" x14ac:dyDescent="0.2">
      <c r="A165" s="8"/>
      <c r="B165" s="2"/>
      <c r="C165" s="10"/>
      <c r="D165" s="10"/>
      <c r="E165" s="9"/>
      <c r="F165" s="8"/>
      <c r="G165" s="95" t="s">
        <v>287</v>
      </c>
      <c r="H165" s="96">
        <f t="shared" ref="H165:S166" si="89">H19</f>
        <v>367.60700000000003</v>
      </c>
      <c r="I165" s="96">
        <f t="shared" si="89"/>
        <v>375.49400000000003</v>
      </c>
      <c r="J165" s="96">
        <f t="shared" si="89"/>
        <v>905.02700000000004</v>
      </c>
      <c r="K165" s="96">
        <f t="shared" si="89"/>
        <v>469.47300000000001</v>
      </c>
      <c r="L165" s="96">
        <f t="shared" si="89"/>
        <v>499.16900000000004</v>
      </c>
      <c r="M165" s="96">
        <f t="shared" si="89"/>
        <v>533.72300000000007</v>
      </c>
      <c r="N165" s="96">
        <f t="shared" si="89"/>
        <v>441</v>
      </c>
      <c r="O165" s="96">
        <f t="shared" si="89"/>
        <v>332</v>
      </c>
      <c r="P165" s="96">
        <f t="shared" si="89"/>
        <v>359</v>
      </c>
      <c r="Q165" s="96">
        <f t="shared" si="89"/>
        <v>306</v>
      </c>
      <c r="R165" s="96">
        <f t="shared" si="89"/>
        <v>301</v>
      </c>
      <c r="S165" s="96">
        <f t="shared" si="89"/>
        <v>309</v>
      </c>
    </row>
    <row r="166" spans="1:19" s="4" customFormat="1" x14ac:dyDescent="0.2">
      <c r="A166" s="8"/>
      <c r="B166" s="2"/>
      <c r="C166" s="10"/>
      <c r="D166" s="10"/>
      <c r="E166" s="9"/>
      <c r="F166" s="8"/>
      <c r="G166" s="95" t="s">
        <v>288</v>
      </c>
      <c r="H166" s="96">
        <f t="shared" si="89"/>
        <v>367.60700000000003</v>
      </c>
      <c r="I166" s="96">
        <f t="shared" si="89"/>
        <v>375.495</v>
      </c>
      <c r="J166" s="96">
        <f t="shared" si="89"/>
        <v>905.02700000000004</v>
      </c>
      <c r="K166" s="96">
        <f t="shared" si="89"/>
        <v>442.358</v>
      </c>
      <c r="L166" s="96">
        <f t="shared" si="89"/>
        <v>476.54599999999999</v>
      </c>
      <c r="M166" s="96">
        <f t="shared" si="89"/>
        <v>515.75699999999995</v>
      </c>
      <c r="N166" s="96">
        <f t="shared" si="89"/>
        <v>441</v>
      </c>
      <c r="O166" s="96">
        <f t="shared" si="89"/>
        <v>337</v>
      </c>
      <c r="P166" s="96">
        <f t="shared" si="89"/>
        <v>359</v>
      </c>
      <c r="Q166" s="96">
        <f t="shared" si="89"/>
        <v>306</v>
      </c>
      <c r="R166" s="96">
        <f t="shared" si="89"/>
        <v>299</v>
      </c>
      <c r="S166" s="96">
        <f t="shared" si="89"/>
        <v>309</v>
      </c>
    </row>
    <row r="167" spans="1:19" s="4" customFormat="1" x14ac:dyDescent="0.2">
      <c r="A167" s="8"/>
      <c r="B167" s="2"/>
      <c r="C167" s="10"/>
      <c r="D167" s="10"/>
      <c r="E167" s="9"/>
      <c r="F167" s="8"/>
      <c r="G167" s="95" t="s">
        <v>289</v>
      </c>
      <c r="H167" s="96">
        <f t="shared" ref="H167:S167" si="90">H24</f>
        <v>0</v>
      </c>
      <c r="I167" s="96">
        <f t="shared" si="90"/>
        <v>125.985</v>
      </c>
      <c r="J167" s="96">
        <f t="shared" si="90"/>
        <v>0</v>
      </c>
      <c r="K167" s="96">
        <f t="shared" si="90"/>
        <v>31.445</v>
      </c>
      <c r="L167" s="96">
        <f t="shared" si="90"/>
        <v>27.114999999999998</v>
      </c>
      <c r="M167" s="96">
        <f t="shared" si="90"/>
        <v>22.624000000000002</v>
      </c>
      <c r="N167" s="96">
        <f t="shared" si="90"/>
        <v>18</v>
      </c>
      <c r="O167" s="96">
        <f t="shared" si="90"/>
        <v>13</v>
      </c>
      <c r="P167" s="96">
        <f t="shared" si="90"/>
        <v>0</v>
      </c>
      <c r="Q167" s="96">
        <f t="shared" si="90"/>
        <v>0</v>
      </c>
      <c r="R167" s="96">
        <f t="shared" si="90"/>
        <v>0</v>
      </c>
      <c r="S167" s="96">
        <f t="shared" si="90"/>
        <v>0</v>
      </c>
    </row>
    <row r="168" spans="1:19" s="4" customFormat="1" x14ac:dyDescent="0.2">
      <c r="A168" s="8"/>
      <c r="B168" s="2"/>
      <c r="C168" s="10"/>
      <c r="D168" s="10"/>
      <c r="E168" s="9"/>
      <c r="F168" s="8"/>
      <c r="G168" s="95" t="s">
        <v>290</v>
      </c>
      <c r="H168" s="96">
        <f t="shared" ref="H168:S168" si="91">H27</f>
        <v>5103.1040000000003</v>
      </c>
      <c r="I168" s="96">
        <f t="shared" si="91"/>
        <v>5158.7860000000001</v>
      </c>
      <c r="J168" s="96">
        <f t="shared" si="91"/>
        <v>5653.1830000000009</v>
      </c>
      <c r="K168" s="96">
        <f t="shared" si="91"/>
        <v>9679.27</v>
      </c>
      <c r="L168" s="96">
        <f t="shared" si="91"/>
        <v>9612.7260000000006</v>
      </c>
      <c r="M168" s="96">
        <f t="shared" si="91"/>
        <v>10037.130000000001</v>
      </c>
      <c r="N168" s="96">
        <f t="shared" si="91"/>
        <v>9962</v>
      </c>
      <c r="O168" s="96">
        <f t="shared" si="91"/>
        <v>9773</v>
      </c>
      <c r="P168" s="96">
        <f t="shared" si="91"/>
        <v>10603</v>
      </c>
      <c r="Q168" s="96">
        <f t="shared" si="91"/>
        <v>11318</v>
      </c>
      <c r="R168" s="96">
        <f t="shared" si="91"/>
        <v>11848</v>
      </c>
      <c r="S168" s="96">
        <f t="shared" si="91"/>
        <v>12203</v>
      </c>
    </row>
    <row r="169" spans="1:19" s="4" customFormat="1" x14ac:dyDescent="0.2">
      <c r="A169" s="8"/>
      <c r="B169" s="2"/>
      <c r="C169" s="119"/>
      <c r="D169" s="41"/>
      <c r="E169" s="42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</row>
    <row r="170" spans="1:19" s="4" customFormat="1" x14ac:dyDescent="0.2">
      <c r="A170" s="8"/>
      <c r="B170" s="2"/>
      <c r="C170" s="119" t="s">
        <v>463</v>
      </c>
      <c r="D170" s="41"/>
      <c r="E170" s="42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</row>
    <row r="171" spans="1:19" s="4" customFormat="1" x14ac:dyDescent="0.2">
      <c r="A171" s="8"/>
      <c r="B171" s="2"/>
      <c r="C171" s="119"/>
      <c r="D171" s="41"/>
      <c r="E171" s="42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</row>
    <row r="172" spans="1:19" s="40" customFormat="1" x14ac:dyDescent="0.2">
      <c r="A172" s="29"/>
      <c r="B172" s="2"/>
      <c r="C172" s="29" t="s">
        <v>464</v>
      </c>
      <c r="D172" s="99"/>
      <c r="E172" s="30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</row>
    <row r="173" spans="1:19" s="4" customFormat="1" x14ac:dyDescent="0.2">
      <c r="A173" s="8"/>
      <c r="B173" s="2"/>
      <c r="C173" s="8"/>
      <c r="D173" s="10"/>
      <c r="E173" s="9"/>
      <c r="F173" s="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</row>
    <row r="174" spans="1:19" s="4" customFormat="1" x14ac:dyDescent="0.2">
      <c r="A174" s="8"/>
      <c r="B174" s="2"/>
      <c r="C174" s="8" t="s">
        <v>291</v>
      </c>
      <c r="D174" s="10"/>
      <c r="E174" s="9"/>
      <c r="F174" s="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</row>
    <row r="175" spans="1:19" s="4" customFormat="1" x14ac:dyDescent="0.2">
      <c r="A175" s="8"/>
      <c r="B175" s="2"/>
      <c r="C175" s="8" t="s">
        <v>292</v>
      </c>
      <c r="D175" s="10"/>
      <c r="E175" s="9"/>
      <c r="F175" s="12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  <c r="R175" s="44"/>
    </row>
    <row r="176" spans="1:19" s="4" customFormat="1" x14ac:dyDescent="0.2">
      <c r="A176" s="8"/>
      <c r="B176" s="2"/>
      <c r="C176" s="8"/>
      <c r="D176" s="10"/>
      <c r="E176" s="9"/>
      <c r="F176" s="12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</row>
    <row r="177" spans="1:19" s="4" customFormat="1" x14ac:dyDescent="0.2">
      <c r="A177" s="8"/>
      <c r="B177" s="2"/>
      <c r="C177" s="8" t="s">
        <v>293</v>
      </c>
      <c r="D177" s="10"/>
      <c r="E177" s="9"/>
      <c r="F177" s="12"/>
      <c r="G177" s="28"/>
    </row>
    <row r="178" spans="1:19" s="4" customFormat="1" x14ac:dyDescent="0.2">
      <c r="A178" s="8"/>
      <c r="B178" s="2"/>
      <c r="C178" s="8" t="s">
        <v>294</v>
      </c>
      <c r="D178" s="10"/>
      <c r="E178" s="9"/>
      <c r="F178" s="12"/>
      <c r="G178" s="28"/>
    </row>
    <row r="179" spans="1:19" s="4" customFormat="1" x14ac:dyDescent="0.2">
      <c r="A179" s="8"/>
      <c r="B179" s="2"/>
      <c r="C179" s="10"/>
      <c r="D179" s="10"/>
      <c r="E179" s="9"/>
      <c r="F179" s="8"/>
      <c r="G179" s="28"/>
    </row>
    <row r="180" spans="1:19" s="4" customFormat="1" x14ac:dyDescent="0.2">
      <c r="A180" s="8"/>
      <c r="B180" s="2"/>
      <c r="C180" s="99" t="s">
        <v>483</v>
      </c>
      <c r="D180" s="10"/>
      <c r="E180" s="9"/>
      <c r="F180" s="8"/>
      <c r="G180" s="28"/>
    </row>
    <row r="181" spans="1:19" s="4" customFormat="1" x14ac:dyDescent="0.2">
      <c r="A181" s="8"/>
      <c r="B181" s="2"/>
      <c r="C181" s="99"/>
      <c r="D181" s="10"/>
      <c r="E181" s="9"/>
      <c r="F181" s="8"/>
      <c r="G181" s="28"/>
    </row>
    <row r="182" spans="1:19" s="4" customFormat="1" x14ac:dyDescent="0.2">
      <c r="A182" s="8"/>
      <c r="B182" s="2"/>
      <c r="C182" s="10" t="s">
        <v>484</v>
      </c>
      <c r="D182" s="10"/>
      <c r="E182" s="9"/>
      <c r="F182" s="8"/>
      <c r="G182" s="28"/>
    </row>
    <row r="183" spans="1:19" s="4" customFormat="1" x14ac:dyDescent="0.2">
      <c r="A183" s="8"/>
      <c r="B183" s="2"/>
      <c r="C183" s="10" t="s">
        <v>485</v>
      </c>
      <c r="D183" s="10"/>
      <c r="E183" s="9"/>
      <c r="F183" s="8"/>
      <c r="G183" s="28"/>
    </row>
    <row r="184" spans="1:19" s="4" customFormat="1" x14ac:dyDescent="0.2">
      <c r="A184" s="8"/>
      <c r="B184" s="2"/>
      <c r="C184" s="10" t="s">
        <v>486</v>
      </c>
      <c r="D184" s="10"/>
      <c r="E184" s="9"/>
      <c r="F184" s="8"/>
      <c r="G184" s="28"/>
      <c r="O184" s="4">
        <v>62</v>
      </c>
    </row>
    <row r="185" spans="1:19" s="4" customFormat="1" x14ac:dyDescent="0.2">
      <c r="A185" s="8"/>
      <c r="B185" s="2"/>
      <c r="C185" s="10"/>
      <c r="D185" s="10"/>
      <c r="E185" s="9"/>
      <c r="F185" s="8"/>
      <c r="G185" s="28"/>
    </row>
    <row r="186" spans="1:19" s="4" customFormat="1" x14ac:dyDescent="0.2">
      <c r="A186" s="8"/>
      <c r="B186" s="2"/>
      <c r="C186" s="10" t="s">
        <v>487</v>
      </c>
      <c r="D186" s="10"/>
      <c r="E186" s="9"/>
      <c r="F186" s="8"/>
      <c r="G186" s="28"/>
      <c r="P186" s="4">
        <v>780</v>
      </c>
      <c r="Q186" s="4">
        <v>600</v>
      </c>
      <c r="R186" s="4">
        <v>700</v>
      </c>
      <c r="S186" s="4">
        <v>525</v>
      </c>
    </row>
    <row r="187" spans="1:19" s="4" customFormat="1" x14ac:dyDescent="0.2">
      <c r="A187" s="8"/>
      <c r="B187" s="2"/>
      <c r="C187" s="10" t="s">
        <v>488</v>
      </c>
      <c r="D187" s="10"/>
      <c r="E187" s="9"/>
      <c r="F187" s="8"/>
      <c r="G187" s="28"/>
    </row>
    <row r="188" spans="1:19" s="4" customFormat="1" x14ac:dyDescent="0.2">
      <c r="A188" s="8"/>
      <c r="B188" s="2"/>
      <c r="C188" s="10"/>
      <c r="D188" s="10"/>
      <c r="E188" s="9"/>
      <c r="F188" s="8"/>
      <c r="G188" s="28"/>
      <c r="P188" s="4">
        <v>275</v>
      </c>
      <c r="Q188" s="4">
        <v>344</v>
      </c>
      <c r="R188" s="4">
        <v>60</v>
      </c>
      <c r="S188" s="4">
        <v>60</v>
      </c>
    </row>
    <row r="189" spans="1:19" s="4" customFormat="1" x14ac:dyDescent="0.2">
      <c r="A189" s="8"/>
      <c r="B189" s="2"/>
      <c r="C189" s="10"/>
      <c r="D189" s="10"/>
      <c r="E189" s="9"/>
      <c r="F189" s="8"/>
      <c r="G189" s="28"/>
    </row>
    <row r="190" spans="1:19" s="4" customFormat="1" x14ac:dyDescent="0.2">
      <c r="A190" s="8"/>
      <c r="B190" s="2"/>
      <c r="C190" s="10"/>
      <c r="D190" s="10"/>
      <c r="E190" s="9"/>
      <c r="F190" s="8"/>
      <c r="G190" s="28"/>
    </row>
    <row r="191" spans="1:19" s="4" customFormat="1" x14ac:dyDescent="0.2">
      <c r="A191" s="8"/>
      <c r="B191" s="2"/>
      <c r="C191" s="10"/>
      <c r="D191" s="10"/>
      <c r="E191" s="9"/>
      <c r="F191" s="8"/>
      <c r="G191" s="28"/>
    </row>
    <row r="192" spans="1:19" s="4" customFormat="1" x14ac:dyDescent="0.2">
      <c r="A192" s="8"/>
      <c r="B192" s="2"/>
      <c r="C192" s="10"/>
      <c r="D192" s="10"/>
      <c r="E192" s="9"/>
      <c r="F192" s="8"/>
      <c r="G192" s="28"/>
    </row>
    <row r="193" spans="1:7" s="4" customFormat="1" x14ac:dyDescent="0.2">
      <c r="A193" s="8"/>
      <c r="B193" s="2"/>
      <c r="C193" s="10"/>
      <c r="D193" s="10"/>
      <c r="E193" s="9"/>
      <c r="F193" s="8"/>
      <c r="G193" s="28"/>
    </row>
    <row r="194" spans="1:7" s="4" customFormat="1" x14ac:dyDescent="0.2">
      <c r="A194" s="8"/>
      <c r="B194" s="2"/>
      <c r="C194" s="10"/>
      <c r="D194" s="10"/>
      <c r="E194" s="9"/>
      <c r="F194" s="8"/>
      <c r="G194" s="28"/>
    </row>
    <row r="195" spans="1:7" s="4" customFormat="1" x14ac:dyDescent="0.2">
      <c r="A195" s="8"/>
      <c r="B195" s="2"/>
      <c r="C195" s="10"/>
      <c r="D195" s="10"/>
      <c r="E195" s="9"/>
      <c r="F195" s="8"/>
      <c r="G195" s="28"/>
    </row>
    <row r="196" spans="1:7" s="4" customFormat="1" x14ac:dyDescent="0.2">
      <c r="A196" s="8"/>
      <c r="B196" s="2"/>
      <c r="C196" s="10"/>
      <c r="D196" s="10"/>
      <c r="E196" s="9"/>
      <c r="F196" s="8"/>
      <c r="G196" s="28"/>
    </row>
    <row r="197" spans="1:7" s="4" customFormat="1" x14ac:dyDescent="0.2">
      <c r="A197" s="8"/>
      <c r="B197" s="2"/>
      <c r="C197" s="10"/>
      <c r="D197" s="10"/>
      <c r="E197" s="9"/>
      <c r="F197" s="8"/>
      <c r="G197" s="28"/>
    </row>
    <row r="198" spans="1:7" s="4" customFormat="1" x14ac:dyDescent="0.2">
      <c r="A198" s="8"/>
      <c r="B198" s="2"/>
      <c r="C198" s="10"/>
      <c r="D198" s="10"/>
      <c r="E198" s="9"/>
      <c r="F198" s="8"/>
      <c r="G198" s="28"/>
    </row>
    <row r="199" spans="1:7" s="4" customFormat="1" x14ac:dyDescent="0.2">
      <c r="A199" s="8"/>
      <c r="B199" s="2"/>
      <c r="C199" s="10"/>
      <c r="D199" s="10"/>
      <c r="E199" s="9"/>
      <c r="F199" s="8"/>
      <c r="G199" s="28"/>
    </row>
    <row r="200" spans="1:7" s="4" customFormat="1" x14ac:dyDescent="0.2">
      <c r="A200" s="8"/>
      <c r="B200" s="2"/>
      <c r="C200" s="10"/>
      <c r="D200" s="10"/>
      <c r="E200" s="9"/>
      <c r="F200" s="8"/>
      <c r="G200" s="28"/>
    </row>
    <row r="201" spans="1:7" s="4" customFormat="1" x14ac:dyDescent="0.2">
      <c r="A201" s="8"/>
      <c r="B201" s="2"/>
      <c r="C201" s="10"/>
      <c r="D201" s="10"/>
      <c r="E201" s="9"/>
      <c r="F201" s="8"/>
      <c r="G201" s="28"/>
    </row>
    <row r="202" spans="1:7" s="4" customFormat="1" x14ac:dyDescent="0.2">
      <c r="A202" s="8"/>
      <c r="B202" s="2"/>
      <c r="C202" s="10"/>
      <c r="D202" s="10"/>
      <c r="E202" s="9"/>
      <c r="F202" s="8"/>
      <c r="G202" s="28"/>
    </row>
  </sheetData>
  <mergeCells count="1">
    <mergeCell ref="D92:E92"/>
  </mergeCells>
  <conditionalFormatting sqref="H141:Q141">
    <cfRule type="cellIs" dxfId="1331" priority="51" stopIfTrue="1" operator="greaterThan">
      <formula>$E$141</formula>
    </cfRule>
    <cfRule type="cellIs" dxfId="1330" priority="52" stopIfTrue="1" operator="lessThanOrEqual">
      <formula>$E$141</formula>
    </cfRule>
  </conditionalFormatting>
  <conditionalFormatting sqref="H143:Q143">
    <cfRule type="cellIs" dxfId="1329" priority="49" stopIfTrue="1" operator="lessThanOrEqual">
      <formula>$E$143</formula>
    </cfRule>
    <cfRule type="cellIs" dxfId="1328" priority="50" stopIfTrue="1" operator="greaterThan">
      <formula>$E$143</formula>
    </cfRule>
  </conditionalFormatting>
  <conditionalFormatting sqref="H121:Q121">
    <cfRule type="cellIs" dxfId="1327" priority="47" operator="greaterThan">
      <formula>$E$121</formula>
    </cfRule>
    <cfRule type="cellIs" dxfId="1326" priority="48" operator="lessThanOrEqual">
      <formula>$E$121</formula>
    </cfRule>
  </conditionalFormatting>
  <conditionalFormatting sqref="H124:Q124">
    <cfRule type="cellIs" dxfId="1325" priority="45" stopIfTrue="1" operator="greaterThanOrEqual">
      <formula>$E$124</formula>
    </cfRule>
    <cfRule type="cellIs" dxfId="1324" priority="46" stopIfTrue="1" operator="lessThan">
      <formula>$E$124</formula>
    </cfRule>
  </conditionalFormatting>
  <conditionalFormatting sqref="H126:Q126">
    <cfRule type="cellIs" dxfId="1323" priority="43" stopIfTrue="1" operator="lessThan">
      <formula>$E$126</formula>
    </cfRule>
    <cfRule type="cellIs" dxfId="1322" priority="44" stopIfTrue="1" operator="greaterThanOrEqual">
      <formula>$E$126</formula>
    </cfRule>
  </conditionalFormatting>
  <conditionalFormatting sqref="H125:Q125">
    <cfRule type="cellIs" dxfId="1321" priority="41" stopIfTrue="1" operator="greaterThan">
      <formula>$E$125</formula>
    </cfRule>
    <cfRule type="cellIs" dxfId="1320" priority="42" stopIfTrue="1" operator="lessThanOrEqual">
      <formula>$E$125</formula>
    </cfRule>
  </conditionalFormatting>
  <conditionalFormatting sqref="H122:Q122">
    <cfRule type="cellIs" dxfId="1319" priority="30" stopIfTrue="1" operator="between">
      <formula>$D$122</formula>
      <formula>$E$122</formula>
    </cfRule>
    <cfRule type="cellIs" dxfId="1318" priority="39" stopIfTrue="1" operator="lessThanOrEqual">
      <formula>$D$122</formula>
    </cfRule>
    <cfRule type="cellIs" dxfId="1317" priority="40" stopIfTrue="1" operator="greaterThan">
      <formula>$E$122</formula>
    </cfRule>
  </conditionalFormatting>
  <conditionalFormatting sqref="H142:Q142">
    <cfRule type="cellIs" dxfId="1316" priority="37" stopIfTrue="1" operator="greaterThan">
      <formula>$E$142</formula>
    </cfRule>
    <cfRule type="cellIs" dxfId="1315" priority="38" stopIfTrue="1" operator="lessThanOrEqual">
      <formula>$E$142</formula>
    </cfRule>
  </conditionalFormatting>
  <conditionalFormatting sqref="H130:Q130">
    <cfRule type="cellIs" dxfId="1314" priority="35" stopIfTrue="1" operator="greaterThan">
      <formula>$E$130</formula>
    </cfRule>
    <cfRule type="cellIs" dxfId="1313" priority="36" stopIfTrue="1" operator="lessThanOrEqual">
      <formula>$E$130</formula>
    </cfRule>
  </conditionalFormatting>
  <conditionalFormatting sqref="H131:Q131">
    <cfRule type="cellIs" dxfId="1312" priority="33" stopIfTrue="1" operator="lessThan">
      <formula>$E$131</formula>
    </cfRule>
    <cfRule type="cellIs" dxfId="1311" priority="34" stopIfTrue="1" operator="greaterThanOrEqual">
      <formula>$E$131</formula>
    </cfRule>
  </conditionalFormatting>
  <conditionalFormatting sqref="H114:Q114">
    <cfRule type="cellIs" dxfId="1310" priority="53" stopIfTrue="1" operator="lessThan">
      <formula>$D$114</formula>
    </cfRule>
    <cfRule type="cellIs" dxfId="1309" priority="54" stopIfTrue="1" operator="between">
      <formula>$D$114</formula>
      <formula>$E$114</formula>
    </cfRule>
    <cfRule type="cellIs" dxfId="1308" priority="55" stopIfTrue="1" operator="greaterThan">
      <formula>$E$114</formula>
    </cfRule>
  </conditionalFormatting>
  <conditionalFormatting sqref="H138:Q138">
    <cfRule type="cellIs" dxfId="1307" priority="56" stopIfTrue="1" operator="lessThan">
      <formula>$E$138</formula>
    </cfRule>
    <cfRule type="cellIs" dxfId="1306" priority="57" stopIfTrue="1" operator="between">
      <formula>$D$138</formula>
      <formula>$E$138</formula>
    </cfRule>
    <cfRule type="cellIs" dxfId="1305" priority="58" stopIfTrue="1" operator="greaterThanOrEqual">
      <formula>$D$138</formula>
    </cfRule>
  </conditionalFormatting>
  <conditionalFormatting sqref="H111:Q111">
    <cfRule type="cellIs" dxfId="1304" priority="31" stopIfTrue="1" operator="lessThan">
      <formula>$E$111</formula>
    </cfRule>
    <cfRule type="cellIs" dxfId="1303" priority="32" stopIfTrue="1" operator="greaterThan">
      <formula>$E$111</formula>
    </cfRule>
  </conditionalFormatting>
  <conditionalFormatting sqref="R141:S141">
    <cfRule type="cellIs" dxfId="1302" priority="22" stopIfTrue="1" operator="greaterThan">
      <formula>$E$141</formula>
    </cfRule>
    <cfRule type="cellIs" dxfId="1301" priority="23" stopIfTrue="1" operator="lessThanOrEqual">
      <formula>$E$141</formula>
    </cfRule>
  </conditionalFormatting>
  <conditionalFormatting sqref="R143:S143">
    <cfRule type="cellIs" dxfId="1300" priority="20" stopIfTrue="1" operator="lessThanOrEqual">
      <formula>$E$143</formula>
    </cfRule>
    <cfRule type="cellIs" dxfId="1299" priority="21" stopIfTrue="1" operator="greaterThan">
      <formula>$E$143</formula>
    </cfRule>
  </conditionalFormatting>
  <conditionalFormatting sqref="R121:S121">
    <cfRule type="cellIs" dxfId="1298" priority="18" operator="greaterThan">
      <formula>$E$121</formula>
    </cfRule>
    <cfRule type="cellIs" dxfId="1297" priority="19" operator="lessThanOrEqual">
      <formula>$E$121</formula>
    </cfRule>
  </conditionalFormatting>
  <conditionalFormatting sqref="R124:S124">
    <cfRule type="cellIs" dxfId="1296" priority="16" stopIfTrue="1" operator="greaterThanOrEqual">
      <formula>$E$124</formula>
    </cfRule>
    <cfRule type="cellIs" dxfId="1295" priority="17" stopIfTrue="1" operator="lessThan">
      <formula>$E$124</formula>
    </cfRule>
  </conditionalFormatting>
  <conditionalFormatting sqref="R126:S126">
    <cfRule type="cellIs" dxfId="1294" priority="14" stopIfTrue="1" operator="lessThan">
      <formula>$E$126</formula>
    </cfRule>
    <cfRule type="cellIs" dxfId="1293" priority="15" stopIfTrue="1" operator="greaterThanOrEqual">
      <formula>$E$126</formula>
    </cfRule>
  </conditionalFormatting>
  <conditionalFormatting sqref="R125:S125">
    <cfRule type="cellIs" dxfId="1292" priority="12" stopIfTrue="1" operator="greaterThan">
      <formula>$E$125</formula>
    </cfRule>
    <cfRule type="cellIs" dxfId="1291" priority="13" stopIfTrue="1" operator="lessThanOrEqual">
      <formula>$E$125</formula>
    </cfRule>
  </conditionalFormatting>
  <conditionalFormatting sqref="R122:S122">
    <cfRule type="cellIs" dxfId="1290" priority="1" stopIfTrue="1" operator="between">
      <formula>$D$122</formula>
      <formula>$E$122</formula>
    </cfRule>
    <cfRule type="cellIs" dxfId="1289" priority="10" stopIfTrue="1" operator="lessThanOrEqual">
      <formula>$D$122</formula>
    </cfRule>
    <cfRule type="cellIs" dxfId="1288" priority="11" stopIfTrue="1" operator="greaterThan">
      <formula>$E$122</formula>
    </cfRule>
  </conditionalFormatting>
  <conditionalFormatting sqref="R142:S142">
    <cfRule type="cellIs" dxfId="1287" priority="8" stopIfTrue="1" operator="greaterThan">
      <formula>$E$142</formula>
    </cfRule>
    <cfRule type="cellIs" dxfId="1286" priority="9" stopIfTrue="1" operator="lessThanOrEqual">
      <formula>$E$142</formula>
    </cfRule>
  </conditionalFormatting>
  <conditionalFormatting sqref="R130:S130">
    <cfRule type="cellIs" dxfId="1285" priority="6" stopIfTrue="1" operator="greaterThan">
      <formula>$E$130</formula>
    </cfRule>
    <cfRule type="cellIs" dxfId="1284" priority="7" stopIfTrue="1" operator="lessThanOrEqual">
      <formula>$E$130</formula>
    </cfRule>
  </conditionalFormatting>
  <conditionalFormatting sqref="R131:S131">
    <cfRule type="cellIs" dxfId="1283" priority="4" stopIfTrue="1" operator="lessThan">
      <formula>$E$131</formula>
    </cfRule>
    <cfRule type="cellIs" dxfId="1282" priority="5" stopIfTrue="1" operator="greaterThanOrEqual">
      <formula>$E$131</formula>
    </cfRule>
  </conditionalFormatting>
  <conditionalFormatting sqref="R114:S114">
    <cfRule type="cellIs" dxfId="1281" priority="24" stopIfTrue="1" operator="lessThan">
      <formula>$D$114</formula>
    </cfRule>
    <cfRule type="cellIs" dxfId="1280" priority="25" stopIfTrue="1" operator="between">
      <formula>$D$114</formula>
      <formula>$E$114</formula>
    </cfRule>
    <cfRule type="cellIs" dxfId="1279" priority="26" stopIfTrue="1" operator="greaterThan">
      <formula>$E$114</formula>
    </cfRule>
  </conditionalFormatting>
  <conditionalFormatting sqref="R138:S138">
    <cfRule type="cellIs" dxfId="1278" priority="27" stopIfTrue="1" operator="lessThan">
      <formula>$E$138</formula>
    </cfRule>
    <cfRule type="cellIs" dxfId="1277" priority="28" stopIfTrue="1" operator="between">
      <formula>$D$138</formula>
      <formula>$E$138</formula>
    </cfRule>
    <cfRule type="cellIs" dxfId="1276" priority="29" stopIfTrue="1" operator="greaterThanOrEqual">
      <formula>$D$138</formula>
    </cfRule>
  </conditionalFormatting>
  <conditionalFormatting sqref="R111:S111">
    <cfRule type="cellIs" dxfId="1275" priority="2" stopIfTrue="1" operator="lessThan">
      <formula>$E$111</formula>
    </cfRule>
    <cfRule type="cellIs" dxfId="1274" priority="3" stopIfTrue="1" operator="greaterThan">
      <formula>$E$111</formula>
    </cfRule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5601BD-5ECE-42C0-ACFE-2662D8601E59}">
  <dimension ref="A1:U202"/>
  <sheetViews>
    <sheetView topLeftCell="D1" workbookViewId="0">
      <selection activeCell="G2" sqref="G2"/>
    </sheetView>
  </sheetViews>
  <sheetFormatPr defaultRowHeight="11.25" outlineLevelCol="1" x14ac:dyDescent="0.2"/>
  <cols>
    <col min="1" max="1" width="7.42578125" style="47" customWidth="1"/>
    <col min="2" max="2" width="4.7109375" style="47" bestFit="1" customWidth="1"/>
    <col min="3" max="3" width="9.140625" style="47"/>
    <col min="4" max="5" width="5.140625" style="47" bestFit="1" customWidth="1"/>
    <col min="6" max="6" width="2" style="8" bestFit="1" customWidth="1"/>
    <col min="7" max="7" width="28.85546875" style="47" customWidth="1"/>
    <col min="8" max="12" width="7.85546875" style="47" hidden="1" customWidth="1" outlineLevel="1"/>
    <col min="13" max="13" width="8.7109375" style="47" bestFit="1" customWidth="1" collapsed="1"/>
    <col min="14" max="14" width="10" style="47" customWidth="1"/>
    <col min="15" max="15" width="9.42578125" style="47" customWidth="1"/>
    <col min="16" max="18" width="8.7109375" style="47" bestFit="1" customWidth="1"/>
    <col min="19" max="19" width="8.7109375" style="47" customWidth="1"/>
    <col min="20" max="256" width="9.140625" style="47"/>
    <col min="257" max="257" width="7.42578125" style="47" customWidth="1"/>
    <col min="258" max="258" width="4.7109375" style="47" bestFit="1" customWidth="1"/>
    <col min="259" max="259" width="9.140625" style="47"/>
    <col min="260" max="261" width="5.140625" style="47" bestFit="1" customWidth="1"/>
    <col min="262" max="262" width="2" style="47" bestFit="1" customWidth="1"/>
    <col min="263" max="263" width="28.85546875" style="47" customWidth="1"/>
    <col min="264" max="268" width="0" style="47" hidden="1" customWidth="1"/>
    <col min="269" max="269" width="8.7109375" style="47" bestFit="1" customWidth="1"/>
    <col min="270" max="270" width="10" style="47" customWidth="1"/>
    <col min="271" max="271" width="9.42578125" style="47" customWidth="1"/>
    <col min="272" max="274" width="8.7109375" style="47" bestFit="1" customWidth="1"/>
    <col min="275" max="275" width="8.7109375" style="47" customWidth="1"/>
    <col min="276" max="512" width="9.140625" style="47"/>
    <col min="513" max="513" width="7.42578125" style="47" customWidth="1"/>
    <col min="514" max="514" width="4.7109375" style="47" bestFit="1" customWidth="1"/>
    <col min="515" max="515" width="9.140625" style="47"/>
    <col min="516" max="517" width="5.140625" style="47" bestFit="1" customWidth="1"/>
    <col min="518" max="518" width="2" style="47" bestFit="1" customWidth="1"/>
    <col min="519" max="519" width="28.85546875" style="47" customWidth="1"/>
    <col min="520" max="524" width="0" style="47" hidden="1" customWidth="1"/>
    <col min="525" max="525" width="8.7109375" style="47" bestFit="1" customWidth="1"/>
    <col min="526" max="526" width="10" style="47" customWidth="1"/>
    <col min="527" max="527" width="9.42578125" style="47" customWidth="1"/>
    <col min="528" max="530" width="8.7109375" style="47" bestFit="1" customWidth="1"/>
    <col min="531" max="531" width="8.7109375" style="47" customWidth="1"/>
    <col min="532" max="768" width="9.140625" style="47"/>
    <col min="769" max="769" width="7.42578125" style="47" customWidth="1"/>
    <col min="770" max="770" width="4.7109375" style="47" bestFit="1" customWidth="1"/>
    <col min="771" max="771" width="9.140625" style="47"/>
    <col min="772" max="773" width="5.140625" style="47" bestFit="1" customWidth="1"/>
    <col min="774" max="774" width="2" style="47" bestFit="1" customWidth="1"/>
    <col min="775" max="775" width="28.85546875" style="47" customWidth="1"/>
    <col min="776" max="780" width="0" style="47" hidden="1" customWidth="1"/>
    <col min="781" max="781" width="8.7109375" style="47" bestFit="1" customWidth="1"/>
    <col min="782" max="782" width="10" style="47" customWidth="1"/>
    <col min="783" max="783" width="9.42578125" style="47" customWidth="1"/>
    <col min="784" max="786" width="8.7109375" style="47" bestFit="1" customWidth="1"/>
    <col min="787" max="787" width="8.7109375" style="47" customWidth="1"/>
    <col min="788" max="1024" width="9.140625" style="47"/>
    <col min="1025" max="1025" width="7.42578125" style="47" customWidth="1"/>
    <col min="1026" max="1026" width="4.7109375" style="47" bestFit="1" customWidth="1"/>
    <col min="1027" max="1027" width="9.140625" style="47"/>
    <col min="1028" max="1029" width="5.140625" style="47" bestFit="1" customWidth="1"/>
    <col min="1030" max="1030" width="2" style="47" bestFit="1" customWidth="1"/>
    <col min="1031" max="1031" width="28.85546875" style="47" customWidth="1"/>
    <col min="1032" max="1036" width="0" style="47" hidden="1" customWidth="1"/>
    <col min="1037" max="1037" width="8.7109375" style="47" bestFit="1" customWidth="1"/>
    <col min="1038" max="1038" width="10" style="47" customWidth="1"/>
    <col min="1039" max="1039" width="9.42578125" style="47" customWidth="1"/>
    <col min="1040" max="1042" width="8.7109375" style="47" bestFit="1" customWidth="1"/>
    <col min="1043" max="1043" width="8.7109375" style="47" customWidth="1"/>
    <col min="1044" max="1280" width="9.140625" style="47"/>
    <col min="1281" max="1281" width="7.42578125" style="47" customWidth="1"/>
    <col min="1282" max="1282" width="4.7109375" style="47" bestFit="1" customWidth="1"/>
    <col min="1283" max="1283" width="9.140625" style="47"/>
    <col min="1284" max="1285" width="5.140625" style="47" bestFit="1" customWidth="1"/>
    <col min="1286" max="1286" width="2" style="47" bestFit="1" customWidth="1"/>
    <col min="1287" max="1287" width="28.85546875" style="47" customWidth="1"/>
    <col min="1288" max="1292" width="0" style="47" hidden="1" customWidth="1"/>
    <col min="1293" max="1293" width="8.7109375" style="47" bestFit="1" customWidth="1"/>
    <col min="1294" max="1294" width="10" style="47" customWidth="1"/>
    <col min="1295" max="1295" width="9.42578125" style="47" customWidth="1"/>
    <col min="1296" max="1298" width="8.7109375" style="47" bestFit="1" customWidth="1"/>
    <col min="1299" max="1299" width="8.7109375" style="47" customWidth="1"/>
    <col min="1300" max="1536" width="9.140625" style="47"/>
    <col min="1537" max="1537" width="7.42578125" style="47" customWidth="1"/>
    <col min="1538" max="1538" width="4.7109375" style="47" bestFit="1" customWidth="1"/>
    <col min="1539" max="1539" width="9.140625" style="47"/>
    <col min="1540" max="1541" width="5.140625" style="47" bestFit="1" customWidth="1"/>
    <col min="1542" max="1542" width="2" style="47" bestFit="1" customWidth="1"/>
    <col min="1543" max="1543" width="28.85546875" style="47" customWidth="1"/>
    <col min="1544" max="1548" width="0" style="47" hidden="1" customWidth="1"/>
    <col min="1549" max="1549" width="8.7109375" style="47" bestFit="1" customWidth="1"/>
    <col min="1550" max="1550" width="10" style="47" customWidth="1"/>
    <col min="1551" max="1551" width="9.42578125" style="47" customWidth="1"/>
    <col min="1552" max="1554" width="8.7109375" style="47" bestFit="1" customWidth="1"/>
    <col min="1555" max="1555" width="8.7109375" style="47" customWidth="1"/>
    <col min="1556" max="1792" width="9.140625" style="47"/>
    <col min="1793" max="1793" width="7.42578125" style="47" customWidth="1"/>
    <col min="1794" max="1794" width="4.7109375" style="47" bestFit="1" customWidth="1"/>
    <col min="1795" max="1795" width="9.140625" style="47"/>
    <col min="1796" max="1797" width="5.140625" style="47" bestFit="1" customWidth="1"/>
    <col min="1798" max="1798" width="2" style="47" bestFit="1" customWidth="1"/>
    <col min="1799" max="1799" width="28.85546875" style="47" customWidth="1"/>
    <col min="1800" max="1804" width="0" style="47" hidden="1" customWidth="1"/>
    <col min="1805" max="1805" width="8.7109375" style="47" bestFit="1" customWidth="1"/>
    <col min="1806" max="1806" width="10" style="47" customWidth="1"/>
    <col min="1807" max="1807" width="9.42578125" style="47" customWidth="1"/>
    <col min="1808" max="1810" width="8.7109375" style="47" bestFit="1" customWidth="1"/>
    <col min="1811" max="1811" width="8.7109375" style="47" customWidth="1"/>
    <col min="1812" max="2048" width="9.140625" style="47"/>
    <col min="2049" max="2049" width="7.42578125" style="47" customWidth="1"/>
    <col min="2050" max="2050" width="4.7109375" style="47" bestFit="1" customWidth="1"/>
    <col min="2051" max="2051" width="9.140625" style="47"/>
    <col min="2052" max="2053" width="5.140625" style="47" bestFit="1" customWidth="1"/>
    <col min="2054" max="2054" width="2" style="47" bestFit="1" customWidth="1"/>
    <col min="2055" max="2055" width="28.85546875" style="47" customWidth="1"/>
    <col min="2056" max="2060" width="0" style="47" hidden="1" customWidth="1"/>
    <col min="2061" max="2061" width="8.7109375" style="47" bestFit="1" customWidth="1"/>
    <col min="2062" max="2062" width="10" style="47" customWidth="1"/>
    <col min="2063" max="2063" width="9.42578125" style="47" customWidth="1"/>
    <col min="2064" max="2066" width="8.7109375" style="47" bestFit="1" customWidth="1"/>
    <col min="2067" max="2067" width="8.7109375" style="47" customWidth="1"/>
    <col min="2068" max="2304" width="9.140625" style="47"/>
    <col min="2305" max="2305" width="7.42578125" style="47" customWidth="1"/>
    <col min="2306" max="2306" width="4.7109375" style="47" bestFit="1" customWidth="1"/>
    <col min="2307" max="2307" width="9.140625" style="47"/>
    <col min="2308" max="2309" width="5.140625" style="47" bestFit="1" customWidth="1"/>
    <col min="2310" max="2310" width="2" style="47" bestFit="1" customWidth="1"/>
    <col min="2311" max="2311" width="28.85546875" style="47" customWidth="1"/>
    <col min="2312" max="2316" width="0" style="47" hidden="1" customWidth="1"/>
    <col min="2317" max="2317" width="8.7109375" style="47" bestFit="1" customWidth="1"/>
    <col min="2318" max="2318" width="10" style="47" customWidth="1"/>
    <col min="2319" max="2319" width="9.42578125" style="47" customWidth="1"/>
    <col min="2320" max="2322" width="8.7109375" style="47" bestFit="1" customWidth="1"/>
    <col min="2323" max="2323" width="8.7109375" style="47" customWidth="1"/>
    <col min="2324" max="2560" width="9.140625" style="47"/>
    <col min="2561" max="2561" width="7.42578125" style="47" customWidth="1"/>
    <col min="2562" max="2562" width="4.7109375" style="47" bestFit="1" customWidth="1"/>
    <col min="2563" max="2563" width="9.140625" style="47"/>
    <col min="2564" max="2565" width="5.140625" style="47" bestFit="1" customWidth="1"/>
    <col min="2566" max="2566" width="2" style="47" bestFit="1" customWidth="1"/>
    <col min="2567" max="2567" width="28.85546875" style="47" customWidth="1"/>
    <col min="2568" max="2572" width="0" style="47" hidden="1" customWidth="1"/>
    <col min="2573" max="2573" width="8.7109375" style="47" bestFit="1" customWidth="1"/>
    <col min="2574" max="2574" width="10" style="47" customWidth="1"/>
    <col min="2575" max="2575" width="9.42578125" style="47" customWidth="1"/>
    <col min="2576" max="2578" width="8.7109375" style="47" bestFit="1" customWidth="1"/>
    <col min="2579" max="2579" width="8.7109375" style="47" customWidth="1"/>
    <col min="2580" max="2816" width="9.140625" style="47"/>
    <col min="2817" max="2817" width="7.42578125" style="47" customWidth="1"/>
    <col min="2818" max="2818" width="4.7109375" style="47" bestFit="1" customWidth="1"/>
    <col min="2819" max="2819" width="9.140625" style="47"/>
    <col min="2820" max="2821" width="5.140625" style="47" bestFit="1" customWidth="1"/>
    <col min="2822" max="2822" width="2" style="47" bestFit="1" customWidth="1"/>
    <col min="2823" max="2823" width="28.85546875" style="47" customWidth="1"/>
    <col min="2824" max="2828" width="0" style="47" hidden="1" customWidth="1"/>
    <col min="2829" max="2829" width="8.7109375" style="47" bestFit="1" customWidth="1"/>
    <col min="2830" max="2830" width="10" style="47" customWidth="1"/>
    <col min="2831" max="2831" width="9.42578125" style="47" customWidth="1"/>
    <col min="2832" max="2834" width="8.7109375" style="47" bestFit="1" customWidth="1"/>
    <col min="2835" max="2835" width="8.7109375" style="47" customWidth="1"/>
    <col min="2836" max="3072" width="9.140625" style="47"/>
    <col min="3073" max="3073" width="7.42578125" style="47" customWidth="1"/>
    <col min="3074" max="3074" width="4.7109375" style="47" bestFit="1" customWidth="1"/>
    <col min="3075" max="3075" width="9.140625" style="47"/>
    <col min="3076" max="3077" width="5.140625" style="47" bestFit="1" customWidth="1"/>
    <col min="3078" max="3078" width="2" style="47" bestFit="1" customWidth="1"/>
    <col min="3079" max="3079" width="28.85546875" style="47" customWidth="1"/>
    <col min="3080" max="3084" width="0" style="47" hidden="1" customWidth="1"/>
    <col min="3085" max="3085" width="8.7109375" style="47" bestFit="1" customWidth="1"/>
    <col min="3086" max="3086" width="10" style="47" customWidth="1"/>
    <col min="3087" max="3087" width="9.42578125" style="47" customWidth="1"/>
    <col min="3088" max="3090" width="8.7109375" style="47" bestFit="1" customWidth="1"/>
    <col min="3091" max="3091" width="8.7109375" style="47" customWidth="1"/>
    <col min="3092" max="3328" width="9.140625" style="47"/>
    <col min="3329" max="3329" width="7.42578125" style="47" customWidth="1"/>
    <col min="3330" max="3330" width="4.7109375" style="47" bestFit="1" customWidth="1"/>
    <col min="3331" max="3331" width="9.140625" style="47"/>
    <col min="3332" max="3333" width="5.140625" style="47" bestFit="1" customWidth="1"/>
    <col min="3334" max="3334" width="2" style="47" bestFit="1" customWidth="1"/>
    <col min="3335" max="3335" width="28.85546875" style="47" customWidth="1"/>
    <col min="3336" max="3340" width="0" style="47" hidden="1" customWidth="1"/>
    <col min="3341" max="3341" width="8.7109375" style="47" bestFit="1" customWidth="1"/>
    <col min="3342" max="3342" width="10" style="47" customWidth="1"/>
    <col min="3343" max="3343" width="9.42578125" style="47" customWidth="1"/>
    <col min="3344" max="3346" width="8.7109375" style="47" bestFit="1" customWidth="1"/>
    <col min="3347" max="3347" width="8.7109375" style="47" customWidth="1"/>
    <col min="3348" max="3584" width="9.140625" style="47"/>
    <col min="3585" max="3585" width="7.42578125" style="47" customWidth="1"/>
    <col min="3586" max="3586" width="4.7109375" style="47" bestFit="1" customWidth="1"/>
    <col min="3587" max="3587" width="9.140625" style="47"/>
    <col min="3588" max="3589" width="5.140625" style="47" bestFit="1" customWidth="1"/>
    <col min="3590" max="3590" width="2" style="47" bestFit="1" customWidth="1"/>
    <col min="3591" max="3591" width="28.85546875" style="47" customWidth="1"/>
    <col min="3592" max="3596" width="0" style="47" hidden="1" customWidth="1"/>
    <col min="3597" max="3597" width="8.7109375" style="47" bestFit="1" customWidth="1"/>
    <col min="3598" max="3598" width="10" style="47" customWidth="1"/>
    <col min="3599" max="3599" width="9.42578125" style="47" customWidth="1"/>
    <col min="3600" max="3602" width="8.7109375" style="47" bestFit="1" customWidth="1"/>
    <col min="3603" max="3603" width="8.7109375" style="47" customWidth="1"/>
    <col min="3604" max="3840" width="9.140625" style="47"/>
    <col min="3841" max="3841" width="7.42578125" style="47" customWidth="1"/>
    <col min="3842" max="3842" width="4.7109375" style="47" bestFit="1" customWidth="1"/>
    <col min="3843" max="3843" width="9.140625" style="47"/>
    <col min="3844" max="3845" width="5.140625" style="47" bestFit="1" customWidth="1"/>
    <col min="3846" max="3846" width="2" style="47" bestFit="1" customWidth="1"/>
    <col min="3847" max="3847" width="28.85546875" style="47" customWidth="1"/>
    <col min="3848" max="3852" width="0" style="47" hidden="1" customWidth="1"/>
    <col min="3853" max="3853" width="8.7109375" style="47" bestFit="1" customWidth="1"/>
    <col min="3854" max="3854" width="10" style="47" customWidth="1"/>
    <col min="3855" max="3855" width="9.42578125" style="47" customWidth="1"/>
    <col min="3856" max="3858" width="8.7109375" style="47" bestFit="1" customWidth="1"/>
    <col min="3859" max="3859" width="8.7109375" style="47" customWidth="1"/>
    <col min="3860" max="4096" width="9.140625" style="47"/>
    <col min="4097" max="4097" width="7.42578125" style="47" customWidth="1"/>
    <col min="4098" max="4098" width="4.7109375" style="47" bestFit="1" customWidth="1"/>
    <col min="4099" max="4099" width="9.140625" style="47"/>
    <col min="4100" max="4101" width="5.140625" style="47" bestFit="1" customWidth="1"/>
    <col min="4102" max="4102" width="2" style="47" bestFit="1" customWidth="1"/>
    <col min="4103" max="4103" width="28.85546875" style="47" customWidth="1"/>
    <col min="4104" max="4108" width="0" style="47" hidden="1" customWidth="1"/>
    <col min="4109" max="4109" width="8.7109375" style="47" bestFit="1" customWidth="1"/>
    <col min="4110" max="4110" width="10" style="47" customWidth="1"/>
    <col min="4111" max="4111" width="9.42578125" style="47" customWidth="1"/>
    <col min="4112" max="4114" width="8.7109375" style="47" bestFit="1" customWidth="1"/>
    <col min="4115" max="4115" width="8.7109375" style="47" customWidth="1"/>
    <col min="4116" max="4352" width="9.140625" style="47"/>
    <col min="4353" max="4353" width="7.42578125" style="47" customWidth="1"/>
    <col min="4354" max="4354" width="4.7109375" style="47" bestFit="1" customWidth="1"/>
    <col min="4355" max="4355" width="9.140625" style="47"/>
    <col min="4356" max="4357" width="5.140625" style="47" bestFit="1" customWidth="1"/>
    <col min="4358" max="4358" width="2" style="47" bestFit="1" customWidth="1"/>
    <col min="4359" max="4359" width="28.85546875" style="47" customWidth="1"/>
    <col min="4360" max="4364" width="0" style="47" hidden="1" customWidth="1"/>
    <col min="4365" max="4365" width="8.7109375" style="47" bestFit="1" customWidth="1"/>
    <col min="4366" max="4366" width="10" style="47" customWidth="1"/>
    <col min="4367" max="4367" width="9.42578125" style="47" customWidth="1"/>
    <col min="4368" max="4370" width="8.7109375" style="47" bestFit="1" customWidth="1"/>
    <col min="4371" max="4371" width="8.7109375" style="47" customWidth="1"/>
    <col min="4372" max="4608" width="9.140625" style="47"/>
    <col min="4609" max="4609" width="7.42578125" style="47" customWidth="1"/>
    <col min="4610" max="4610" width="4.7109375" style="47" bestFit="1" customWidth="1"/>
    <col min="4611" max="4611" width="9.140625" style="47"/>
    <col min="4612" max="4613" width="5.140625" style="47" bestFit="1" customWidth="1"/>
    <col min="4614" max="4614" width="2" style="47" bestFit="1" customWidth="1"/>
    <col min="4615" max="4615" width="28.85546875" style="47" customWidth="1"/>
    <col min="4616" max="4620" width="0" style="47" hidden="1" customWidth="1"/>
    <col min="4621" max="4621" width="8.7109375" style="47" bestFit="1" customWidth="1"/>
    <col min="4622" max="4622" width="10" style="47" customWidth="1"/>
    <col min="4623" max="4623" width="9.42578125" style="47" customWidth="1"/>
    <col min="4624" max="4626" width="8.7109375" style="47" bestFit="1" customWidth="1"/>
    <col min="4627" max="4627" width="8.7109375" style="47" customWidth="1"/>
    <col min="4628" max="4864" width="9.140625" style="47"/>
    <col min="4865" max="4865" width="7.42578125" style="47" customWidth="1"/>
    <col min="4866" max="4866" width="4.7109375" style="47" bestFit="1" customWidth="1"/>
    <col min="4867" max="4867" width="9.140625" style="47"/>
    <col min="4868" max="4869" width="5.140625" style="47" bestFit="1" customWidth="1"/>
    <col min="4870" max="4870" width="2" style="47" bestFit="1" customWidth="1"/>
    <col min="4871" max="4871" width="28.85546875" style="47" customWidth="1"/>
    <col min="4872" max="4876" width="0" style="47" hidden="1" customWidth="1"/>
    <col min="4877" max="4877" width="8.7109375" style="47" bestFit="1" customWidth="1"/>
    <col min="4878" max="4878" width="10" style="47" customWidth="1"/>
    <col min="4879" max="4879" width="9.42578125" style="47" customWidth="1"/>
    <col min="4880" max="4882" width="8.7109375" style="47" bestFit="1" customWidth="1"/>
    <col min="4883" max="4883" width="8.7109375" style="47" customWidth="1"/>
    <col min="4884" max="5120" width="9.140625" style="47"/>
    <col min="5121" max="5121" width="7.42578125" style="47" customWidth="1"/>
    <col min="5122" max="5122" width="4.7109375" style="47" bestFit="1" customWidth="1"/>
    <col min="5123" max="5123" width="9.140625" style="47"/>
    <col min="5124" max="5125" width="5.140625" style="47" bestFit="1" customWidth="1"/>
    <col min="5126" max="5126" width="2" style="47" bestFit="1" customWidth="1"/>
    <col min="5127" max="5127" width="28.85546875" style="47" customWidth="1"/>
    <col min="5128" max="5132" width="0" style="47" hidden="1" customWidth="1"/>
    <col min="5133" max="5133" width="8.7109375" style="47" bestFit="1" customWidth="1"/>
    <col min="5134" max="5134" width="10" style="47" customWidth="1"/>
    <col min="5135" max="5135" width="9.42578125" style="47" customWidth="1"/>
    <col min="5136" max="5138" width="8.7109375" style="47" bestFit="1" customWidth="1"/>
    <col min="5139" max="5139" width="8.7109375" style="47" customWidth="1"/>
    <col min="5140" max="5376" width="9.140625" style="47"/>
    <col min="5377" max="5377" width="7.42578125" style="47" customWidth="1"/>
    <col min="5378" max="5378" width="4.7109375" style="47" bestFit="1" customWidth="1"/>
    <col min="5379" max="5379" width="9.140625" style="47"/>
    <col min="5380" max="5381" width="5.140625" style="47" bestFit="1" customWidth="1"/>
    <col min="5382" max="5382" width="2" style="47" bestFit="1" customWidth="1"/>
    <col min="5383" max="5383" width="28.85546875" style="47" customWidth="1"/>
    <col min="5384" max="5388" width="0" style="47" hidden="1" customWidth="1"/>
    <col min="5389" max="5389" width="8.7109375" style="47" bestFit="1" customWidth="1"/>
    <col min="5390" max="5390" width="10" style="47" customWidth="1"/>
    <col min="5391" max="5391" width="9.42578125" style="47" customWidth="1"/>
    <col min="5392" max="5394" width="8.7109375" style="47" bestFit="1" customWidth="1"/>
    <col min="5395" max="5395" width="8.7109375" style="47" customWidth="1"/>
    <col min="5396" max="5632" width="9.140625" style="47"/>
    <col min="5633" max="5633" width="7.42578125" style="47" customWidth="1"/>
    <col min="5634" max="5634" width="4.7109375" style="47" bestFit="1" customWidth="1"/>
    <col min="5635" max="5635" width="9.140625" style="47"/>
    <col min="5636" max="5637" width="5.140625" style="47" bestFit="1" customWidth="1"/>
    <col min="5638" max="5638" width="2" style="47" bestFit="1" customWidth="1"/>
    <col min="5639" max="5639" width="28.85546875" style="47" customWidth="1"/>
    <col min="5640" max="5644" width="0" style="47" hidden="1" customWidth="1"/>
    <col min="5645" max="5645" width="8.7109375" style="47" bestFit="1" customWidth="1"/>
    <col min="5646" max="5646" width="10" style="47" customWidth="1"/>
    <col min="5647" max="5647" width="9.42578125" style="47" customWidth="1"/>
    <col min="5648" max="5650" width="8.7109375" style="47" bestFit="1" customWidth="1"/>
    <col min="5651" max="5651" width="8.7109375" style="47" customWidth="1"/>
    <col min="5652" max="5888" width="9.140625" style="47"/>
    <col min="5889" max="5889" width="7.42578125" style="47" customWidth="1"/>
    <col min="5890" max="5890" width="4.7109375" style="47" bestFit="1" customWidth="1"/>
    <col min="5891" max="5891" width="9.140625" style="47"/>
    <col min="5892" max="5893" width="5.140625" style="47" bestFit="1" customWidth="1"/>
    <col min="5894" max="5894" width="2" style="47" bestFit="1" customWidth="1"/>
    <col min="5895" max="5895" width="28.85546875" style="47" customWidth="1"/>
    <col min="5896" max="5900" width="0" style="47" hidden="1" customWidth="1"/>
    <col min="5901" max="5901" width="8.7109375" style="47" bestFit="1" customWidth="1"/>
    <col min="5902" max="5902" width="10" style="47" customWidth="1"/>
    <col min="5903" max="5903" width="9.42578125" style="47" customWidth="1"/>
    <col min="5904" max="5906" width="8.7109375" style="47" bestFit="1" customWidth="1"/>
    <col min="5907" max="5907" width="8.7109375" style="47" customWidth="1"/>
    <col min="5908" max="6144" width="9.140625" style="47"/>
    <col min="6145" max="6145" width="7.42578125" style="47" customWidth="1"/>
    <col min="6146" max="6146" width="4.7109375" style="47" bestFit="1" customWidth="1"/>
    <col min="6147" max="6147" width="9.140625" style="47"/>
    <col min="6148" max="6149" width="5.140625" style="47" bestFit="1" customWidth="1"/>
    <col min="6150" max="6150" width="2" style="47" bestFit="1" customWidth="1"/>
    <col min="6151" max="6151" width="28.85546875" style="47" customWidth="1"/>
    <col min="6152" max="6156" width="0" style="47" hidden="1" customWidth="1"/>
    <col min="6157" max="6157" width="8.7109375" style="47" bestFit="1" customWidth="1"/>
    <col min="6158" max="6158" width="10" style="47" customWidth="1"/>
    <col min="6159" max="6159" width="9.42578125" style="47" customWidth="1"/>
    <col min="6160" max="6162" width="8.7109375" style="47" bestFit="1" customWidth="1"/>
    <col min="6163" max="6163" width="8.7109375" style="47" customWidth="1"/>
    <col min="6164" max="6400" width="9.140625" style="47"/>
    <col min="6401" max="6401" width="7.42578125" style="47" customWidth="1"/>
    <col min="6402" max="6402" width="4.7109375" style="47" bestFit="1" customWidth="1"/>
    <col min="6403" max="6403" width="9.140625" style="47"/>
    <col min="6404" max="6405" width="5.140625" style="47" bestFit="1" customWidth="1"/>
    <col min="6406" max="6406" width="2" style="47" bestFit="1" customWidth="1"/>
    <col min="6407" max="6407" width="28.85546875" style="47" customWidth="1"/>
    <col min="6408" max="6412" width="0" style="47" hidden="1" customWidth="1"/>
    <col min="6413" max="6413" width="8.7109375" style="47" bestFit="1" customWidth="1"/>
    <col min="6414" max="6414" width="10" style="47" customWidth="1"/>
    <col min="6415" max="6415" width="9.42578125" style="47" customWidth="1"/>
    <col min="6416" max="6418" width="8.7109375" style="47" bestFit="1" customWidth="1"/>
    <col min="6419" max="6419" width="8.7109375" style="47" customWidth="1"/>
    <col min="6420" max="6656" width="9.140625" style="47"/>
    <col min="6657" max="6657" width="7.42578125" style="47" customWidth="1"/>
    <col min="6658" max="6658" width="4.7109375" style="47" bestFit="1" customWidth="1"/>
    <col min="6659" max="6659" width="9.140625" style="47"/>
    <col min="6660" max="6661" width="5.140625" style="47" bestFit="1" customWidth="1"/>
    <col min="6662" max="6662" width="2" style="47" bestFit="1" customWidth="1"/>
    <col min="6663" max="6663" width="28.85546875" style="47" customWidth="1"/>
    <col min="6664" max="6668" width="0" style="47" hidden="1" customWidth="1"/>
    <col min="6669" max="6669" width="8.7109375" style="47" bestFit="1" customWidth="1"/>
    <col min="6670" max="6670" width="10" style="47" customWidth="1"/>
    <col min="6671" max="6671" width="9.42578125" style="47" customWidth="1"/>
    <col min="6672" max="6674" width="8.7109375" style="47" bestFit="1" customWidth="1"/>
    <col min="6675" max="6675" width="8.7109375" style="47" customWidth="1"/>
    <col min="6676" max="6912" width="9.140625" style="47"/>
    <col min="6913" max="6913" width="7.42578125" style="47" customWidth="1"/>
    <col min="6914" max="6914" width="4.7109375" style="47" bestFit="1" customWidth="1"/>
    <col min="6915" max="6915" width="9.140625" style="47"/>
    <col min="6916" max="6917" width="5.140625" style="47" bestFit="1" customWidth="1"/>
    <col min="6918" max="6918" width="2" style="47" bestFit="1" customWidth="1"/>
    <col min="6919" max="6919" width="28.85546875" style="47" customWidth="1"/>
    <col min="6920" max="6924" width="0" style="47" hidden="1" customWidth="1"/>
    <col min="6925" max="6925" width="8.7109375" style="47" bestFit="1" customWidth="1"/>
    <col min="6926" max="6926" width="10" style="47" customWidth="1"/>
    <col min="6927" max="6927" width="9.42578125" style="47" customWidth="1"/>
    <col min="6928" max="6930" width="8.7109375" style="47" bestFit="1" customWidth="1"/>
    <col min="6931" max="6931" width="8.7109375" style="47" customWidth="1"/>
    <col min="6932" max="7168" width="9.140625" style="47"/>
    <col min="7169" max="7169" width="7.42578125" style="47" customWidth="1"/>
    <col min="7170" max="7170" width="4.7109375" style="47" bestFit="1" customWidth="1"/>
    <col min="7171" max="7171" width="9.140625" style="47"/>
    <col min="7172" max="7173" width="5.140625" style="47" bestFit="1" customWidth="1"/>
    <col min="7174" max="7174" width="2" style="47" bestFit="1" customWidth="1"/>
    <col min="7175" max="7175" width="28.85546875" style="47" customWidth="1"/>
    <col min="7176" max="7180" width="0" style="47" hidden="1" customWidth="1"/>
    <col min="7181" max="7181" width="8.7109375" style="47" bestFit="1" customWidth="1"/>
    <col min="7182" max="7182" width="10" style="47" customWidth="1"/>
    <col min="7183" max="7183" width="9.42578125" style="47" customWidth="1"/>
    <col min="7184" max="7186" width="8.7109375" style="47" bestFit="1" customWidth="1"/>
    <col min="7187" max="7187" width="8.7109375" style="47" customWidth="1"/>
    <col min="7188" max="7424" width="9.140625" style="47"/>
    <col min="7425" max="7425" width="7.42578125" style="47" customWidth="1"/>
    <col min="7426" max="7426" width="4.7109375" style="47" bestFit="1" customWidth="1"/>
    <col min="7427" max="7427" width="9.140625" style="47"/>
    <col min="7428" max="7429" width="5.140625" style="47" bestFit="1" customWidth="1"/>
    <col min="7430" max="7430" width="2" style="47" bestFit="1" customWidth="1"/>
    <col min="7431" max="7431" width="28.85546875" style="47" customWidth="1"/>
    <col min="7432" max="7436" width="0" style="47" hidden="1" customWidth="1"/>
    <col min="7437" max="7437" width="8.7109375" style="47" bestFit="1" customWidth="1"/>
    <col min="7438" max="7438" width="10" style="47" customWidth="1"/>
    <col min="7439" max="7439" width="9.42578125" style="47" customWidth="1"/>
    <col min="7440" max="7442" width="8.7109375" style="47" bestFit="1" customWidth="1"/>
    <col min="7443" max="7443" width="8.7109375" style="47" customWidth="1"/>
    <col min="7444" max="7680" width="9.140625" style="47"/>
    <col min="7681" max="7681" width="7.42578125" style="47" customWidth="1"/>
    <col min="7682" max="7682" width="4.7109375" style="47" bestFit="1" customWidth="1"/>
    <col min="7683" max="7683" width="9.140625" style="47"/>
    <col min="7684" max="7685" width="5.140625" style="47" bestFit="1" customWidth="1"/>
    <col min="7686" max="7686" width="2" style="47" bestFit="1" customWidth="1"/>
    <col min="7687" max="7687" width="28.85546875" style="47" customWidth="1"/>
    <col min="7688" max="7692" width="0" style="47" hidden="1" customWidth="1"/>
    <col min="7693" max="7693" width="8.7109375" style="47" bestFit="1" customWidth="1"/>
    <col min="7694" max="7694" width="10" style="47" customWidth="1"/>
    <col min="7695" max="7695" width="9.42578125" style="47" customWidth="1"/>
    <col min="7696" max="7698" width="8.7109375" style="47" bestFit="1" customWidth="1"/>
    <col min="7699" max="7699" width="8.7109375" style="47" customWidth="1"/>
    <col min="7700" max="7936" width="9.140625" style="47"/>
    <col min="7937" max="7937" width="7.42578125" style="47" customWidth="1"/>
    <col min="7938" max="7938" width="4.7109375" style="47" bestFit="1" customWidth="1"/>
    <col min="7939" max="7939" width="9.140625" style="47"/>
    <col min="7940" max="7941" width="5.140625" style="47" bestFit="1" customWidth="1"/>
    <col min="7942" max="7942" width="2" style="47" bestFit="1" customWidth="1"/>
    <col min="7943" max="7943" width="28.85546875" style="47" customWidth="1"/>
    <col min="7944" max="7948" width="0" style="47" hidden="1" customWidth="1"/>
    <col min="7949" max="7949" width="8.7109375" style="47" bestFit="1" customWidth="1"/>
    <col min="7950" max="7950" width="10" style="47" customWidth="1"/>
    <col min="7951" max="7951" width="9.42578125" style="47" customWidth="1"/>
    <col min="7952" max="7954" width="8.7109375" style="47" bestFit="1" customWidth="1"/>
    <col min="7955" max="7955" width="8.7109375" style="47" customWidth="1"/>
    <col min="7956" max="8192" width="9.140625" style="47"/>
    <col min="8193" max="8193" width="7.42578125" style="47" customWidth="1"/>
    <col min="8194" max="8194" width="4.7109375" style="47" bestFit="1" customWidth="1"/>
    <col min="8195" max="8195" width="9.140625" style="47"/>
    <col min="8196" max="8197" width="5.140625" style="47" bestFit="1" customWidth="1"/>
    <col min="8198" max="8198" width="2" style="47" bestFit="1" customWidth="1"/>
    <col min="8199" max="8199" width="28.85546875" style="47" customWidth="1"/>
    <col min="8200" max="8204" width="0" style="47" hidden="1" customWidth="1"/>
    <col min="8205" max="8205" width="8.7109375" style="47" bestFit="1" customWidth="1"/>
    <col min="8206" max="8206" width="10" style="47" customWidth="1"/>
    <col min="8207" max="8207" width="9.42578125" style="47" customWidth="1"/>
    <col min="8208" max="8210" width="8.7109375" style="47" bestFit="1" customWidth="1"/>
    <col min="8211" max="8211" width="8.7109375" style="47" customWidth="1"/>
    <col min="8212" max="8448" width="9.140625" style="47"/>
    <col min="8449" max="8449" width="7.42578125" style="47" customWidth="1"/>
    <col min="8450" max="8450" width="4.7109375" style="47" bestFit="1" customWidth="1"/>
    <col min="8451" max="8451" width="9.140625" style="47"/>
    <col min="8452" max="8453" width="5.140625" style="47" bestFit="1" customWidth="1"/>
    <col min="8454" max="8454" width="2" style="47" bestFit="1" customWidth="1"/>
    <col min="8455" max="8455" width="28.85546875" style="47" customWidth="1"/>
    <col min="8456" max="8460" width="0" style="47" hidden="1" customWidth="1"/>
    <col min="8461" max="8461" width="8.7109375" style="47" bestFit="1" customWidth="1"/>
    <col min="8462" max="8462" width="10" style="47" customWidth="1"/>
    <col min="8463" max="8463" width="9.42578125" style="47" customWidth="1"/>
    <col min="8464" max="8466" width="8.7109375" style="47" bestFit="1" customWidth="1"/>
    <col min="8467" max="8467" width="8.7109375" style="47" customWidth="1"/>
    <col min="8468" max="8704" width="9.140625" style="47"/>
    <col min="8705" max="8705" width="7.42578125" style="47" customWidth="1"/>
    <col min="8706" max="8706" width="4.7109375" style="47" bestFit="1" customWidth="1"/>
    <col min="8707" max="8707" width="9.140625" style="47"/>
    <col min="8708" max="8709" width="5.140625" style="47" bestFit="1" customWidth="1"/>
    <col min="8710" max="8710" width="2" style="47" bestFit="1" customWidth="1"/>
    <col min="8711" max="8711" width="28.85546875" style="47" customWidth="1"/>
    <col min="8712" max="8716" width="0" style="47" hidden="1" customWidth="1"/>
    <col min="8717" max="8717" width="8.7109375" style="47" bestFit="1" customWidth="1"/>
    <col min="8718" max="8718" width="10" style="47" customWidth="1"/>
    <col min="8719" max="8719" width="9.42578125" style="47" customWidth="1"/>
    <col min="8720" max="8722" width="8.7109375" style="47" bestFit="1" customWidth="1"/>
    <col min="8723" max="8723" width="8.7109375" style="47" customWidth="1"/>
    <col min="8724" max="8960" width="9.140625" style="47"/>
    <col min="8961" max="8961" width="7.42578125" style="47" customWidth="1"/>
    <col min="8962" max="8962" width="4.7109375" style="47" bestFit="1" customWidth="1"/>
    <col min="8963" max="8963" width="9.140625" style="47"/>
    <col min="8964" max="8965" width="5.140625" style="47" bestFit="1" customWidth="1"/>
    <col min="8966" max="8966" width="2" style="47" bestFit="1" customWidth="1"/>
    <col min="8967" max="8967" width="28.85546875" style="47" customWidth="1"/>
    <col min="8968" max="8972" width="0" style="47" hidden="1" customWidth="1"/>
    <col min="8973" max="8973" width="8.7109375" style="47" bestFit="1" customWidth="1"/>
    <col min="8974" max="8974" width="10" style="47" customWidth="1"/>
    <col min="8975" max="8975" width="9.42578125" style="47" customWidth="1"/>
    <col min="8976" max="8978" width="8.7109375" style="47" bestFit="1" customWidth="1"/>
    <col min="8979" max="8979" width="8.7109375" style="47" customWidth="1"/>
    <col min="8980" max="9216" width="9.140625" style="47"/>
    <col min="9217" max="9217" width="7.42578125" style="47" customWidth="1"/>
    <col min="9218" max="9218" width="4.7109375" style="47" bestFit="1" customWidth="1"/>
    <col min="9219" max="9219" width="9.140625" style="47"/>
    <col min="9220" max="9221" width="5.140625" style="47" bestFit="1" customWidth="1"/>
    <col min="9222" max="9222" width="2" style="47" bestFit="1" customWidth="1"/>
    <col min="9223" max="9223" width="28.85546875" style="47" customWidth="1"/>
    <col min="9224" max="9228" width="0" style="47" hidden="1" customWidth="1"/>
    <col min="9229" max="9229" width="8.7109375" style="47" bestFit="1" customWidth="1"/>
    <col min="9230" max="9230" width="10" style="47" customWidth="1"/>
    <col min="9231" max="9231" width="9.42578125" style="47" customWidth="1"/>
    <col min="9232" max="9234" width="8.7109375" style="47" bestFit="1" customWidth="1"/>
    <col min="9235" max="9235" width="8.7109375" style="47" customWidth="1"/>
    <col min="9236" max="9472" width="9.140625" style="47"/>
    <col min="9473" max="9473" width="7.42578125" style="47" customWidth="1"/>
    <col min="9474" max="9474" width="4.7109375" style="47" bestFit="1" customWidth="1"/>
    <col min="9475" max="9475" width="9.140625" style="47"/>
    <col min="9476" max="9477" width="5.140625" style="47" bestFit="1" customWidth="1"/>
    <col min="9478" max="9478" width="2" style="47" bestFit="1" customWidth="1"/>
    <col min="9479" max="9479" width="28.85546875" style="47" customWidth="1"/>
    <col min="9480" max="9484" width="0" style="47" hidden="1" customWidth="1"/>
    <col min="9485" max="9485" width="8.7109375" style="47" bestFit="1" customWidth="1"/>
    <col min="9486" max="9486" width="10" style="47" customWidth="1"/>
    <col min="9487" max="9487" width="9.42578125" style="47" customWidth="1"/>
    <col min="9488" max="9490" width="8.7109375" style="47" bestFit="1" customWidth="1"/>
    <col min="9491" max="9491" width="8.7109375" style="47" customWidth="1"/>
    <col min="9492" max="9728" width="9.140625" style="47"/>
    <col min="9729" max="9729" width="7.42578125" style="47" customWidth="1"/>
    <col min="9730" max="9730" width="4.7109375" style="47" bestFit="1" customWidth="1"/>
    <col min="9731" max="9731" width="9.140625" style="47"/>
    <col min="9732" max="9733" width="5.140625" style="47" bestFit="1" customWidth="1"/>
    <col min="9734" max="9734" width="2" style="47" bestFit="1" customWidth="1"/>
    <col min="9735" max="9735" width="28.85546875" style="47" customWidth="1"/>
    <col min="9736" max="9740" width="0" style="47" hidden="1" customWidth="1"/>
    <col min="9741" max="9741" width="8.7109375" style="47" bestFit="1" customWidth="1"/>
    <col min="9742" max="9742" width="10" style="47" customWidth="1"/>
    <col min="9743" max="9743" width="9.42578125" style="47" customWidth="1"/>
    <col min="9744" max="9746" width="8.7109375" style="47" bestFit="1" customWidth="1"/>
    <col min="9747" max="9747" width="8.7109375" style="47" customWidth="1"/>
    <col min="9748" max="9984" width="9.140625" style="47"/>
    <col min="9985" max="9985" width="7.42578125" style="47" customWidth="1"/>
    <col min="9986" max="9986" width="4.7109375" style="47" bestFit="1" customWidth="1"/>
    <col min="9987" max="9987" width="9.140625" style="47"/>
    <col min="9988" max="9989" width="5.140625" style="47" bestFit="1" customWidth="1"/>
    <col min="9990" max="9990" width="2" style="47" bestFit="1" customWidth="1"/>
    <col min="9991" max="9991" width="28.85546875" style="47" customWidth="1"/>
    <col min="9992" max="9996" width="0" style="47" hidden="1" customWidth="1"/>
    <col min="9997" max="9997" width="8.7109375" style="47" bestFit="1" customWidth="1"/>
    <col min="9998" max="9998" width="10" style="47" customWidth="1"/>
    <col min="9999" max="9999" width="9.42578125" style="47" customWidth="1"/>
    <col min="10000" max="10002" width="8.7109375" style="47" bestFit="1" customWidth="1"/>
    <col min="10003" max="10003" width="8.7109375" style="47" customWidth="1"/>
    <col min="10004" max="10240" width="9.140625" style="47"/>
    <col min="10241" max="10241" width="7.42578125" style="47" customWidth="1"/>
    <col min="10242" max="10242" width="4.7109375" style="47" bestFit="1" customWidth="1"/>
    <col min="10243" max="10243" width="9.140625" style="47"/>
    <col min="10244" max="10245" width="5.140625" style="47" bestFit="1" customWidth="1"/>
    <col min="10246" max="10246" width="2" style="47" bestFit="1" customWidth="1"/>
    <col min="10247" max="10247" width="28.85546875" style="47" customWidth="1"/>
    <col min="10248" max="10252" width="0" style="47" hidden="1" customWidth="1"/>
    <col min="10253" max="10253" width="8.7109375" style="47" bestFit="1" customWidth="1"/>
    <col min="10254" max="10254" width="10" style="47" customWidth="1"/>
    <col min="10255" max="10255" width="9.42578125" style="47" customWidth="1"/>
    <col min="10256" max="10258" width="8.7109375" style="47" bestFit="1" customWidth="1"/>
    <col min="10259" max="10259" width="8.7109375" style="47" customWidth="1"/>
    <col min="10260" max="10496" width="9.140625" style="47"/>
    <col min="10497" max="10497" width="7.42578125" style="47" customWidth="1"/>
    <col min="10498" max="10498" width="4.7109375" style="47" bestFit="1" customWidth="1"/>
    <col min="10499" max="10499" width="9.140625" style="47"/>
    <col min="10500" max="10501" width="5.140625" style="47" bestFit="1" customWidth="1"/>
    <col min="10502" max="10502" width="2" style="47" bestFit="1" customWidth="1"/>
    <col min="10503" max="10503" width="28.85546875" style="47" customWidth="1"/>
    <col min="10504" max="10508" width="0" style="47" hidden="1" customWidth="1"/>
    <col min="10509" max="10509" width="8.7109375" style="47" bestFit="1" customWidth="1"/>
    <col min="10510" max="10510" width="10" style="47" customWidth="1"/>
    <col min="10511" max="10511" width="9.42578125" style="47" customWidth="1"/>
    <col min="10512" max="10514" width="8.7109375" style="47" bestFit="1" customWidth="1"/>
    <col min="10515" max="10515" width="8.7109375" style="47" customWidth="1"/>
    <col min="10516" max="10752" width="9.140625" style="47"/>
    <col min="10753" max="10753" width="7.42578125" style="47" customWidth="1"/>
    <col min="10754" max="10754" width="4.7109375" style="47" bestFit="1" customWidth="1"/>
    <col min="10755" max="10755" width="9.140625" style="47"/>
    <col min="10756" max="10757" width="5.140625" style="47" bestFit="1" customWidth="1"/>
    <col min="10758" max="10758" width="2" style="47" bestFit="1" customWidth="1"/>
    <col min="10759" max="10759" width="28.85546875" style="47" customWidth="1"/>
    <col min="10760" max="10764" width="0" style="47" hidden="1" customWidth="1"/>
    <col min="10765" max="10765" width="8.7109375" style="47" bestFit="1" customWidth="1"/>
    <col min="10766" max="10766" width="10" style="47" customWidth="1"/>
    <col min="10767" max="10767" width="9.42578125" style="47" customWidth="1"/>
    <col min="10768" max="10770" width="8.7109375" style="47" bestFit="1" customWidth="1"/>
    <col min="10771" max="10771" width="8.7109375" style="47" customWidth="1"/>
    <col min="10772" max="11008" width="9.140625" style="47"/>
    <col min="11009" max="11009" width="7.42578125" style="47" customWidth="1"/>
    <col min="11010" max="11010" width="4.7109375" style="47" bestFit="1" customWidth="1"/>
    <col min="11011" max="11011" width="9.140625" style="47"/>
    <col min="11012" max="11013" width="5.140625" style="47" bestFit="1" customWidth="1"/>
    <col min="11014" max="11014" width="2" style="47" bestFit="1" customWidth="1"/>
    <col min="11015" max="11015" width="28.85546875" style="47" customWidth="1"/>
    <col min="11016" max="11020" width="0" style="47" hidden="1" customWidth="1"/>
    <col min="11021" max="11021" width="8.7109375" style="47" bestFit="1" customWidth="1"/>
    <col min="11022" max="11022" width="10" style="47" customWidth="1"/>
    <col min="11023" max="11023" width="9.42578125" style="47" customWidth="1"/>
    <col min="11024" max="11026" width="8.7109375" style="47" bestFit="1" customWidth="1"/>
    <col min="11027" max="11027" width="8.7109375" style="47" customWidth="1"/>
    <col min="11028" max="11264" width="9.140625" style="47"/>
    <col min="11265" max="11265" width="7.42578125" style="47" customWidth="1"/>
    <col min="11266" max="11266" width="4.7109375" style="47" bestFit="1" customWidth="1"/>
    <col min="11267" max="11267" width="9.140625" style="47"/>
    <col min="11268" max="11269" width="5.140625" style="47" bestFit="1" customWidth="1"/>
    <col min="11270" max="11270" width="2" style="47" bestFit="1" customWidth="1"/>
    <col min="11271" max="11271" width="28.85546875" style="47" customWidth="1"/>
    <col min="11272" max="11276" width="0" style="47" hidden="1" customWidth="1"/>
    <col min="11277" max="11277" width="8.7109375" style="47" bestFit="1" customWidth="1"/>
    <col min="11278" max="11278" width="10" style="47" customWidth="1"/>
    <col min="11279" max="11279" width="9.42578125" style="47" customWidth="1"/>
    <col min="11280" max="11282" width="8.7109375" style="47" bestFit="1" customWidth="1"/>
    <col min="11283" max="11283" width="8.7109375" style="47" customWidth="1"/>
    <col min="11284" max="11520" width="9.140625" style="47"/>
    <col min="11521" max="11521" width="7.42578125" style="47" customWidth="1"/>
    <col min="11522" max="11522" width="4.7109375" style="47" bestFit="1" customWidth="1"/>
    <col min="11523" max="11523" width="9.140625" style="47"/>
    <col min="11524" max="11525" width="5.140625" style="47" bestFit="1" customWidth="1"/>
    <col min="11526" max="11526" width="2" style="47" bestFit="1" customWidth="1"/>
    <col min="11527" max="11527" width="28.85546875" style="47" customWidth="1"/>
    <col min="11528" max="11532" width="0" style="47" hidden="1" customWidth="1"/>
    <col min="11533" max="11533" width="8.7109375" style="47" bestFit="1" customWidth="1"/>
    <col min="11534" max="11534" width="10" style="47" customWidth="1"/>
    <col min="11535" max="11535" width="9.42578125" style="47" customWidth="1"/>
    <col min="11536" max="11538" width="8.7109375" style="47" bestFit="1" customWidth="1"/>
    <col min="11539" max="11539" width="8.7109375" style="47" customWidth="1"/>
    <col min="11540" max="11776" width="9.140625" style="47"/>
    <col min="11777" max="11777" width="7.42578125" style="47" customWidth="1"/>
    <col min="11778" max="11778" width="4.7109375" style="47" bestFit="1" customWidth="1"/>
    <col min="11779" max="11779" width="9.140625" style="47"/>
    <col min="11780" max="11781" width="5.140625" style="47" bestFit="1" customWidth="1"/>
    <col min="11782" max="11782" width="2" style="47" bestFit="1" customWidth="1"/>
    <col min="11783" max="11783" width="28.85546875" style="47" customWidth="1"/>
    <col min="11784" max="11788" width="0" style="47" hidden="1" customWidth="1"/>
    <col min="11789" max="11789" width="8.7109375" style="47" bestFit="1" customWidth="1"/>
    <col min="11790" max="11790" width="10" style="47" customWidth="1"/>
    <col min="11791" max="11791" width="9.42578125" style="47" customWidth="1"/>
    <col min="11792" max="11794" width="8.7109375" style="47" bestFit="1" customWidth="1"/>
    <col min="11795" max="11795" width="8.7109375" style="47" customWidth="1"/>
    <col min="11796" max="12032" width="9.140625" style="47"/>
    <col min="12033" max="12033" width="7.42578125" style="47" customWidth="1"/>
    <col min="12034" max="12034" width="4.7109375" style="47" bestFit="1" customWidth="1"/>
    <col min="12035" max="12035" width="9.140625" style="47"/>
    <col min="12036" max="12037" width="5.140625" style="47" bestFit="1" customWidth="1"/>
    <col min="12038" max="12038" width="2" style="47" bestFit="1" customWidth="1"/>
    <col min="12039" max="12039" width="28.85546875" style="47" customWidth="1"/>
    <col min="12040" max="12044" width="0" style="47" hidden="1" customWidth="1"/>
    <col min="12045" max="12045" width="8.7109375" style="47" bestFit="1" customWidth="1"/>
    <col min="12046" max="12046" width="10" style="47" customWidth="1"/>
    <col min="12047" max="12047" width="9.42578125" style="47" customWidth="1"/>
    <col min="12048" max="12050" width="8.7109375" style="47" bestFit="1" customWidth="1"/>
    <col min="12051" max="12051" width="8.7109375" style="47" customWidth="1"/>
    <col min="12052" max="12288" width="9.140625" style="47"/>
    <col min="12289" max="12289" width="7.42578125" style="47" customWidth="1"/>
    <col min="12290" max="12290" width="4.7109375" style="47" bestFit="1" customWidth="1"/>
    <col min="12291" max="12291" width="9.140625" style="47"/>
    <col min="12292" max="12293" width="5.140625" style="47" bestFit="1" customWidth="1"/>
    <col min="12294" max="12294" width="2" style="47" bestFit="1" customWidth="1"/>
    <col min="12295" max="12295" width="28.85546875" style="47" customWidth="1"/>
    <col min="12296" max="12300" width="0" style="47" hidden="1" customWidth="1"/>
    <col min="12301" max="12301" width="8.7109375" style="47" bestFit="1" customWidth="1"/>
    <col min="12302" max="12302" width="10" style="47" customWidth="1"/>
    <col min="12303" max="12303" width="9.42578125" style="47" customWidth="1"/>
    <col min="12304" max="12306" width="8.7109375" style="47" bestFit="1" customWidth="1"/>
    <col min="12307" max="12307" width="8.7109375" style="47" customWidth="1"/>
    <col min="12308" max="12544" width="9.140625" style="47"/>
    <col min="12545" max="12545" width="7.42578125" style="47" customWidth="1"/>
    <col min="12546" max="12546" width="4.7109375" style="47" bestFit="1" customWidth="1"/>
    <col min="12547" max="12547" width="9.140625" style="47"/>
    <col min="12548" max="12549" width="5.140625" style="47" bestFit="1" customWidth="1"/>
    <col min="12550" max="12550" width="2" style="47" bestFit="1" customWidth="1"/>
    <col min="12551" max="12551" width="28.85546875" style="47" customWidth="1"/>
    <col min="12552" max="12556" width="0" style="47" hidden="1" customWidth="1"/>
    <col min="12557" max="12557" width="8.7109375" style="47" bestFit="1" customWidth="1"/>
    <col min="12558" max="12558" width="10" style="47" customWidth="1"/>
    <col min="12559" max="12559" width="9.42578125" style="47" customWidth="1"/>
    <col min="12560" max="12562" width="8.7109375" style="47" bestFit="1" customWidth="1"/>
    <col min="12563" max="12563" width="8.7109375" style="47" customWidth="1"/>
    <col min="12564" max="12800" width="9.140625" style="47"/>
    <col min="12801" max="12801" width="7.42578125" style="47" customWidth="1"/>
    <col min="12802" max="12802" width="4.7109375" style="47" bestFit="1" customWidth="1"/>
    <col min="12803" max="12803" width="9.140625" style="47"/>
    <col min="12804" max="12805" width="5.140625" style="47" bestFit="1" customWidth="1"/>
    <col min="12806" max="12806" width="2" style="47" bestFit="1" customWidth="1"/>
    <col min="12807" max="12807" width="28.85546875" style="47" customWidth="1"/>
    <col min="12808" max="12812" width="0" style="47" hidden="1" customWidth="1"/>
    <col min="12813" max="12813" width="8.7109375" style="47" bestFit="1" customWidth="1"/>
    <col min="12814" max="12814" width="10" style="47" customWidth="1"/>
    <col min="12815" max="12815" width="9.42578125" style="47" customWidth="1"/>
    <col min="12816" max="12818" width="8.7109375" style="47" bestFit="1" customWidth="1"/>
    <col min="12819" max="12819" width="8.7109375" style="47" customWidth="1"/>
    <col min="12820" max="13056" width="9.140625" style="47"/>
    <col min="13057" max="13057" width="7.42578125" style="47" customWidth="1"/>
    <col min="13058" max="13058" width="4.7109375" style="47" bestFit="1" customWidth="1"/>
    <col min="13059" max="13059" width="9.140625" style="47"/>
    <col min="13060" max="13061" width="5.140625" style="47" bestFit="1" customWidth="1"/>
    <col min="13062" max="13062" width="2" style="47" bestFit="1" customWidth="1"/>
    <col min="13063" max="13063" width="28.85546875" style="47" customWidth="1"/>
    <col min="13064" max="13068" width="0" style="47" hidden="1" customWidth="1"/>
    <col min="13069" max="13069" width="8.7109375" style="47" bestFit="1" customWidth="1"/>
    <col min="13070" max="13070" width="10" style="47" customWidth="1"/>
    <col min="13071" max="13071" width="9.42578125" style="47" customWidth="1"/>
    <col min="13072" max="13074" width="8.7109375" style="47" bestFit="1" customWidth="1"/>
    <col min="13075" max="13075" width="8.7109375" style="47" customWidth="1"/>
    <col min="13076" max="13312" width="9.140625" style="47"/>
    <col min="13313" max="13313" width="7.42578125" style="47" customWidth="1"/>
    <col min="13314" max="13314" width="4.7109375" style="47" bestFit="1" customWidth="1"/>
    <col min="13315" max="13315" width="9.140625" style="47"/>
    <col min="13316" max="13317" width="5.140625" style="47" bestFit="1" customWidth="1"/>
    <col min="13318" max="13318" width="2" style="47" bestFit="1" customWidth="1"/>
    <col min="13319" max="13319" width="28.85546875" style="47" customWidth="1"/>
    <col min="13320" max="13324" width="0" style="47" hidden="1" customWidth="1"/>
    <col min="13325" max="13325" width="8.7109375" style="47" bestFit="1" customWidth="1"/>
    <col min="13326" max="13326" width="10" style="47" customWidth="1"/>
    <col min="13327" max="13327" width="9.42578125" style="47" customWidth="1"/>
    <col min="13328" max="13330" width="8.7109375" style="47" bestFit="1" customWidth="1"/>
    <col min="13331" max="13331" width="8.7109375" style="47" customWidth="1"/>
    <col min="13332" max="13568" width="9.140625" style="47"/>
    <col min="13569" max="13569" width="7.42578125" style="47" customWidth="1"/>
    <col min="13570" max="13570" width="4.7109375" style="47" bestFit="1" customWidth="1"/>
    <col min="13571" max="13571" width="9.140625" style="47"/>
    <col min="13572" max="13573" width="5.140625" style="47" bestFit="1" customWidth="1"/>
    <col min="13574" max="13574" width="2" style="47" bestFit="1" customWidth="1"/>
    <col min="13575" max="13575" width="28.85546875" style="47" customWidth="1"/>
    <col min="13576" max="13580" width="0" style="47" hidden="1" customWidth="1"/>
    <col min="13581" max="13581" width="8.7109375" style="47" bestFit="1" customWidth="1"/>
    <col min="13582" max="13582" width="10" style="47" customWidth="1"/>
    <col min="13583" max="13583" width="9.42578125" style="47" customWidth="1"/>
    <col min="13584" max="13586" width="8.7109375" style="47" bestFit="1" customWidth="1"/>
    <col min="13587" max="13587" width="8.7109375" style="47" customWidth="1"/>
    <col min="13588" max="13824" width="9.140625" style="47"/>
    <col min="13825" max="13825" width="7.42578125" style="47" customWidth="1"/>
    <col min="13826" max="13826" width="4.7109375" style="47" bestFit="1" customWidth="1"/>
    <col min="13827" max="13827" width="9.140625" style="47"/>
    <col min="13828" max="13829" width="5.140625" style="47" bestFit="1" customWidth="1"/>
    <col min="13830" max="13830" width="2" style="47" bestFit="1" customWidth="1"/>
    <col min="13831" max="13831" width="28.85546875" style="47" customWidth="1"/>
    <col min="13832" max="13836" width="0" style="47" hidden="1" customWidth="1"/>
    <col min="13837" max="13837" width="8.7109375" style="47" bestFit="1" customWidth="1"/>
    <col min="13838" max="13838" width="10" style="47" customWidth="1"/>
    <col min="13839" max="13839" width="9.42578125" style="47" customWidth="1"/>
    <col min="13840" max="13842" width="8.7109375" style="47" bestFit="1" customWidth="1"/>
    <col min="13843" max="13843" width="8.7109375" style="47" customWidth="1"/>
    <col min="13844" max="14080" width="9.140625" style="47"/>
    <col min="14081" max="14081" width="7.42578125" style="47" customWidth="1"/>
    <col min="14082" max="14082" width="4.7109375" style="47" bestFit="1" customWidth="1"/>
    <col min="14083" max="14083" width="9.140625" style="47"/>
    <col min="14084" max="14085" width="5.140625" style="47" bestFit="1" customWidth="1"/>
    <col min="14086" max="14086" width="2" style="47" bestFit="1" customWidth="1"/>
    <col min="14087" max="14087" width="28.85546875" style="47" customWidth="1"/>
    <col min="14088" max="14092" width="0" style="47" hidden="1" customWidth="1"/>
    <col min="14093" max="14093" width="8.7109375" style="47" bestFit="1" customWidth="1"/>
    <col min="14094" max="14094" width="10" style="47" customWidth="1"/>
    <col min="14095" max="14095" width="9.42578125" style="47" customWidth="1"/>
    <col min="14096" max="14098" width="8.7109375" style="47" bestFit="1" customWidth="1"/>
    <col min="14099" max="14099" width="8.7109375" style="47" customWidth="1"/>
    <col min="14100" max="14336" width="9.140625" style="47"/>
    <col min="14337" max="14337" width="7.42578125" style="47" customWidth="1"/>
    <col min="14338" max="14338" width="4.7109375" style="47" bestFit="1" customWidth="1"/>
    <col min="14339" max="14339" width="9.140625" style="47"/>
    <col min="14340" max="14341" width="5.140625" style="47" bestFit="1" customWidth="1"/>
    <col min="14342" max="14342" width="2" style="47" bestFit="1" customWidth="1"/>
    <col min="14343" max="14343" width="28.85546875" style="47" customWidth="1"/>
    <col min="14344" max="14348" width="0" style="47" hidden="1" customWidth="1"/>
    <col min="14349" max="14349" width="8.7109375" style="47" bestFit="1" customWidth="1"/>
    <col min="14350" max="14350" width="10" style="47" customWidth="1"/>
    <col min="14351" max="14351" width="9.42578125" style="47" customWidth="1"/>
    <col min="14352" max="14354" width="8.7109375" style="47" bestFit="1" customWidth="1"/>
    <col min="14355" max="14355" width="8.7109375" style="47" customWidth="1"/>
    <col min="14356" max="14592" width="9.140625" style="47"/>
    <col min="14593" max="14593" width="7.42578125" style="47" customWidth="1"/>
    <col min="14594" max="14594" width="4.7109375" style="47" bestFit="1" customWidth="1"/>
    <col min="14595" max="14595" width="9.140625" style="47"/>
    <col min="14596" max="14597" width="5.140625" style="47" bestFit="1" customWidth="1"/>
    <col min="14598" max="14598" width="2" style="47" bestFit="1" customWidth="1"/>
    <col min="14599" max="14599" width="28.85546875" style="47" customWidth="1"/>
    <col min="14600" max="14604" width="0" style="47" hidden="1" customWidth="1"/>
    <col min="14605" max="14605" width="8.7109375" style="47" bestFit="1" customWidth="1"/>
    <col min="14606" max="14606" width="10" style="47" customWidth="1"/>
    <col min="14607" max="14607" width="9.42578125" style="47" customWidth="1"/>
    <col min="14608" max="14610" width="8.7109375" style="47" bestFit="1" customWidth="1"/>
    <col min="14611" max="14611" width="8.7109375" style="47" customWidth="1"/>
    <col min="14612" max="14848" width="9.140625" style="47"/>
    <col min="14849" max="14849" width="7.42578125" style="47" customWidth="1"/>
    <col min="14850" max="14850" width="4.7109375" style="47" bestFit="1" customWidth="1"/>
    <col min="14851" max="14851" width="9.140625" style="47"/>
    <col min="14852" max="14853" width="5.140625" style="47" bestFit="1" customWidth="1"/>
    <col min="14854" max="14854" width="2" style="47" bestFit="1" customWidth="1"/>
    <col min="14855" max="14855" width="28.85546875" style="47" customWidth="1"/>
    <col min="14856" max="14860" width="0" style="47" hidden="1" customWidth="1"/>
    <col min="14861" max="14861" width="8.7109375" style="47" bestFit="1" customWidth="1"/>
    <col min="14862" max="14862" width="10" style="47" customWidth="1"/>
    <col min="14863" max="14863" width="9.42578125" style="47" customWidth="1"/>
    <col min="14864" max="14866" width="8.7109375" style="47" bestFit="1" customWidth="1"/>
    <col min="14867" max="14867" width="8.7109375" style="47" customWidth="1"/>
    <col min="14868" max="15104" width="9.140625" style="47"/>
    <col min="15105" max="15105" width="7.42578125" style="47" customWidth="1"/>
    <col min="15106" max="15106" width="4.7109375" style="47" bestFit="1" customWidth="1"/>
    <col min="15107" max="15107" width="9.140625" style="47"/>
    <col min="15108" max="15109" width="5.140625" style="47" bestFit="1" customWidth="1"/>
    <col min="15110" max="15110" width="2" style="47" bestFit="1" customWidth="1"/>
    <col min="15111" max="15111" width="28.85546875" style="47" customWidth="1"/>
    <col min="15112" max="15116" width="0" style="47" hidden="1" customWidth="1"/>
    <col min="15117" max="15117" width="8.7109375" style="47" bestFit="1" customWidth="1"/>
    <col min="15118" max="15118" width="10" style="47" customWidth="1"/>
    <col min="15119" max="15119" width="9.42578125" style="47" customWidth="1"/>
    <col min="15120" max="15122" width="8.7109375" style="47" bestFit="1" customWidth="1"/>
    <col min="15123" max="15123" width="8.7109375" style="47" customWidth="1"/>
    <col min="15124" max="15360" width="9.140625" style="47"/>
    <col min="15361" max="15361" width="7.42578125" style="47" customWidth="1"/>
    <col min="15362" max="15362" width="4.7109375" style="47" bestFit="1" customWidth="1"/>
    <col min="15363" max="15363" width="9.140625" style="47"/>
    <col min="15364" max="15365" width="5.140625" style="47" bestFit="1" customWidth="1"/>
    <col min="15366" max="15366" width="2" style="47" bestFit="1" customWidth="1"/>
    <col min="15367" max="15367" width="28.85546875" style="47" customWidth="1"/>
    <col min="15368" max="15372" width="0" style="47" hidden="1" customWidth="1"/>
    <col min="15373" max="15373" width="8.7109375" style="47" bestFit="1" customWidth="1"/>
    <col min="15374" max="15374" width="10" style="47" customWidth="1"/>
    <col min="15375" max="15375" width="9.42578125" style="47" customWidth="1"/>
    <col min="15376" max="15378" width="8.7109375" style="47" bestFit="1" customWidth="1"/>
    <col min="15379" max="15379" width="8.7109375" style="47" customWidth="1"/>
    <col min="15380" max="15616" width="9.140625" style="47"/>
    <col min="15617" max="15617" width="7.42578125" style="47" customWidth="1"/>
    <col min="15618" max="15618" width="4.7109375" style="47" bestFit="1" customWidth="1"/>
    <col min="15619" max="15619" width="9.140625" style="47"/>
    <col min="15620" max="15621" width="5.140625" style="47" bestFit="1" customWidth="1"/>
    <col min="15622" max="15622" width="2" style="47" bestFit="1" customWidth="1"/>
    <col min="15623" max="15623" width="28.85546875" style="47" customWidth="1"/>
    <col min="15624" max="15628" width="0" style="47" hidden="1" customWidth="1"/>
    <col min="15629" max="15629" width="8.7109375" style="47" bestFit="1" customWidth="1"/>
    <col min="15630" max="15630" width="10" style="47" customWidth="1"/>
    <col min="15631" max="15631" width="9.42578125" style="47" customWidth="1"/>
    <col min="15632" max="15634" width="8.7109375" style="47" bestFit="1" customWidth="1"/>
    <col min="15635" max="15635" width="8.7109375" style="47" customWidth="1"/>
    <col min="15636" max="15872" width="9.140625" style="47"/>
    <col min="15873" max="15873" width="7.42578125" style="47" customWidth="1"/>
    <col min="15874" max="15874" width="4.7109375" style="47" bestFit="1" customWidth="1"/>
    <col min="15875" max="15875" width="9.140625" style="47"/>
    <col min="15876" max="15877" width="5.140625" style="47" bestFit="1" customWidth="1"/>
    <col min="15878" max="15878" width="2" style="47" bestFit="1" customWidth="1"/>
    <col min="15879" max="15879" width="28.85546875" style="47" customWidth="1"/>
    <col min="15880" max="15884" width="0" style="47" hidden="1" customWidth="1"/>
    <col min="15885" max="15885" width="8.7109375" style="47" bestFit="1" customWidth="1"/>
    <col min="15886" max="15886" width="10" style="47" customWidth="1"/>
    <col min="15887" max="15887" width="9.42578125" style="47" customWidth="1"/>
    <col min="15888" max="15890" width="8.7109375" style="47" bestFit="1" customWidth="1"/>
    <col min="15891" max="15891" width="8.7109375" style="47" customWidth="1"/>
    <col min="15892" max="16128" width="9.140625" style="47"/>
    <col min="16129" max="16129" width="7.42578125" style="47" customWidth="1"/>
    <col min="16130" max="16130" width="4.7109375" style="47" bestFit="1" customWidth="1"/>
    <col min="16131" max="16131" width="9.140625" style="47"/>
    <col min="16132" max="16133" width="5.140625" style="47" bestFit="1" customWidth="1"/>
    <col min="16134" max="16134" width="2" style="47" bestFit="1" customWidth="1"/>
    <col min="16135" max="16135" width="28.85546875" style="47" customWidth="1"/>
    <col min="16136" max="16140" width="0" style="47" hidden="1" customWidth="1"/>
    <col min="16141" max="16141" width="8.7109375" style="47" bestFit="1" customWidth="1"/>
    <col min="16142" max="16142" width="10" style="47" customWidth="1"/>
    <col min="16143" max="16143" width="9.42578125" style="47" customWidth="1"/>
    <col min="16144" max="16146" width="8.7109375" style="47" bestFit="1" customWidth="1"/>
    <col min="16147" max="16147" width="8.7109375" style="47" customWidth="1"/>
    <col min="16148" max="16384" width="9.140625" style="47"/>
  </cols>
  <sheetData>
    <row r="1" spans="1:19" x14ac:dyDescent="0.2">
      <c r="A1" s="1"/>
      <c r="B1" s="2"/>
      <c r="C1" s="3"/>
      <c r="D1" s="3"/>
      <c r="E1" s="1"/>
      <c r="F1" s="1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</row>
    <row r="2" spans="1:19" x14ac:dyDescent="0.2">
      <c r="A2" s="3" t="s">
        <v>0</v>
      </c>
      <c r="B2" s="5" t="s">
        <v>1</v>
      </c>
      <c r="C2" s="3" t="s">
        <v>2</v>
      </c>
      <c r="D2" s="3"/>
      <c r="E2" s="1" t="s">
        <v>3</v>
      </c>
      <c r="F2" s="1"/>
      <c r="G2" s="49" t="s">
        <v>604</v>
      </c>
      <c r="H2" s="50"/>
      <c r="I2" s="51"/>
      <c r="J2" s="52"/>
      <c r="K2" s="50"/>
      <c r="L2" s="52"/>
      <c r="M2" s="71" t="s">
        <v>366</v>
      </c>
      <c r="N2" s="122" t="s">
        <v>605</v>
      </c>
      <c r="O2" s="72"/>
      <c r="P2" s="72"/>
      <c r="Q2" s="72"/>
      <c r="R2" s="73"/>
    </row>
    <row r="3" spans="1:19" x14ac:dyDescent="0.2">
      <c r="A3" s="1"/>
      <c r="B3" s="6"/>
      <c r="C3" s="3"/>
      <c r="D3" s="3"/>
      <c r="E3" s="1"/>
      <c r="F3" s="1"/>
      <c r="G3" s="53" t="s">
        <v>4</v>
      </c>
      <c r="H3" s="54">
        <v>40908</v>
      </c>
      <c r="I3" s="54">
        <v>41274</v>
      </c>
      <c r="J3" s="54">
        <v>41639</v>
      </c>
      <c r="K3" s="54">
        <v>42004</v>
      </c>
      <c r="L3" s="54">
        <v>42369</v>
      </c>
      <c r="M3" s="54">
        <v>42735</v>
      </c>
      <c r="N3" s="54">
        <v>43100</v>
      </c>
      <c r="O3" s="54">
        <v>43465</v>
      </c>
      <c r="P3" s="54">
        <v>43830</v>
      </c>
      <c r="Q3" s="54">
        <v>44196</v>
      </c>
      <c r="R3" s="54">
        <v>44561</v>
      </c>
      <c r="S3" s="54">
        <v>44926</v>
      </c>
    </row>
    <row r="4" spans="1:19" x14ac:dyDescent="0.2">
      <c r="A4" s="7"/>
      <c r="B4" s="2" t="s">
        <v>5</v>
      </c>
      <c r="C4" s="3">
        <v>1</v>
      </c>
      <c r="D4" s="3"/>
      <c r="E4" s="5"/>
      <c r="F4" s="7"/>
      <c r="G4" s="55" t="s">
        <v>6</v>
      </c>
      <c r="H4" s="56">
        <f t="shared" ref="H4:S4" si="0">H5+H10</f>
        <v>0</v>
      </c>
      <c r="I4" s="56">
        <f t="shared" si="0"/>
        <v>3620.4450000000002</v>
      </c>
      <c r="J4" s="56">
        <f t="shared" si="0"/>
        <v>3460.8960000000002</v>
      </c>
      <c r="K4" s="56">
        <f t="shared" si="0"/>
        <v>3280.172</v>
      </c>
      <c r="L4" s="56">
        <f t="shared" si="0"/>
        <v>3553.0310000000004</v>
      </c>
      <c r="M4" s="56">
        <f t="shared" si="0"/>
        <v>3550.8779999999997</v>
      </c>
      <c r="N4" s="56">
        <f t="shared" si="0"/>
        <v>7244</v>
      </c>
      <c r="O4" s="56">
        <f t="shared" si="0"/>
        <v>6403</v>
      </c>
      <c r="P4" s="56">
        <f t="shared" si="0"/>
        <v>6715</v>
      </c>
      <c r="Q4" s="56">
        <f t="shared" si="0"/>
        <v>6726</v>
      </c>
      <c r="R4" s="56">
        <f t="shared" si="0"/>
        <v>6616</v>
      </c>
      <c r="S4" s="56">
        <f t="shared" si="0"/>
        <v>6567</v>
      </c>
    </row>
    <row r="5" spans="1:19" x14ac:dyDescent="0.2">
      <c r="A5" s="8"/>
      <c r="B5" s="2" t="s">
        <v>7</v>
      </c>
      <c r="C5" s="3">
        <v>10</v>
      </c>
      <c r="D5" s="3"/>
      <c r="E5" s="9"/>
      <c r="G5" s="57" t="s">
        <v>8</v>
      </c>
      <c r="H5" s="56">
        <f t="shared" ref="H5:R5" si="1">SUM(H6:H9)</f>
        <v>0</v>
      </c>
      <c r="I5" s="56">
        <f t="shared" si="1"/>
        <v>313.976</v>
      </c>
      <c r="J5" s="56">
        <f t="shared" si="1"/>
        <v>282.57799999999997</v>
      </c>
      <c r="K5" s="56">
        <f t="shared" si="1"/>
        <v>206.58200000000002</v>
      </c>
      <c r="L5" s="56">
        <f t="shared" si="1"/>
        <v>612.45799999999997</v>
      </c>
      <c r="M5" s="56">
        <f t="shared" si="1"/>
        <v>756.35799999999995</v>
      </c>
      <c r="N5" s="56">
        <f t="shared" si="1"/>
        <v>1121</v>
      </c>
      <c r="O5" s="56">
        <f t="shared" si="1"/>
        <v>622</v>
      </c>
      <c r="P5" s="56">
        <f t="shared" si="1"/>
        <v>326</v>
      </c>
      <c r="Q5" s="56">
        <f t="shared" si="1"/>
        <v>434</v>
      </c>
      <c r="R5" s="56">
        <f t="shared" si="1"/>
        <v>510</v>
      </c>
      <c r="S5" s="56">
        <f>SUM(S6:S9)</f>
        <v>526</v>
      </c>
    </row>
    <row r="6" spans="1:19" ht="12" x14ac:dyDescent="0.2">
      <c r="A6" s="8"/>
      <c r="B6" s="2" t="s">
        <v>9</v>
      </c>
      <c r="C6" s="10" t="s">
        <v>10</v>
      </c>
      <c r="D6" s="10"/>
      <c r="E6" s="11" t="s">
        <v>11</v>
      </c>
      <c r="G6" s="57" t="s">
        <v>12</v>
      </c>
      <c r="H6" s="58">
        <v>0</v>
      </c>
      <c r="I6" s="58">
        <v>239.215</v>
      </c>
      <c r="J6" s="58">
        <v>198.733</v>
      </c>
      <c r="K6" s="58">
        <v>122.63800000000001</v>
      </c>
      <c r="L6" s="58">
        <v>518.774</v>
      </c>
      <c r="M6" s="58">
        <v>659.279</v>
      </c>
      <c r="N6" s="76">
        <v>812</v>
      </c>
      <c r="O6" s="76">
        <v>301</v>
      </c>
      <c r="P6" s="76">
        <v>230</v>
      </c>
      <c r="Q6" s="76">
        <v>225</v>
      </c>
      <c r="R6" s="76">
        <v>314</v>
      </c>
      <c r="S6" s="58">
        <v>315</v>
      </c>
    </row>
    <row r="7" spans="1:19" ht="12" x14ac:dyDescent="0.2">
      <c r="A7" s="8"/>
      <c r="B7" s="2" t="s">
        <v>13</v>
      </c>
      <c r="C7" s="10" t="s">
        <v>14</v>
      </c>
      <c r="D7" s="10"/>
      <c r="E7" s="11" t="s">
        <v>11</v>
      </c>
      <c r="G7" s="57" t="s">
        <v>15</v>
      </c>
      <c r="H7" s="58">
        <v>0</v>
      </c>
      <c r="I7" s="58">
        <v>61.664000000000001</v>
      </c>
      <c r="J7" s="58">
        <v>71.188000000000002</v>
      </c>
      <c r="K7" s="58">
        <v>72.745000000000005</v>
      </c>
      <c r="L7" s="58">
        <v>82.516999999999996</v>
      </c>
      <c r="M7" s="58">
        <v>84.656000000000006</v>
      </c>
      <c r="N7" s="76">
        <v>297</v>
      </c>
      <c r="O7" s="76">
        <v>310</v>
      </c>
      <c r="P7" s="76">
        <v>85</v>
      </c>
      <c r="Q7" s="76">
        <v>198</v>
      </c>
      <c r="R7" s="76">
        <v>185</v>
      </c>
      <c r="S7" s="58">
        <v>200</v>
      </c>
    </row>
    <row r="8" spans="1:19" ht="12" x14ac:dyDescent="0.2">
      <c r="A8" s="8"/>
      <c r="B8" s="2" t="s">
        <v>16</v>
      </c>
      <c r="C8" s="10" t="s">
        <v>17</v>
      </c>
      <c r="D8" s="10"/>
      <c r="E8" s="11" t="s">
        <v>11</v>
      </c>
      <c r="G8" s="57" t="s">
        <v>18</v>
      </c>
      <c r="H8" s="58">
        <v>0</v>
      </c>
      <c r="I8" s="58">
        <v>0</v>
      </c>
      <c r="J8" s="58">
        <v>0</v>
      </c>
      <c r="K8" s="58">
        <v>0</v>
      </c>
      <c r="L8" s="58">
        <v>0</v>
      </c>
      <c r="M8" s="58">
        <v>0</v>
      </c>
      <c r="N8" s="76">
        <v>0</v>
      </c>
      <c r="O8" s="76">
        <v>0</v>
      </c>
      <c r="P8" s="76">
        <v>0</v>
      </c>
      <c r="Q8" s="76">
        <v>0</v>
      </c>
      <c r="R8" s="76">
        <v>0</v>
      </c>
      <c r="S8" s="58">
        <v>0</v>
      </c>
    </row>
    <row r="9" spans="1:19" x14ac:dyDescent="0.2">
      <c r="A9" s="8"/>
      <c r="B9" s="2" t="s">
        <v>19</v>
      </c>
      <c r="C9" s="10">
        <v>108</v>
      </c>
      <c r="D9" s="10"/>
      <c r="E9" s="12"/>
      <c r="G9" s="57" t="s">
        <v>20</v>
      </c>
      <c r="H9" s="58">
        <v>0</v>
      </c>
      <c r="I9" s="58">
        <v>13.097</v>
      </c>
      <c r="J9" s="58">
        <v>12.657</v>
      </c>
      <c r="K9" s="58">
        <v>11.199</v>
      </c>
      <c r="L9" s="58">
        <v>11.167</v>
      </c>
      <c r="M9" s="58">
        <v>12.423</v>
      </c>
      <c r="N9" s="76">
        <v>12</v>
      </c>
      <c r="O9" s="76">
        <v>11</v>
      </c>
      <c r="P9" s="76">
        <v>11</v>
      </c>
      <c r="Q9" s="76">
        <v>11</v>
      </c>
      <c r="R9" s="76">
        <v>11</v>
      </c>
      <c r="S9" s="58">
        <v>11</v>
      </c>
    </row>
    <row r="10" spans="1:19" x14ac:dyDescent="0.2">
      <c r="A10" s="13"/>
      <c r="B10" s="2" t="s">
        <v>21</v>
      </c>
      <c r="C10" s="14">
        <v>15</v>
      </c>
      <c r="D10" s="14"/>
      <c r="E10" s="12"/>
      <c r="F10" s="13"/>
      <c r="G10" s="57" t="s">
        <v>22</v>
      </c>
      <c r="H10" s="56">
        <f t="shared" ref="H10:S10" si="2">SUM(H11:H16)</f>
        <v>0</v>
      </c>
      <c r="I10" s="56">
        <f t="shared" si="2"/>
        <v>3306.4690000000001</v>
      </c>
      <c r="J10" s="56">
        <f t="shared" si="2"/>
        <v>3178.3180000000002</v>
      </c>
      <c r="K10" s="56">
        <f t="shared" si="2"/>
        <v>3073.59</v>
      </c>
      <c r="L10" s="56">
        <f t="shared" si="2"/>
        <v>2940.5730000000003</v>
      </c>
      <c r="M10" s="56">
        <f t="shared" si="2"/>
        <v>2794.52</v>
      </c>
      <c r="N10" s="77">
        <f t="shared" si="2"/>
        <v>6123</v>
      </c>
      <c r="O10" s="77">
        <f t="shared" si="2"/>
        <v>5781</v>
      </c>
      <c r="P10" s="77">
        <f t="shared" si="2"/>
        <v>6389</v>
      </c>
      <c r="Q10" s="77">
        <f t="shared" si="2"/>
        <v>6292</v>
      </c>
      <c r="R10" s="77">
        <f t="shared" si="2"/>
        <v>6106</v>
      </c>
      <c r="S10" s="56">
        <f t="shared" si="2"/>
        <v>6041</v>
      </c>
    </row>
    <row r="11" spans="1:19" ht="12" x14ac:dyDescent="0.2">
      <c r="A11" s="13"/>
      <c r="B11" s="2" t="s">
        <v>23</v>
      </c>
      <c r="C11" s="14">
        <v>150</v>
      </c>
      <c r="D11" s="14"/>
      <c r="E11" s="11" t="s">
        <v>11</v>
      </c>
      <c r="F11" s="13"/>
      <c r="G11" s="57" t="s">
        <v>24</v>
      </c>
      <c r="H11" s="58">
        <v>0</v>
      </c>
      <c r="I11" s="58">
        <v>0</v>
      </c>
      <c r="J11" s="58">
        <v>0</v>
      </c>
      <c r="K11" s="58">
        <v>0</v>
      </c>
      <c r="L11" s="58">
        <v>0</v>
      </c>
      <c r="M11" s="58">
        <v>0</v>
      </c>
      <c r="N11" s="76">
        <v>0</v>
      </c>
      <c r="O11" s="76">
        <v>0</v>
      </c>
      <c r="P11" s="76">
        <v>0</v>
      </c>
      <c r="Q11" s="76">
        <v>0</v>
      </c>
      <c r="R11" s="76">
        <v>0</v>
      </c>
      <c r="S11" s="58">
        <v>0</v>
      </c>
    </row>
    <row r="12" spans="1:19" ht="12" x14ac:dyDescent="0.2">
      <c r="A12" s="13"/>
      <c r="B12" s="2" t="s">
        <v>25</v>
      </c>
      <c r="C12" s="14">
        <v>151</v>
      </c>
      <c r="D12" s="14"/>
      <c r="E12" s="11" t="s">
        <v>11</v>
      </c>
      <c r="F12" s="13"/>
      <c r="G12" s="57" t="s">
        <v>26</v>
      </c>
      <c r="H12" s="58">
        <v>0</v>
      </c>
      <c r="I12" s="58">
        <v>0</v>
      </c>
      <c r="J12" s="58">
        <v>0</v>
      </c>
      <c r="K12" s="58">
        <v>0</v>
      </c>
      <c r="L12" s="58">
        <v>0</v>
      </c>
      <c r="M12" s="58">
        <v>0</v>
      </c>
      <c r="N12" s="76">
        <v>0</v>
      </c>
      <c r="O12" s="76">
        <v>0</v>
      </c>
      <c r="P12" s="76">
        <v>0</v>
      </c>
      <c r="Q12" s="76">
        <v>0</v>
      </c>
      <c r="R12" s="76">
        <v>0</v>
      </c>
      <c r="S12" s="58">
        <v>0</v>
      </c>
    </row>
    <row r="13" spans="1:19" ht="12" x14ac:dyDescent="0.2">
      <c r="A13" s="8"/>
      <c r="B13" s="2" t="s">
        <v>27</v>
      </c>
      <c r="C13" s="10" t="s">
        <v>28</v>
      </c>
      <c r="D13" s="10"/>
      <c r="E13" s="11" t="s">
        <v>11</v>
      </c>
      <c r="G13" s="57" t="s">
        <v>29</v>
      </c>
      <c r="H13" s="58">
        <v>0</v>
      </c>
      <c r="I13" s="58">
        <v>0</v>
      </c>
      <c r="J13" s="58">
        <v>0</v>
      </c>
      <c r="K13" s="58">
        <v>0</v>
      </c>
      <c r="L13" s="58">
        <v>0</v>
      </c>
      <c r="M13" s="58">
        <v>0</v>
      </c>
      <c r="N13" s="76">
        <v>0</v>
      </c>
      <c r="O13" s="76">
        <v>0</v>
      </c>
      <c r="P13" s="76">
        <v>0</v>
      </c>
      <c r="Q13" s="76">
        <v>0</v>
      </c>
      <c r="R13" s="76">
        <v>0</v>
      </c>
      <c r="S13" s="58">
        <v>0</v>
      </c>
    </row>
    <row r="14" spans="1:19" ht="12" x14ac:dyDescent="0.2">
      <c r="A14" s="8"/>
      <c r="B14" s="2" t="s">
        <v>30</v>
      </c>
      <c r="C14" s="10">
        <v>154</v>
      </c>
      <c r="D14" s="10"/>
      <c r="E14" s="11" t="s">
        <v>11</v>
      </c>
      <c r="G14" s="57" t="s">
        <v>31</v>
      </c>
      <c r="H14" s="58">
        <v>0</v>
      </c>
      <c r="I14" s="58">
        <v>142.547</v>
      </c>
      <c r="J14" s="58">
        <v>139.648</v>
      </c>
      <c r="K14" s="58">
        <v>136.74799999999999</v>
      </c>
      <c r="L14" s="58">
        <v>133.84899999999999</v>
      </c>
      <c r="M14" s="58">
        <v>130.94999999999999</v>
      </c>
      <c r="N14" s="76">
        <v>128</v>
      </c>
      <c r="O14" s="76">
        <v>125</v>
      </c>
      <c r="P14" s="76">
        <v>122</v>
      </c>
      <c r="Q14" s="76">
        <v>119</v>
      </c>
      <c r="R14" s="76">
        <v>116</v>
      </c>
      <c r="S14" s="58">
        <v>113</v>
      </c>
    </row>
    <row r="15" spans="1:19" ht="12" x14ac:dyDescent="0.2">
      <c r="A15" s="8"/>
      <c r="B15" s="2" t="s">
        <v>32</v>
      </c>
      <c r="C15" s="10" t="s">
        <v>33</v>
      </c>
      <c r="D15" s="10"/>
      <c r="E15" s="11" t="s">
        <v>11</v>
      </c>
      <c r="G15" s="57" t="s">
        <v>34</v>
      </c>
      <c r="H15" s="58">
        <v>0</v>
      </c>
      <c r="I15" s="58">
        <v>3163.922</v>
      </c>
      <c r="J15" s="58">
        <v>3038.67</v>
      </c>
      <c r="K15" s="58">
        <v>2936.8420000000001</v>
      </c>
      <c r="L15" s="58">
        <v>2806.7240000000002</v>
      </c>
      <c r="M15" s="58">
        <v>2663.57</v>
      </c>
      <c r="N15" s="76">
        <v>5995</v>
      </c>
      <c r="O15" s="76">
        <v>5656</v>
      </c>
      <c r="P15" s="76">
        <v>6267</v>
      </c>
      <c r="Q15" s="76">
        <v>6173</v>
      </c>
      <c r="R15" s="76">
        <v>5990</v>
      </c>
      <c r="S15" s="58">
        <v>5928</v>
      </c>
    </row>
    <row r="16" spans="1:19" ht="12" x14ac:dyDescent="0.2">
      <c r="A16" s="8"/>
      <c r="B16" s="2" t="s">
        <v>35</v>
      </c>
      <c r="C16" s="10">
        <v>157</v>
      </c>
      <c r="D16" s="10"/>
      <c r="E16" s="11" t="s">
        <v>11</v>
      </c>
      <c r="G16" s="57" t="s">
        <v>36</v>
      </c>
      <c r="H16" s="58">
        <v>0</v>
      </c>
      <c r="I16" s="58">
        <v>0</v>
      </c>
      <c r="J16" s="58">
        <v>0</v>
      </c>
      <c r="K16" s="58">
        <v>0</v>
      </c>
      <c r="L16" s="58">
        <v>0</v>
      </c>
      <c r="M16" s="58">
        <v>0</v>
      </c>
      <c r="N16" s="76">
        <v>0</v>
      </c>
      <c r="O16" s="76">
        <v>0</v>
      </c>
      <c r="P16" s="76">
        <v>0</v>
      </c>
      <c r="Q16" s="76">
        <v>0</v>
      </c>
      <c r="R16" s="76">
        <v>0</v>
      </c>
      <c r="S16" s="58">
        <v>0</v>
      </c>
    </row>
    <row r="17" spans="1:19" ht="12" x14ac:dyDescent="0.2">
      <c r="A17" s="15"/>
      <c r="B17" s="2" t="s">
        <v>37</v>
      </c>
      <c r="C17" s="78" t="s">
        <v>38</v>
      </c>
      <c r="D17" s="15"/>
      <c r="E17" s="11" t="s">
        <v>11</v>
      </c>
      <c r="F17" s="16"/>
      <c r="G17" s="59" t="s">
        <v>39</v>
      </c>
      <c r="H17" s="60">
        <v>0</v>
      </c>
      <c r="I17" s="60">
        <v>0</v>
      </c>
      <c r="J17" s="60">
        <v>0</v>
      </c>
      <c r="K17" s="60">
        <v>0</v>
      </c>
      <c r="L17" s="60">
        <v>0</v>
      </c>
      <c r="M17" s="60">
        <v>0</v>
      </c>
      <c r="N17" s="80">
        <v>0</v>
      </c>
      <c r="O17" s="80">
        <v>0</v>
      </c>
      <c r="P17" s="80">
        <v>0</v>
      </c>
      <c r="Q17" s="80">
        <v>0</v>
      </c>
      <c r="R17" s="80">
        <v>0</v>
      </c>
      <c r="S17" s="60">
        <v>0</v>
      </c>
    </row>
    <row r="18" spans="1:19" x14ac:dyDescent="0.2">
      <c r="A18" s="8"/>
      <c r="B18" s="2" t="s">
        <v>40</v>
      </c>
      <c r="C18" s="10">
        <v>2</v>
      </c>
      <c r="D18" s="10"/>
      <c r="E18" s="12"/>
      <c r="G18" s="57" t="s">
        <v>41</v>
      </c>
      <c r="H18" s="56">
        <f t="shared" ref="H18:S18" si="3">H19+H27</f>
        <v>0</v>
      </c>
      <c r="I18" s="56">
        <f t="shared" si="3"/>
        <v>3620.444</v>
      </c>
      <c r="J18" s="56">
        <f t="shared" si="3"/>
        <v>3460.8969999999999</v>
      </c>
      <c r="K18" s="56">
        <f t="shared" si="3"/>
        <v>3280.1709999999998</v>
      </c>
      <c r="L18" s="56">
        <f t="shared" si="3"/>
        <v>3553.0319999999992</v>
      </c>
      <c r="M18" s="56">
        <f t="shared" si="3"/>
        <v>3550.8779999999997</v>
      </c>
      <c r="N18" s="77">
        <f t="shared" si="3"/>
        <v>7244</v>
      </c>
      <c r="O18" s="77">
        <f t="shared" si="3"/>
        <v>6403</v>
      </c>
      <c r="P18" s="77">
        <f t="shared" si="3"/>
        <v>6715</v>
      </c>
      <c r="Q18" s="77">
        <f t="shared" si="3"/>
        <v>6726</v>
      </c>
      <c r="R18" s="77">
        <f t="shared" si="3"/>
        <v>6616</v>
      </c>
      <c r="S18" s="56">
        <f t="shared" si="3"/>
        <v>6567</v>
      </c>
    </row>
    <row r="19" spans="1:19" x14ac:dyDescent="0.2">
      <c r="A19" s="8"/>
      <c r="B19" s="2" t="s">
        <v>42</v>
      </c>
      <c r="C19" s="10" t="s">
        <v>43</v>
      </c>
      <c r="D19" s="10"/>
      <c r="E19" s="12"/>
      <c r="G19" s="57" t="s">
        <v>44</v>
      </c>
      <c r="H19" s="56">
        <f t="shared" ref="H19:S19" si="4">SUM(H21:H26)</f>
        <v>0</v>
      </c>
      <c r="I19" s="56">
        <f t="shared" si="4"/>
        <v>253.05600000000001</v>
      </c>
      <c r="J19" s="56">
        <f t="shared" si="4"/>
        <v>282.95599999999996</v>
      </c>
      <c r="K19" s="56">
        <f t="shared" si="4"/>
        <v>280.03000000000003</v>
      </c>
      <c r="L19" s="56">
        <f t="shared" si="4"/>
        <v>539.90300000000002</v>
      </c>
      <c r="M19" s="56">
        <f t="shared" si="4"/>
        <v>590.303</v>
      </c>
      <c r="N19" s="77">
        <f t="shared" si="4"/>
        <v>1061</v>
      </c>
      <c r="O19" s="77">
        <f t="shared" si="4"/>
        <v>220</v>
      </c>
      <c r="P19" s="77">
        <f t="shared" si="4"/>
        <v>532</v>
      </c>
      <c r="Q19" s="77">
        <f t="shared" si="4"/>
        <v>543</v>
      </c>
      <c r="R19" s="77">
        <f t="shared" si="4"/>
        <v>433</v>
      </c>
      <c r="S19" s="56">
        <f t="shared" si="4"/>
        <v>384</v>
      </c>
    </row>
    <row r="20" spans="1:19" ht="12" x14ac:dyDescent="0.2">
      <c r="A20" s="17"/>
      <c r="B20" s="2" t="s">
        <v>45</v>
      </c>
      <c r="C20" s="78" t="s">
        <v>46</v>
      </c>
      <c r="D20" s="15"/>
      <c r="E20" s="11" t="s">
        <v>11</v>
      </c>
      <c r="F20" s="17"/>
      <c r="G20" s="59" t="s">
        <v>47</v>
      </c>
      <c r="H20" s="61">
        <v>0</v>
      </c>
      <c r="I20" s="61">
        <v>253.05600000000001</v>
      </c>
      <c r="J20" s="61">
        <v>282.95599999999996</v>
      </c>
      <c r="K20" s="61">
        <v>280.03000000000003</v>
      </c>
      <c r="L20" s="61">
        <v>539.90300000000002</v>
      </c>
      <c r="M20" s="61">
        <v>590.303</v>
      </c>
      <c r="N20" s="82">
        <v>1061</v>
      </c>
      <c r="O20" s="82">
        <v>0</v>
      </c>
      <c r="P20" s="82">
        <v>0</v>
      </c>
      <c r="Q20" s="82">
        <v>0</v>
      </c>
      <c r="R20" s="82">
        <v>0</v>
      </c>
      <c r="S20" s="61">
        <v>0</v>
      </c>
    </row>
    <row r="21" spans="1:19" ht="12" x14ac:dyDescent="0.2">
      <c r="A21" s="8"/>
      <c r="B21" s="2" t="s">
        <v>48</v>
      </c>
      <c r="C21" s="18" t="s">
        <v>49</v>
      </c>
      <c r="D21" s="18"/>
      <c r="E21" s="11" t="s">
        <v>11</v>
      </c>
      <c r="G21" s="57" t="s">
        <v>50</v>
      </c>
      <c r="H21" s="58">
        <v>0</v>
      </c>
      <c r="I21" s="58">
        <v>253.05600000000001</v>
      </c>
      <c r="J21" s="58">
        <v>282.95599999999996</v>
      </c>
      <c r="K21" s="58">
        <v>280.03000000000003</v>
      </c>
      <c r="L21" s="58">
        <v>539.90300000000002</v>
      </c>
      <c r="M21" s="58">
        <v>590.303</v>
      </c>
      <c r="N21" s="76">
        <v>1061</v>
      </c>
      <c r="O21" s="76">
        <v>220</v>
      </c>
      <c r="P21" s="76">
        <v>532</v>
      </c>
      <c r="Q21" s="76">
        <v>543</v>
      </c>
      <c r="R21" s="76">
        <v>433</v>
      </c>
      <c r="S21" s="58">
        <v>384</v>
      </c>
    </row>
    <row r="22" spans="1:19" ht="12" x14ac:dyDescent="0.2">
      <c r="A22" s="8"/>
      <c r="B22" s="2" t="s">
        <v>51</v>
      </c>
      <c r="C22" s="10" t="s">
        <v>52</v>
      </c>
      <c r="D22" s="10"/>
      <c r="E22" s="11" t="s">
        <v>11</v>
      </c>
      <c r="G22" s="57" t="s">
        <v>53</v>
      </c>
      <c r="H22" s="58">
        <v>0</v>
      </c>
      <c r="I22" s="58">
        <v>0</v>
      </c>
      <c r="J22" s="58">
        <v>0</v>
      </c>
      <c r="K22" s="58">
        <v>0</v>
      </c>
      <c r="L22" s="58">
        <v>0</v>
      </c>
      <c r="M22" s="58">
        <v>0</v>
      </c>
      <c r="N22" s="76">
        <v>0</v>
      </c>
      <c r="O22" s="76">
        <v>0</v>
      </c>
      <c r="P22" s="76">
        <v>0</v>
      </c>
      <c r="Q22" s="76">
        <v>0</v>
      </c>
      <c r="R22" s="76">
        <v>0</v>
      </c>
      <c r="S22" s="58">
        <v>0</v>
      </c>
    </row>
    <row r="23" spans="1:19" ht="12" x14ac:dyDescent="0.2">
      <c r="A23" s="8"/>
      <c r="B23" s="2" t="s">
        <v>54</v>
      </c>
      <c r="C23" s="10">
        <v>257</v>
      </c>
      <c r="D23" s="10"/>
      <c r="E23" s="11" t="s">
        <v>11</v>
      </c>
      <c r="G23" s="57" t="s">
        <v>55</v>
      </c>
      <c r="H23" s="58">
        <v>0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76">
        <v>0</v>
      </c>
      <c r="O23" s="76">
        <v>0</v>
      </c>
      <c r="P23" s="76">
        <v>0</v>
      </c>
      <c r="Q23" s="76">
        <v>0</v>
      </c>
      <c r="R23" s="76">
        <v>0</v>
      </c>
      <c r="S23" s="58">
        <v>0</v>
      </c>
    </row>
    <row r="24" spans="1:19" ht="12" x14ac:dyDescent="0.2">
      <c r="A24" s="19"/>
      <c r="B24" s="2" t="s">
        <v>56</v>
      </c>
      <c r="C24" s="10" t="s">
        <v>57</v>
      </c>
      <c r="D24" s="10"/>
      <c r="E24" s="11" t="s">
        <v>11</v>
      </c>
      <c r="F24" s="19"/>
      <c r="G24" s="57" t="s">
        <v>58</v>
      </c>
      <c r="H24" s="58">
        <v>0</v>
      </c>
      <c r="I24" s="58">
        <v>0</v>
      </c>
      <c r="J24" s="58">
        <v>0</v>
      </c>
      <c r="K24" s="58">
        <v>0</v>
      </c>
      <c r="L24" s="58">
        <v>0</v>
      </c>
      <c r="M24" s="58">
        <v>0</v>
      </c>
      <c r="N24" s="76">
        <v>0</v>
      </c>
      <c r="O24" s="76">
        <v>0</v>
      </c>
      <c r="P24" s="76">
        <v>0</v>
      </c>
      <c r="Q24" s="76">
        <v>0</v>
      </c>
      <c r="R24" s="76">
        <v>0</v>
      </c>
      <c r="S24" s="58">
        <v>0</v>
      </c>
    </row>
    <row r="25" spans="1:19" ht="12" x14ac:dyDescent="0.2">
      <c r="A25" s="19"/>
      <c r="B25" s="2" t="s">
        <v>59</v>
      </c>
      <c r="C25" s="10" t="s">
        <v>60</v>
      </c>
      <c r="D25" s="10"/>
      <c r="E25" s="11" t="s">
        <v>11</v>
      </c>
      <c r="F25" s="19"/>
      <c r="G25" s="57" t="s">
        <v>61</v>
      </c>
      <c r="H25" s="58">
        <v>0</v>
      </c>
      <c r="I25" s="58">
        <v>0</v>
      </c>
      <c r="J25" s="58">
        <v>0</v>
      </c>
      <c r="K25" s="58">
        <v>0</v>
      </c>
      <c r="L25" s="58">
        <v>0</v>
      </c>
      <c r="M25" s="58">
        <v>0</v>
      </c>
      <c r="N25" s="76">
        <v>0</v>
      </c>
      <c r="O25" s="76">
        <v>0</v>
      </c>
      <c r="P25" s="76">
        <v>0</v>
      </c>
      <c r="Q25" s="76">
        <v>0</v>
      </c>
      <c r="R25" s="76">
        <v>0</v>
      </c>
      <c r="S25" s="58">
        <v>0</v>
      </c>
    </row>
    <row r="26" spans="1:19" ht="12" x14ac:dyDescent="0.2">
      <c r="A26" s="8"/>
      <c r="B26" s="2" t="s">
        <v>62</v>
      </c>
      <c r="C26" s="10">
        <v>28</v>
      </c>
      <c r="D26" s="10"/>
      <c r="E26" s="11" t="s">
        <v>11</v>
      </c>
      <c r="G26" s="57" t="s">
        <v>63</v>
      </c>
      <c r="H26" s="58">
        <v>0</v>
      </c>
      <c r="I26" s="58">
        <v>0</v>
      </c>
      <c r="J26" s="58">
        <v>0</v>
      </c>
      <c r="K26" s="58">
        <v>0</v>
      </c>
      <c r="L26" s="58">
        <v>0</v>
      </c>
      <c r="M26" s="58">
        <v>0</v>
      </c>
      <c r="N26" s="76">
        <v>0</v>
      </c>
      <c r="O26" s="76">
        <v>0</v>
      </c>
      <c r="P26" s="76">
        <v>0</v>
      </c>
      <c r="Q26" s="76">
        <v>0</v>
      </c>
      <c r="R26" s="76">
        <v>0</v>
      </c>
      <c r="S26" s="58">
        <v>0</v>
      </c>
    </row>
    <row r="27" spans="1:19" x14ac:dyDescent="0.2">
      <c r="A27" s="8"/>
      <c r="B27" s="2" t="s">
        <v>64</v>
      </c>
      <c r="C27" s="10">
        <v>29</v>
      </c>
      <c r="D27" s="10"/>
      <c r="E27" s="12"/>
      <c r="G27" s="57" t="s">
        <v>65</v>
      </c>
      <c r="H27" s="56">
        <f t="shared" ref="H27:S27" si="5">SUM(H28:H30)</f>
        <v>0</v>
      </c>
      <c r="I27" s="56">
        <f t="shared" si="5"/>
        <v>3367.3879999999999</v>
      </c>
      <c r="J27" s="56">
        <f t="shared" si="5"/>
        <v>3177.9409999999998</v>
      </c>
      <c r="K27" s="56">
        <f t="shared" si="5"/>
        <v>3000.1409999999996</v>
      </c>
      <c r="L27" s="56">
        <f t="shared" si="5"/>
        <v>3013.1289999999995</v>
      </c>
      <c r="M27" s="56">
        <f t="shared" si="5"/>
        <v>2960.5749999999998</v>
      </c>
      <c r="N27" s="77">
        <f t="shared" si="5"/>
        <v>6183</v>
      </c>
      <c r="O27" s="77">
        <f t="shared" si="5"/>
        <v>6183</v>
      </c>
      <c r="P27" s="77">
        <f t="shared" si="5"/>
        <v>6183</v>
      </c>
      <c r="Q27" s="77">
        <f t="shared" si="5"/>
        <v>6183</v>
      </c>
      <c r="R27" s="77">
        <f t="shared" si="5"/>
        <v>6183</v>
      </c>
      <c r="S27" s="56">
        <f t="shared" si="5"/>
        <v>6183</v>
      </c>
    </row>
    <row r="28" spans="1:19" ht="12" x14ac:dyDescent="0.2">
      <c r="A28" s="8"/>
      <c r="B28" s="2" t="s">
        <v>66</v>
      </c>
      <c r="C28" s="8" t="s">
        <v>67</v>
      </c>
      <c r="D28" s="8"/>
      <c r="E28" s="11" t="s">
        <v>11</v>
      </c>
      <c r="G28" s="57" t="s">
        <v>68</v>
      </c>
      <c r="H28" s="58">
        <v>0</v>
      </c>
      <c r="I28" s="58">
        <v>3082.8649999999998</v>
      </c>
      <c r="J28" s="58">
        <v>3082.8649999999998</v>
      </c>
      <c r="K28" s="58">
        <v>3082.8649999999998</v>
      </c>
      <c r="L28" s="58">
        <v>3082.8649999999998</v>
      </c>
      <c r="M28" s="58">
        <v>3082.8649999999998</v>
      </c>
      <c r="N28" s="76">
        <v>3083</v>
      </c>
      <c r="O28" s="76">
        <v>3083</v>
      </c>
      <c r="P28" s="76">
        <v>3083</v>
      </c>
      <c r="Q28" s="76">
        <v>3083</v>
      </c>
      <c r="R28" s="76">
        <v>3083</v>
      </c>
      <c r="S28" s="58">
        <v>3083</v>
      </c>
    </row>
    <row r="29" spans="1:19" ht="12" x14ac:dyDescent="0.2">
      <c r="A29" s="8"/>
      <c r="B29" s="2" t="s">
        <v>69</v>
      </c>
      <c r="C29" s="10">
        <v>298</v>
      </c>
      <c r="D29" s="10"/>
      <c r="E29" s="11" t="s">
        <v>11</v>
      </c>
      <c r="G29" s="57" t="s">
        <v>70</v>
      </c>
      <c r="H29" s="58">
        <v>0</v>
      </c>
      <c r="I29" s="58">
        <v>0</v>
      </c>
      <c r="J29" s="58">
        <v>284.52300000000002</v>
      </c>
      <c r="K29" s="58">
        <v>95.076000000000022</v>
      </c>
      <c r="L29" s="58">
        <v>-82.72399999999999</v>
      </c>
      <c r="M29" s="58">
        <v>-69.736000000000004</v>
      </c>
      <c r="N29" s="76">
        <v>-122</v>
      </c>
      <c r="O29" s="76">
        <v>3100</v>
      </c>
      <c r="P29" s="76">
        <v>3100</v>
      </c>
      <c r="Q29" s="76">
        <v>3100</v>
      </c>
      <c r="R29" s="76">
        <v>3100</v>
      </c>
      <c r="S29" s="58">
        <v>3100</v>
      </c>
    </row>
    <row r="30" spans="1:19" ht="12" x14ac:dyDescent="0.2">
      <c r="A30" s="8"/>
      <c r="B30" s="2" t="s">
        <v>71</v>
      </c>
      <c r="C30" s="10">
        <v>299</v>
      </c>
      <c r="D30" s="10"/>
      <c r="E30" s="11" t="s">
        <v>72</v>
      </c>
      <c r="G30" s="57" t="s">
        <v>73</v>
      </c>
      <c r="H30" s="58">
        <v>0</v>
      </c>
      <c r="I30" s="58">
        <v>284.52300000000002</v>
      </c>
      <c r="J30" s="58">
        <v>-189.447</v>
      </c>
      <c r="K30" s="58">
        <v>-177.8</v>
      </c>
      <c r="L30" s="58">
        <v>12.988</v>
      </c>
      <c r="M30" s="58">
        <v>-52.554000000000002</v>
      </c>
      <c r="N30" s="76">
        <v>3222</v>
      </c>
      <c r="O30" s="76">
        <v>0</v>
      </c>
      <c r="P30" s="76"/>
      <c r="Q30" s="76"/>
      <c r="R30" s="76">
        <v>0</v>
      </c>
      <c r="S30" s="58">
        <v>0</v>
      </c>
    </row>
    <row r="31" spans="1:19" x14ac:dyDescent="0.2">
      <c r="A31" s="20"/>
      <c r="B31" s="2" t="s">
        <v>368</v>
      </c>
      <c r="C31" s="83" t="s">
        <v>369</v>
      </c>
      <c r="D31" s="21"/>
      <c r="E31" s="22"/>
      <c r="F31" s="20"/>
      <c r="G31" s="62" t="s">
        <v>74</v>
      </c>
      <c r="H31" s="63">
        <f t="shared" ref="H31:S31" si="6">H4-H18</f>
        <v>0</v>
      </c>
      <c r="I31" s="63">
        <f t="shared" si="6"/>
        <v>1.0000000002037268E-3</v>
      </c>
      <c r="J31" s="63">
        <f t="shared" si="6"/>
        <v>-9.9999999974897946E-4</v>
      </c>
      <c r="K31" s="63">
        <f t="shared" si="6"/>
        <v>1.0000000002037268E-3</v>
      </c>
      <c r="L31" s="63">
        <f t="shared" si="6"/>
        <v>-9.9999999883948476E-4</v>
      </c>
      <c r="M31" s="63">
        <f t="shared" si="6"/>
        <v>0</v>
      </c>
      <c r="N31" s="85">
        <f t="shared" si="6"/>
        <v>0</v>
      </c>
      <c r="O31" s="85">
        <f t="shared" si="6"/>
        <v>0</v>
      </c>
      <c r="P31" s="85">
        <f t="shared" si="6"/>
        <v>0</v>
      </c>
      <c r="Q31" s="85">
        <f t="shared" si="6"/>
        <v>0</v>
      </c>
      <c r="R31" s="85">
        <f t="shared" si="6"/>
        <v>0</v>
      </c>
      <c r="S31" s="63">
        <f t="shared" si="6"/>
        <v>0</v>
      </c>
    </row>
    <row r="32" spans="1:19" x14ac:dyDescent="0.2">
      <c r="A32" s="8"/>
      <c r="B32" s="2"/>
      <c r="C32" s="10"/>
      <c r="D32" s="10"/>
      <c r="E32" s="9"/>
      <c r="G32" s="53" t="s">
        <v>75</v>
      </c>
      <c r="H32" s="64">
        <v>2011</v>
      </c>
      <c r="I32" s="64">
        <f t="shared" ref="I32:S32" si="7">H32+1</f>
        <v>2012</v>
      </c>
      <c r="J32" s="64">
        <f t="shared" si="7"/>
        <v>2013</v>
      </c>
      <c r="K32" s="64">
        <f t="shared" si="7"/>
        <v>2014</v>
      </c>
      <c r="L32" s="64">
        <f t="shared" si="7"/>
        <v>2015</v>
      </c>
      <c r="M32" s="64">
        <f t="shared" si="7"/>
        <v>2016</v>
      </c>
      <c r="N32" s="87">
        <f t="shared" si="7"/>
        <v>2017</v>
      </c>
      <c r="O32" s="87">
        <f t="shared" si="7"/>
        <v>2018</v>
      </c>
      <c r="P32" s="87">
        <f t="shared" si="7"/>
        <v>2019</v>
      </c>
      <c r="Q32" s="87">
        <f t="shared" si="7"/>
        <v>2020</v>
      </c>
      <c r="R32" s="87">
        <f t="shared" si="7"/>
        <v>2021</v>
      </c>
      <c r="S32" s="64">
        <f t="shared" si="7"/>
        <v>2022</v>
      </c>
    </row>
    <row r="33" spans="1:19" x14ac:dyDescent="0.2">
      <c r="A33" s="8"/>
      <c r="B33" s="2" t="s">
        <v>76</v>
      </c>
      <c r="C33" s="10">
        <v>3</v>
      </c>
      <c r="D33" s="10"/>
      <c r="E33" s="9"/>
      <c r="G33" s="55" t="s">
        <v>77</v>
      </c>
      <c r="H33" s="56">
        <f t="shared" ref="H33:S33" si="8">SUM(H34:H37)</f>
        <v>0</v>
      </c>
      <c r="I33" s="56">
        <f t="shared" si="8"/>
        <v>2021.0909999999999</v>
      </c>
      <c r="J33" s="56">
        <f t="shared" si="8"/>
        <v>2099.8469999999998</v>
      </c>
      <c r="K33" s="56">
        <f t="shared" si="8"/>
        <v>2190.4879999999998</v>
      </c>
      <c r="L33" s="56">
        <f t="shared" si="8"/>
        <v>2446.8010000000004</v>
      </c>
      <c r="M33" s="56">
        <f t="shared" si="8"/>
        <v>2742.373</v>
      </c>
      <c r="N33" s="77">
        <f t="shared" si="8"/>
        <v>6116</v>
      </c>
      <c r="O33" s="77">
        <f t="shared" si="8"/>
        <v>2906</v>
      </c>
      <c r="P33" s="77">
        <f t="shared" si="8"/>
        <v>4116</v>
      </c>
      <c r="Q33" s="77">
        <f t="shared" si="8"/>
        <v>4175</v>
      </c>
      <c r="R33" s="77">
        <f t="shared" si="8"/>
        <v>3857</v>
      </c>
      <c r="S33" s="56">
        <f t="shared" si="8"/>
        <v>4213</v>
      </c>
    </row>
    <row r="34" spans="1:19" ht="12" x14ac:dyDescent="0.2">
      <c r="A34" s="8"/>
      <c r="B34" s="2" t="s">
        <v>78</v>
      </c>
      <c r="C34" s="10">
        <v>30</v>
      </c>
      <c r="D34" s="10"/>
      <c r="E34" s="11" t="s">
        <v>11</v>
      </c>
      <c r="G34" s="57" t="s">
        <v>79</v>
      </c>
      <c r="H34" s="58">
        <v>0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76">
        <v>0</v>
      </c>
      <c r="O34" s="76">
        <v>0</v>
      </c>
      <c r="P34" s="76">
        <v>0</v>
      </c>
      <c r="Q34" s="76">
        <v>0</v>
      </c>
      <c r="R34" s="76">
        <v>0</v>
      </c>
      <c r="S34" s="58">
        <v>0</v>
      </c>
    </row>
    <row r="35" spans="1:19" ht="12" x14ac:dyDescent="0.2">
      <c r="A35" s="8"/>
      <c r="B35" s="2" t="s">
        <v>80</v>
      </c>
      <c r="C35" s="10">
        <v>32</v>
      </c>
      <c r="D35" s="10"/>
      <c r="E35" s="11" t="s">
        <v>11</v>
      </c>
      <c r="G35" s="57" t="s">
        <v>81</v>
      </c>
      <c r="H35" s="58">
        <v>0</v>
      </c>
      <c r="I35" s="58">
        <v>951.16899999999998</v>
      </c>
      <c r="J35" s="58">
        <v>1114.992</v>
      </c>
      <c r="K35" s="58">
        <v>1177.8119999999999</v>
      </c>
      <c r="L35" s="58">
        <v>1282.1010000000001</v>
      </c>
      <c r="M35" s="58">
        <v>1482.6120000000001</v>
      </c>
      <c r="N35" s="76">
        <v>1365</v>
      </c>
      <c r="O35" s="76">
        <v>1439</v>
      </c>
      <c r="P35" s="76">
        <v>1535</v>
      </c>
      <c r="Q35" s="76">
        <v>1553</v>
      </c>
      <c r="R35" s="76">
        <v>1575</v>
      </c>
      <c r="S35" s="58">
        <v>1580</v>
      </c>
    </row>
    <row r="36" spans="1:19" ht="12" x14ac:dyDescent="0.2">
      <c r="A36" s="13"/>
      <c r="B36" s="2" t="s">
        <v>82</v>
      </c>
      <c r="C36" s="10">
        <v>35</v>
      </c>
      <c r="D36" s="10"/>
      <c r="E36" s="11" t="s">
        <v>11</v>
      </c>
      <c r="F36" s="13"/>
      <c r="G36" s="57" t="s">
        <v>83</v>
      </c>
      <c r="H36" s="58">
        <v>0</v>
      </c>
      <c r="I36" s="58">
        <v>1071.1089999999999</v>
      </c>
      <c r="J36" s="58">
        <v>984.85500000000002</v>
      </c>
      <c r="K36" s="58">
        <v>1012.676</v>
      </c>
      <c r="L36" s="58">
        <v>1164.7</v>
      </c>
      <c r="M36" s="58">
        <v>1259.761</v>
      </c>
      <c r="N36" s="76">
        <v>4751</v>
      </c>
      <c r="O36" s="76">
        <v>1467</v>
      </c>
      <c r="P36" s="76">
        <v>2581</v>
      </c>
      <c r="Q36" s="76">
        <v>2622</v>
      </c>
      <c r="R36" s="76">
        <v>2282</v>
      </c>
      <c r="S36" s="58">
        <v>2633</v>
      </c>
    </row>
    <row r="37" spans="1:19" ht="12" x14ac:dyDescent="0.2">
      <c r="A37" s="8"/>
      <c r="B37" s="2" t="s">
        <v>84</v>
      </c>
      <c r="C37" s="10">
        <v>38</v>
      </c>
      <c r="D37" s="10"/>
      <c r="E37" s="11" t="s">
        <v>72</v>
      </c>
      <c r="G37" s="57" t="s">
        <v>85</v>
      </c>
      <c r="H37" s="58">
        <v>0</v>
      </c>
      <c r="I37" s="58">
        <v>-1.1870000000000001</v>
      </c>
      <c r="J37" s="58">
        <v>0</v>
      </c>
      <c r="K37" s="58">
        <v>0</v>
      </c>
      <c r="L37" s="58">
        <v>0</v>
      </c>
      <c r="M37" s="58">
        <v>0</v>
      </c>
      <c r="N37" s="76">
        <v>0</v>
      </c>
      <c r="O37" s="76">
        <v>0</v>
      </c>
      <c r="P37" s="76">
        <v>0</v>
      </c>
      <c r="Q37" s="76">
        <v>0</v>
      </c>
      <c r="R37" s="76">
        <v>0</v>
      </c>
      <c r="S37" s="58">
        <v>0</v>
      </c>
    </row>
    <row r="38" spans="1:19" x14ac:dyDescent="0.2">
      <c r="A38" s="8"/>
      <c r="B38" s="2" t="s">
        <v>86</v>
      </c>
      <c r="C38" s="10">
        <v>4</v>
      </c>
      <c r="D38" s="10"/>
      <c r="E38" s="23"/>
      <c r="G38" s="57" t="s">
        <v>87</v>
      </c>
      <c r="H38" s="56">
        <f t="shared" ref="H38:S38" si="9">H39+H40</f>
        <v>0</v>
      </c>
      <c r="I38" s="56">
        <f t="shared" si="9"/>
        <v>0</v>
      </c>
      <c r="J38" s="56">
        <f t="shared" si="9"/>
        <v>0</v>
      </c>
      <c r="K38" s="56">
        <f t="shared" si="9"/>
        <v>0</v>
      </c>
      <c r="L38" s="56">
        <f t="shared" si="9"/>
        <v>0</v>
      </c>
      <c r="M38" s="56">
        <f t="shared" si="9"/>
        <v>0</v>
      </c>
      <c r="N38" s="77">
        <f t="shared" si="9"/>
        <v>0</v>
      </c>
      <c r="O38" s="77">
        <f t="shared" si="9"/>
        <v>0</v>
      </c>
      <c r="P38" s="77">
        <f t="shared" si="9"/>
        <v>0</v>
      </c>
      <c r="Q38" s="77">
        <f t="shared" si="9"/>
        <v>0</v>
      </c>
      <c r="R38" s="77">
        <f t="shared" si="9"/>
        <v>0</v>
      </c>
      <c r="S38" s="56">
        <f t="shared" si="9"/>
        <v>0</v>
      </c>
    </row>
    <row r="39" spans="1:19" ht="12" x14ac:dyDescent="0.2">
      <c r="A39" s="8"/>
      <c r="B39" s="2" t="s">
        <v>88</v>
      </c>
      <c r="C39" s="10">
        <v>41</v>
      </c>
      <c r="D39" s="10"/>
      <c r="E39" s="11" t="s">
        <v>89</v>
      </c>
      <c r="G39" s="57" t="s">
        <v>90</v>
      </c>
      <c r="H39" s="58">
        <v>0</v>
      </c>
      <c r="I39" s="58">
        <v>0</v>
      </c>
      <c r="J39" s="58">
        <v>0</v>
      </c>
      <c r="K39" s="58">
        <v>0</v>
      </c>
      <c r="L39" s="58">
        <v>0</v>
      </c>
      <c r="M39" s="58">
        <v>0</v>
      </c>
      <c r="N39" s="76">
        <v>0</v>
      </c>
      <c r="O39" s="76">
        <v>0</v>
      </c>
      <c r="P39" s="76">
        <v>0</v>
      </c>
      <c r="Q39" s="76">
        <v>0</v>
      </c>
      <c r="R39" s="76">
        <v>0</v>
      </c>
      <c r="S39" s="58">
        <v>0</v>
      </c>
    </row>
    <row r="40" spans="1:19" ht="12" x14ac:dyDescent="0.2">
      <c r="A40" s="8"/>
      <c r="B40" s="2" t="s">
        <v>91</v>
      </c>
      <c r="C40" s="10">
        <v>45</v>
      </c>
      <c r="D40" s="10"/>
      <c r="E40" s="11" t="s">
        <v>89</v>
      </c>
      <c r="G40" s="57" t="s">
        <v>92</v>
      </c>
      <c r="H40" s="58">
        <v>0</v>
      </c>
      <c r="I40" s="58">
        <v>0</v>
      </c>
      <c r="J40" s="58">
        <v>0</v>
      </c>
      <c r="K40" s="58">
        <v>0</v>
      </c>
      <c r="L40" s="58">
        <v>0</v>
      </c>
      <c r="M40" s="58">
        <v>0</v>
      </c>
      <c r="N40" s="76">
        <v>0</v>
      </c>
      <c r="O40" s="76">
        <v>0</v>
      </c>
      <c r="P40" s="76">
        <v>0</v>
      </c>
      <c r="Q40" s="76">
        <v>0</v>
      </c>
      <c r="R40" s="76">
        <v>0</v>
      </c>
      <c r="S40" s="58">
        <v>0</v>
      </c>
    </row>
    <row r="41" spans="1:19" x14ac:dyDescent="0.2">
      <c r="A41" s="13"/>
      <c r="B41" s="2" t="s">
        <v>93</v>
      </c>
      <c r="C41" s="10" t="s">
        <v>94</v>
      </c>
      <c r="D41" s="10"/>
      <c r="E41" s="23"/>
      <c r="F41" s="13"/>
      <c r="G41" s="57" t="s">
        <v>95</v>
      </c>
      <c r="H41" s="56">
        <f t="shared" ref="H41:S41" si="10">SUM(H42:H45)</f>
        <v>0</v>
      </c>
      <c r="I41" s="56">
        <f t="shared" si="10"/>
        <v>-1736.5549999999998</v>
      </c>
      <c r="J41" s="56">
        <f t="shared" si="10"/>
        <v>-2289.2939999999999</v>
      </c>
      <c r="K41" s="56">
        <f t="shared" si="10"/>
        <v>-2368.2869999999998</v>
      </c>
      <c r="L41" s="56">
        <f t="shared" si="10"/>
        <v>-2434.7129999999997</v>
      </c>
      <c r="M41" s="56">
        <f t="shared" si="10"/>
        <v>-2796.2109999999998</v>
      </c>
      <c r="N41" s="77">
        <f t="shared" si="10"/>
        <v>-2894</v>
      </c>
      <c r="O41" s="77">
        <f t="shared" si="10"/>
        <v>-2906</v>
      </c>
      <c r="P41" s="77">
        <f t="shared" si="10"/>
        <v>-4116</v>
      </c>
      <c r="Q41" s="77">
        <f t="shared" si="10"/>
        <v>-4175</v>
      </c>
      <c r="R41" s="77">
        <f t="shared" si="10"/>
        <v>-3857</v>
      </c>
      <c r="S41" s="56">
        <f t="shared" si="10"/>
        <v>-4213</v>
      </c>
    </row>
    <row r="42" spans="1:19" ht="12" x14ac:dyDescent="0.2">
      <c r="A42" s="8"/>
      <c r="B42" s="2" t="s">
        <v>96</v>
      </c>
      <c r="C42" s="10">
        <v>50</v>
      </c>
      <c r="D42" s="10"/>
      <c r="E42" s="11" t="s">
        <v>89</v>
      </c>
      <c r="G42" s="57" t="s">
        <v>97</v>
      </c>
      <c r="H42" s="58">
        <v>0</v>
      </c>
      <c r="I42" s="58">
        <v>-995.59500000000003</v>
      </c>
      <c r="J42" s="58">
        <v>-1296.653</v>
      </c>
      <c r="K42" s="58">
        <v>-1418.48</v>
      </c>
      <c r="L42" s="58">
        <v>-1458.8679999999999</v>
      </c>
      <c r="M42" s="58">
        <v>-1652.3489999999999</v>
      </c>
      <c r="N42" s="76">
        <v>-1716</v>
      </c>
      <c r="O42" s="76">
        <v>-1958</v>
      </c>
      <c r="P42" s="76">
        <v>-2208</v>
      </c>
      <c r="Q42" s="76">
        <v>-2453</v>
      </c>
      <c r="R42" s="76">
        <v>-2702</v>
      </c>
      <c r="S42" s="58">
        <v>-2946</v>
      </c>
    </row>
    <row r="43" spans="1:19" ht="12" x14ac:dyDescent="0.2">
      <c r="A43" s="8"/>
      <c r="B43" s="2" t="s">
        <v>98</v>
      </c>
      <c r="C43" s="10">
        <v>55</v>
      </c>
      <c r="D43" s="10"/>
      <c r="E43" s="11" t="s">
        <v>89</v>
      </c>
      <c r="G43" s="57" t="s">
        <v>99</v>
      </c>
      <c r="H43" s="58">
        <v>0</v>
      </c>
      <c r="I43" s="58">
        <v>-650.29</v>
      </c>
      <c r="J43" s="58">
        <v>-859.43600000000004</v>
      </c>
      <c r="K43" s="58">
        <v>-813.76800000000003</v>
      </c>
      <c r="L43" s="58">
        <v>-837.07</v>
      </c>
      <c r="M43" s="58">
        <v>-992.54300000000001</v>
      </c>
      <c r="N43" s="76">
        <v>-1074</v>
      </c>
      <c r="O43" s="76">
        <v>-606</v>
      </c>
      <c r="P43" s="76">
        <v>-1566</v>
      </c>
      <c r="Q43" s="76">
        <v>-1375</v>
      </c>
      <c r="R43" s="76">
        <v>-799</v>
      </c>
      <c r="S43" s="58">
        <v>-1002</v>
      </c>
    </row>
    <row r="44" spans="1:19" ht="12" x14ac:dyDescent="0.2">
      <c r="A44" s="13"/>
      <c r="B44" s="2" t="s">
        <v>100</v>
      </c>
      <c r="C44" s="10">
        <v>60</v>
      </c>
      <c r="D44" s="10"/>
      <c r="E44" s="11" t="s">
        <v>89</v>
      </c>
      <c r="F44" s="13"/>
      <c r="G44" s="57" t="s">
        <v>101</v>
      </c>
      <c r="H44" s="58">
        <v>0</v>
      </c>
      <c r="I44" s="58">
        <v>-0.39700000000000002</v>
      </c>
      <c r="J44" s="58">
        <v>-0.61299999999999999</v>
      </c>
      <c r="K44" s="58">
        <v>-0.77600000000000002</v>
      </c>
      <c r="L44" s="58">
        <v>-0.61299999999999999</v>
      </c>
      <c r="M44" s="58">
        <v>-0.66700000000000004</v>
      </c>
      <c r="N44" s="76">
        <v>-1</v>
      </c>
      <c r="O44" s="76">
        <v>0</v>
      </c>
      <c r="P44" s="76">
        <v>0</v>
      </c>
      <c r="Q44" s="76">
        <v>0</v>
      </c>
      <c r="R44" s="76">
        <v>0</v>
      </c>
      <c r="S44" s="58">
        <v>0</v>
      </c>
    </row>
    <row r="45" spans="1:19" ht="12" x14ac:dyDescent="0.2">
      <c r="A45" s="8"/>
      <c r="B45" s="2" t="s">
        <v>102</v>
      </c>
      <c r="C45" s="10">
        <v>61</v>
      </c>
      <c r="D45" s="10"/>
      <c r="E45" s="11" t="s">
        <v>89</v>
      </c>
      <c r="G45" s="57" t="s">
        <v>103</v>
      </c>
      <c r="H45" s="58">
        <v>0</v>
      </c>
      <c r="I45" s="58">
        <v>-90.272999999999996</v>
      </c>
      <c r="J45" s="58">
        <v>-132.59200000000001</v>
      </c>
      <c r="K45" s="58">
        <v>-135.26300000000001</v>
      </c>
      <c r="L45" s="58">
        <v>-138.16200000000001</v>
      </c>
      <c r="M45" s="58">
        <v>-150.65199999999999</v>
      </c>
      <c r="N45" s="76">
        <v>-103</v>
      </c>
      <c r="O45" s="76">
        <v>-342</v>
      </c>
      <c r="P45" s="76">
        <v>-342</v>
      </c>
      <c r="Q45" s="76">
        <v>-347</v>
      </c>
      <c r="R45" s="76">
        <v>-356</v>
      </c>
      <c r="S45" s="58">
        <v>-265</v>
      </c>
    </row>
    <row r="46" spans="1:19" x14ac:dyDescent="0.2">
      <c r="A46" s="8"/>
      <c r="B46" s="2" t="s">
        <v>104</v>
      </c>
      <c r="C46" s="10"/>
      <c r="D46" s="10"/>
      <c r="E46" s="9"/>
      <c r="G46" s="57" t="s">
        <v>105</v>
      </c>
      <c r="H46" s="56">
        <f t="shared" ref="H46:R46" si="11">H33+H38+H41</f>
        <v>0</v>
      </c>
      <c r="I46" s="56">
        <f t="shared" si="11"/>
        <v>284.53600000000006</v>
      </c>
      <c r="J46" s="56">
        <f t="shared" si="11"/>
        <v>-189.44700000000012</v>
      </c>
      <c r="K46" s="56">
        <f t="shared" si="11"/>
        <v>-177.79899999999998</v>
      </c>
      <c r="L46" s="56">
        <f t="shared" si="11"/>
        <v>12.088000000000648</v>
      </c>
      <c r="M46" s="56">
        <f t="shared" si="11"/>
        <v>-53.837999999999738</v>
      </c>
      <c r="N46" s="77">
        <f t="shared" si="11"/>
        <v>3222</v>
      </c>
      <c r="O46" s="77">
        <f t="shared" si="11"/>
        <v>0</v>
      </c>
      <c r="P46" s="77">
        <f t="shared" si="11"/>
        <v>0</v>
      </c>
      <c r="Q46" s="77">
        <f t="shared" si="11"/>
        <v>0</v>
      </c>
      <c r="R46" s="77">
        <f t="shared" si="11"/>
        <v>0</v>
      </c>
      <c r="S46" s="56">
        <f>S33+S38+S41</f>
        <v>0</v>
      </c>
    </row>
    <row r="47" spans="1:19" ht="12" x14ac:dyDescent="0.2">
      <c r="A47" s="8"/>
      <c r="B47" s="2" t="s">
        <v>106</v>
      </c>
      <c r="C47" s="10">
        <v>65</v>
      </c>
      <c r="D47" s="10"/>
      <c r="E47" s="11" t="s">
        <v>72</v>
      </c>
      <c r="G47" s="57" t="s">
        <v>107</v>
      </c>
      <c r="H47" s="58">
        <v>0</v>
      </c>
      <c r="I47" s="58">
        <v>0.188</v>
      </c>
      <c r="J47" s="58">
        <v>0</v>
      </c>
      <c r="K47" s="58">
        <v>0</v>
      </c>
      <c r="L47" s="58">
        <v>0.89900000000000002</v>
      </c>
      <c r="M47" s="58">
        <v>1.284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</row>
    <row r="48" spans="1:19" x14ac:dyDescent="0.2">
      <c r="A48" s="8"/>
      <c r="B48" s="2" t="s">
        <v>108</v>
      </c>
      <c r="C48" s="10"/>
      <c r="D48" s="10"/>
      <c r="E48" s="9"/>
      <c r="G48" s="57" t="s">
        <v>109</v>
      </c>
      <c r="H48" s="56">
        <f t="shared" ref="H48:S48" si="12">H46+H47</f>
        <v>0</v>
      </c>
      <c r="I48" s="56">
        <f t="shared" si="12"/>
        <v>284.72400000000005</v>
      </c>
      <c r="J48" s="56">
        <f t="shared" si="12"/>
        <v>-189.44700000000012</v>
      </c>
      <c r="K48" s="56">
        <f t="shared" si="12"/>
        <v>-177.79899999999998</v>
      </c>
      <c r="L48" s="56">
        <f t="shared" si="12"/>
        <v>12.987000000000648</v>
      </c>
      <c r="M48" s="56">
        <f t="shared" si="12"/>
        <v>-52.553999999999739</v>
      </c>
      <c r="N48" s="77">
        <f t="shared" si="12"/>
        <v>3222</v>
      </c>
      <c r="O48" s="77">
        <f t="shared" si="12"/>
        <v>0</v>
      </c>
      <c r="P48" s="77">
        <f t="shared" si="12"/>
        <v>0</v>
      </c>
      <c r="Q48" s="77">
        <f t="shared" si="12"/>
        <v>0</v>
      </c>
      <c r="R48" s="77">
        <f t="shared" si="12"/>
        <v>0</v>
      </c>
      <c r="S48" s="56">
        <f t="shared" si="12"/>
        <v>0</v>
      </c>
    </row>
    <row r="49" spans="1:19" ht="12" x14ac:dyDescent="0.2">
      <c r="A49" s="8"/>
      <c r="B49" s="2" t="s">
        <v>110</v>
      </c>
      <c r="C49" s="10">
        <v>68</v>
      </c>
      <c r="D49" s="10"/>
      <c r="E49" s="11" t="s">
        <v>89</v>
      </c>
      <c r="G49" s="57" t="s">
        <v>111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76">
        <v>0</v>
      </c>
      <c r="O49" s="76">
        <v>0</v>
      </c>
      <c r="P49" s="76">
        <v>0</v>
      </c>
      <c r="Q49" s="76">
        <v>0</v>
      </c>
      <c r="R49" s="76">
        <v>0</v>
      </c>
      <c r="S49" s="58">
        <v>0</v>
      </c>
    </row>
    <row r="50" spans="1:19" ht="12" x14ac:dyDescent="0.2">
      <c r="A50" s="8"/>
      <c r="B50" s="2" t="s">
        <v>112</v>
      </c>
      <c r="C50" s="10">
        <v>69</v>
      </c>
      <c r="D50" s="10"/>
      <c r="E50" s="11" t="s">
        <v>11</v>
      </c>
      <c r="G50" s="57" t="s">
        <v>113</v>
      </c>
      <c r="H50" s="58">
        <v>0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76">
        <v>0</v>
      </c>
      <c r="O50" s="76">
        <v>0</v>
      </c>
      <c r="P50" s="76">
        <v>0</v>
      </c>
      <c r="Q50" s="76">
        <v>0</v>
      </c>
      <c r="R50" s="76">
        <v>0</v>
      </c>
      <c r="S50" s="58">
        <v>0</v>
      </c>
    </row>
    <row r="51" spans="1:19" x14ac:dyDescent="0.2">
      <c r="A51" s="8"/>
      <c r="B51" s="2" t="s">
        <v>114</v>
      </c>
      <c r="C51" s="10"/>
      <c r="D51" s="10"/>
      <c r="E51" s="9"/>
      <c r="G51" s="57" t="s">
        <v>115</v>
      </c>
      <c r="H51" s="56">
        <f t="shared" ref="H51:S51" si="13">H48+H49+H50</f>
        <v>0</v>
      </c>
      <c r="I51" s="56">
        <f t="shared" si="13"/>
        <v>284.72400000000005</v>
      </c>
      <c r="J51" s="56">
        <f t="shared" si="13"/>
        <v>-189.44700000000012</v>
      </c>
      <c r="K51" s="56">
        <f t="shared" si="13"/>
        <v>-177.79899999999998</v>
      </c>
      <c r="L51" s="56">
        <f t="shared" si="13"/>
        <v>12.987000000000648</v>
      </c>
      <c r="M51" s="56">
        <f t="shared" si="13"/>
        <v>-52.553999999999739</v>
      </c>
      <c r="N51" s="77">
        <f t="shared" si="13"/>
        <v>3222</v>
      </c>
      <c r="O51" s="77">
        <f t="shared" si="13"/>
        <v>0</v>
      </c>
      <c r="P51" s="77">
        <f>SUM(P48+P49+P50)</f>
        <v>0</v>
      </c>
      <c r="Q51" s="77">
        <f>SUM(Q48+Q49+Q50)</f>
        <v>0</v>
      </c>
      <c r="R51" s="77"/>
      <c r="S51" s="56">
        <f t="shared" si="13"/>
        <v>0</v>
      </c>
    </row>
    <row r="52" spans="1:19" x14ac:dyDescent="0.2">
      <c r="A52" s="24"/>
      <c r="B52" s="2" t="s">
        <v>370</v>
      </c>
      <c r="C52" s="83" t="s">
        <v>371</v>
      </c>
      <c r="D52" s="25"/>
      <c r="E52" s="26"/>
      <c r="F52" s="24"/>
      <c r="G52" s="62" t="s">
        <v>116</v>
      </c>
      <c r="H52" s="63">
        <f t="shared" ref="H52:S52" si="14">H30-H51</f>
        <v>0</v>
      </c>
      <c r="I52" s="63">
        <f t="shared" si="14"/>
        <v>-0.20100000000002183</v>
      </c>
      <c r="J52" s="63">
        <f t="shared" si="14"/>
        <v>0</v>
      </c>
      <c r="K52" s="63">
        <f t="shared" si="14"/>
        <v>-1.0000000000331966E-3</v>
      </c>
      <c r="L52" s="63">
        <f t="shared" si="14"/>
        <v>9.9999999935107553E-4</v>
      </c>
      <c r="M52" s="63">
        <f t="shared" si="14"/>
        <v>-2.6290081223123707E-13</v>
      </c>
      <c r="N52" s="85">
        <f t="shared" si="14"/>
        <v>0</v>
      </c>
      <c r="O52" s="85">
        <f t="shared" si="14"/>
        <v>0</v>
      </c>
      <c r="P52" s="85">
        <f t="shared" si="14"/>
        <v>0</v>
      </c>
      <c r="Q52" s="85">
        <f t="shared" si="14"/>
        <v>0</v>
      </c>
      <c r="R52" s="85">
        <f t="shared" si="14"/>
        <v>0</v>
      </c>
      <c r="S52" s="63">
        <f t="shared" si="14"/>
        <v>0</v>
      </c>
    </row>
    <row r="53" spans="1:19" x14ac:dyDescent="0.2">
      <c r="A53" s="8"/>
      <c r="B53" s="2"/>
      <c r="C53" s="10"/>
      <c r="D53" s="10"/>
      <c r="E53" s="9"/>
      <c r="G53" s="65" t="s">
        <v>117</v>
      </c>
      <c r="H53" s="48"/>
      <c r="I53" s="48"/>
      <c r="J53" s="48"/>
      <c r="K53" s="48"/>
      <c r="L53" s="48"/>
      <c r="M53" s="48"/>
      <c r="N53" s="4"/>
      <c r="O53" s="4"/>
      <c r="P53" s="4"/>
      <c r="Q53" s="4"/>
      <c r="R53" s="4"/>
      <c r="S53" s="48"/>
    </row>
    <row r="54" spans="1:19" ht="12" x14ac:dyDescent="0.2">
      <c r="A54" s="8"/>
      <c r="B54" s="2"/>
      <c r="C54" s="10">
        <v>90</v>
      </c>
      <c r="D54" s="10"/>
      <c r="E54" s="11" t="s">
        <v>11</v>
      </c>
      <c r="G54" s="65" t="s">
        <v>118</v>
      </c>
      <c r="H54" s="58">
        <v>0</v>
      </c>
      <c r="I54" s="58">
        <v>103</v>
      </c>
      <c r="J54" s="58">
        <v>99</v>
      </c>
      <c r="K54" s="58">
        <v>92</v>
      </c>
      <c r="L54" s="58">
        <v>100</v>
      </c>
      <c r="M54" s="58">
        <v>102</v>
      </c>
      <c r="N54" s="76">
        <v>99</v>
      </c>
      <c r="O54" s="76">
        <v>105</v>
      </c>
      <c r="P54" s="76">
        <v>105</v>
      </c>
      <c r="Q54" s="76">
        <v>105</v>
      </c>
      <c r="R54" s="76">
        <v>105</v>
      </c>
      <c r="S54" s="58">
        <v>105</v>
      </c>
    </row>
    <row r="55" spans="1:19" ht="12" x14ac:dyDescent="0.2">
      <c r="A55" s="8"/>
      <c r="B55" s="2"/>
      <c r="C55" s="10"/>
      <c r="D55" s="10"/>
      <c r="E55" s="11" t="s">
        <v>11</v>
      </c>
      <c r="G55" s="65" t="s">
        <v>119</v>
      </c>
      <c r="H55" s="58"/>
      <c r="I55" s="58"/>
      <c r="J55" s="58"/>
      <c r="K55" s="58"/>
      <c r="L55" s="66"/>
      <c r="M55" s="66"/>
      <c r="N55" s="88"/>
      <c r="O55" s="88"/>
      <c r="P55" s="88"/>
      <c r="Q55" s="88"/>
      <c r="R55" s="88"/>
      <c r="S55" s="66"/>
    </row>
    <row r="56" spans="1:19" x14ac:dyDescent="0.2">
      <c r="A56" s="8"/>
      <c r="B56" s="2"/>
      <c r="C56" s="10"/>
      <c r="D56" s="10"/>
      <c r="E56" s="9"/>
      <c r="G56" s="67"/>
      <c r="H56" s="48"/>
      <c r="I56" s="48"/>
      <c r="J56" s="48"/>
      <c r="K56" s="48"/>
      <c r="L56" s="48"/>
      <c r="M56" s="48"/>
      <c r="N56" s="4"/>
      <c r="O56" s="4"/>
      <c r="P56" s="4"/>
      <c r="Q56" s="4"/>
      <c r="R56" s="4"/>
      <c r="S56" s="48"/>
    </row>
    <row r="57" spans="1:19" x14ac:dyDescent="0.2">
      <c r="A57" s="8"/>
      <c r="B57" s="2"/>
      <c r="C57" s="10"/>
      <c r="D57" s="29" t="s">
        <v>120</v>
      </c>
      <c r="E57" s="30" t="s">
        <v>3</v>
      </c>
      <c r="F57" s="9"/>
      <c r="G57" s="53" t="s">
        <v>121</v>
      </c>
      <c r="H57" s="64">
        <f t="shared" ref="H57:S57" si="15">H32</f>
        <v>2011</v>
      </c>
      <c r="I57" s="64">
        <f t="shared" si="15"/>
        <v>2012</v>
      </c>
      <c r="J57" s="64">
        <f t="shared" si="15"/>
        <v>2013</v>
      </c>
      <c r="K57" s="64">
        <f t="shared" si="15"/>
        <v>2014</v>
      </c>
      <c r="L57" s="64">
        <f t="shared" si="15"/>
        <v>2015</v>
      </c>
      <c r="M57" s="64">
        <f t="shared" si="15"/>
        <v>2016</v>
      </c>
      <c r="N57" s="87">
        <f t="shared" si="15"/>
        <v>2017</v>
      </c>
      <c r="O57" s="87">
        <f t="shared" si="15"/>
        <v>2018</v>
      </c>
      <c r="P57" s="87">
        <f t="shared" si="15"/>
        <v>2019</v>
      </c>
      <c r="Q57" s="87">
        <f t="shared" si="15"/>
        <v>2020</v>
      </c>
      <c r="R57" s="87">
        <f t="shared" si="15"/>
        <v>2021</v>
      </c>
      <c r="S57" s="64">
        <f t="shared" si="15"/>
        <v>2022</v>
      </c>
    </row>
    <row r="58" spans="1:19" ht="12" x14ac:dyDescent="0.2">
      <c r="A58" s="8"/>
      <c r="B58" s="31" t="s">
        <v>122</v>
      </c>
      <c r="C58" s="8" t="s">
        <v>123</v>
      </c>
      <c r="D58" s="32" t="s">
        <v>124</v>
      </c>
      <c r="E58" s="11" t="s">
        <v>89</v>
      </c>
      <c r="F58" s="12"/>
      <c r="G58" s="55" t="s">
        <v>125</v>
      </c>
      <c r="H58" s="58">
        <v>0</v>
      </c>
      <c r="I58" s="58">
        <v>-7.2229999999999999</v>
      </c>
      <c r="J58" s="58">
        <v>-4.4409999999999998</v>
      </c>
      <c r="K58" s="58">
        <v>-30.535</v>
      </c>
      <c r="L58" s="58">
        <v>-5.1449999999999996</v>
      </c>
      <c r="M58" s="58">
        <v>-4.5999999999999996</v>
      </c>
      <c r="N58" s="76">
        <v>-3431</v>
      </c>
      <c r="O58" s="76">
        <v>0</v>
      </c>
      <c r="P58" s="76">
        <v>-950</v>
      </c>
      <c r="Q58" s="76">
        <v>-250</v>
      </c>
      <c r="R58" s="76">
        <v>-170</v>
      </c>
      <c r="S58" s="58">
        <v>-200</v>
      </c>
    </row>
    <row r="59" spans="1:19" ht="12" x14ac:dyDescent="0.2">
      <c r="A59" s="8"/>
      <c r="B59" s="31" t="s">
        <v>126</v>
      </c>
      <c r="C59" s="33" t="s">
        <v>127</v>
      </c>
      <c r="D59" s="32" t="s">
        <v>128</v>
      </c>
      <c r="E59" s="11" t="s">
        <v>11</v>
      </c>
      <c r="F59" s="12"/>
      <c r="G59" s="68" t="s">
        <v>129</v>
      </c>
      <c r="H59" s="58">
        <v>0</v>
      </c>
      <c r="I59" s="58">
        <v>3.5</v>
      </c>
      <c r="J59" s="58">
        <v>0</v>
      </c>
      <c r="K59" s="58">
        <v>0</v>
      </c>
      <c r="L59" s="58">
        <v>0</v>
      </c>
      <c r="M59" s="58">
        <v>0</v>
      </c>
      <c r="N59" s="76">
        <v>0</v>
      </c>
      <c r="O59" s="76">
        <v>0</v>
      </c>
      <c r="P59" s="76">
        <v>0</v>
      </c>
      <c r="Q59" s="76">
        <v>0</v>
      </c>
      <c r="R59" s="76">
        <v>0</v>
      </c>
      <c r="S59" s="58">
        <v>0</v>
      </c>
    </row>
    <row r="60" spans="1:19" ht="12" x14ac:dyDescent="0.2">
      <c r="A60" s="8"/>
      <c r="B60" s="31" t="s">
        <v>130</v>
      </c>
      <c r="C60" s="34" t="s">
        <v>372</v>
      </c>
      <c r="D60" s="32" t="s">
        <v>131</v>
      </c>
      <c r="E60" s="11" t="s">
        <v>11</v>
      </c>
      <c r="F60" s="12"/>
      <c r="G60" s="57" t="s">
        <v>132</v>
      </c>
      <c r="H60" s="58">
        <v>0</v>
      </c>
      <c r="I60" s="58">
        <v>0</v>
      </c>
      <c r="J60" s="58">
        <v>0</v>
      </c>
      <c r="K60" s="58">
        <v>0</v>
      </c>
      <c r="L60" s="58">
        <v>210</v>
      </c>
      <c r="M60" s="58">
        <v>3</v>
      </c>
      <c r="N60" s="76">
        <v>3400</v>
      </c>
      <c r="O60" s="76">
        <v>0</v>
      </c>
      <c r="P60" s="76">
        <v>950</v>
      </c>
      <c r="Q60" s="76">
        <v>250</v>
      </c>
      <c r="R60" s="76">
        <v>170</v>
      </c>
      <c r="S60" s="58">
        <v>200</v>
      </c>
    </row>
    <row r="61" spans="1:19" ht="12" x14ac:dyDescent="0.2">
      <c r="A61" s="8"/>
      <c r="B61" s="31" t="s">
        <v>133</v>
      </c>
      <c r="C61" s="34" t="s">
        <v>134</v>
      </c>
      <c r="D61" s="34" t="s">
        <v>135</v>
      </c>
      <c r="E61" s="11" t="s">
        <v>89</v>
      </c>
      <c r="F61" s="12"/>
      <c r="G61" s="57" t="s">
        <v>136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76">
        <v>0</v>
      </c>
      <c r="O61" s="76">
        <v>0</v>
      </c>
      <c r="P61" s="76">
        <v>0</v>
      </c>
      <c r="Q61" s="76">
        <v>0</v>
      </c>
      <c r="R61" s="76">
        <v>0</v>
      </c>
      <c r="S61" s="58">
        <v>0</v>
      </c>
    </row>
    <row r="62" spans="1:19" ht="12" x14ac:dyDescent="0.2">
      <c r="A62" s="8"/>
      <c r="B62" s="31" t="s">
        <v>137</v>
      </c>
      <c r="C62" s="10">
        <v>253800</v>
      </c>
      <c r="D62" s="34" t="s">
        <v>131</v>
      </c>
      <c r="E62" s="11" t="s">
        <v>11</v>
      </c>
      <c r="F62" s="12"/>
      <c r="G62" s="57" t="s">
        <v>138</v>
      </c>
      <c r="H62" s="58">
        <v>0</v>
      </c>
      <c r="I62" s="58">
        <v>0</v>
      </c>
      <c r="J62" s="58">
        <v>0</v>
      </c>
      <c r="K62" s="58">
        <v>0</v>
      </c>
      <c r="L62" s="58">
        <v>0</v>
      </c>
      <c r="M62" s="58">
        <v>0</v>
      </c>
      <c r="N62" s="76">
        <v>0</v>
      </c>
      <c r="O62" s="76">
        <v>0</v>
      </c>
      <c r="P62" s="76">
        <v>0</v>
      </c>
      <c r="Q62" s="76">
        <v>0</v>
      </c>
      <c r="R62" s="76">
        <v>0</v>
      </c>
      <c r="S62" s="58">
        <v>0</v>
      </c>
    </row>
    <row r="63" spans="1:19" ht="12" x14ac:dyDescent="0.2">
      <c r="A63" s="8"/>
      <c r="B63" s="31" t="s">
        <v>139</v>
      </c>
      <c r="C63" s="10">
        <v>150</v>
      </c>
      <c r="D63" s="34" t="s">
        <v>135</v>
      </c>
      <c r="E63" s="11" t="s">
        <v>89</v>
      </c>
      <c r="F63" s="12"/>
      <c r="G63" s="57" t="s">
        <v>140</v>
      </c>
      <c r="H63" s="58">
        <v>0</v>
      </c>
      <c r="I63" s="58">
        <v>0</v>
      </c>
      <c r="J63" s="58">
        <v>0</v>
      </c>
      <c r="K63" s="58">
        <v>0</v>
      </c>
      <c r="L63" s="58">
        <v>0</v>
      </c>
      <c r="M63" s="58">
        <v>0</v>
      </c>
      <c r="N63" s="76">
        <v>0</v>
      </c>
      <c r="O63" s="76">
        <v>0</v>
      </c>
      <c r="P63" s="76">
        <v>0</v>
      </c>
      <c r="Q63" s="76">
        <v>0</v>
      </c>
      <c r="R63" s="76">
        <v>0</v>
      </c>
      <c r="S63" s="58">
        <v>0</v>
      </c>
    </row>
    <row r="64" spans="1:19" ht="12" x14ac:dyDescent="0.2">
      <c r="A64" s="8"/>
      <c r="B64" s="31" t="s">
        <v>141</v>
      </c>
      <c r="C64" s="34" t="s">
        <v>142</v>
      </c>
      <c r="D64" s="34" t="s">
        <v>131</v>
      </c>
      <c r="E64" s="11" t="s">
        <v>11</v>
      </c>
      <c r="F64" s="12"/>
      <c r="G64" s="57" t="s">
        <v>143</v>
      </c>
      <c r="H64" s="58">
        <v>0</v>
      </c>
      <c r="I64" s="58">
        <v>0</v>
      </c>
      <c r="J64" s="58">
        <v>0</v>
      </c>
      <c r="K64" s="58">
        <v>0</v>
      </c>
      <c r="L64" s="58">
        <v>0</v>
      </c>
      <c r="M64" s="58">
        <v>0</v>
      </c>
      <c r="N64" s="76">
        <v>0</v>
      </c>
      <c r="O64" s="76">
        <v>0</v>
      </c>
      <c r="P64" s="76">
        <v>0</v>
      </c>
      <c r="Q64" s="76">
        <v>0</v>
      </c>
      <c r="R64" s="76">
        <v>0</v>
      </c>
      <c r="S64" s="58">
        <v>0</v>
      </c>
    </row>
    <row r="65" spans="1:19" ht="12" x14ac:dyDescent="0.2">
      <c r="A65" s="8"/>
      <c r="B65" s="31" t="s">
        <v>144</v>
      </c>
      <c r="C65" s="8" t="s">
        <v>373</v>
      </c>
      <c r="D65" s="34" t="s">
        <v>135</v>
      </c>
      <c r="E65" s="11" t="s">
        <v>89</v>
      </c>
      <c r="F65" s="12"/>
      <c r="G65" s="57" t="s">
        <v>145</v>
      </c>
      <c r="H65" s="58">
        <v>0</v>
      </c>
      <c r="I65" s="58">
        <v>0</v>
      </c>
      <c r="J65" s="58">
        <v>0</v>
      </c>
      <c r="K65" s="58">
        <v>0</v>
      </c>
      <c r="L65" s="58">
        <v>0</v>
      </c>
      <c r="M65" s="58">
        <v>0</v>
      </c>
      <c r="N65" s="76">
        <v>0</v>
      </c>
      <c r="O65" s="76">
        <v>0</v>
      </c>
      <c r="P65" s="76">
        <v>0</v>
      </c>
      <c r="Q65" s="76">
        <v>0</v>
      </c>
      <c r="R65" s="76">
        <v>0</v>
      </c>
      <c r="S65" s="58">
        <v>0</v>
      </c>
    </row>
    <row r="66" spans="1:19" ht="12" x14ac:dyDescent="0.2">
      <c r="A66" s="8"/>
      <c r="B66" s="31" t="s">
        <v>146</v>
      </c>
      <c r="C66" s="8" t="s">
        <v>373</v>
      </c>
      <c r="D66" s="34" t="s">
        <v>131</v>
      </c>
      <c r="E66" s="11" t="s">
        <v>11</v>
      </c>
      <c r="F66" s="12"/>
      <c r="G66" s="57" t="s">
        <v>147</v>
      </c>
      <c r="H66" s="58">
        <v>0</v>
      </c>
      <c r="I66" s="58">
        <v>0</v>
      </c>
      <c r="J66" s="58">
        <v>0</v>
      </c>
      <c r="K66" s="58">
        <v>0</v>
      </c>
      <c r="L66" s="58">
        <v>0</v>
      </c>
      <c r="M66" s="58">
        <v>0</v>
      </c>
      <c r="N66" s="76">
        <v>0</v>
      </c>
      <c r="O66" s="76">
        <v>0</v>
      </c>
      <c r="P66" s="76">
        <v>0</v>
      </c>
      <c r="Q66" s="76">
        <v>0</v>
      </c>
      <c r="R66" s="76">
        <v>0</v>
      </c>
      <c r="S66" s="58">
        <v>0</v>
      </c>
    </row>
    <row r="67" spans="1:19" ht="12" x14ac:dyDescent="0.2">
      <c r="A67" s="8"/>
      <c r="B67" s="31" t="s">
        <v>148</v>
      </c>
      <c r="C67" s="8" t="s">
        <v>149</v>
      </c>
      <c r="D67" s="34" t="s">
        <v>135</v>
      </c>
      <c r="E67" s="11" t="s">
        <v>89</v>
      </c>
      <c r="F67" s="12"/>
      <c r="G67" s="57" t="s">
        <v>150</v>
      </c>
      <c r="H67" s="58">
        <v>0</v>
      </c>
      <c r="I67" s="58">
        <v>0</v>
      </c>
      <c r="J67" s="58">
        <v>0</v>
      </c>
      <c r="K67" s="58">
        <v>0</v>
      </c>
      <c r="L67" s="58">
        <v>0</v>
      </c>
      <c r="M67" s="58">
        <v>0</v>
      </c>
      <c r="N67" s="76">
        <v>0</v>
      </c>
      <c r="O67" s="76">
        <v>0</v>
      </c>
      <c r="P67" s="76">
        <v>0</v>
      </c>
      <c r="Q67" s="76">
        <v>0</v>
      </c>
      <c r="R67" s="76">
        <v>0</v>
      </c>
      <c r="S67" s="58">
        <v>0</v>
      </c>
    </row>
    <row r="68" spans="1:19" ht="12" x14ac:dyDescent="0.2">
      <c r="A68" s="8"/>
      <c r="B68" s="31" t="s">
        <v>151</v>
      </c>
      <c r="C68" s="8" t="s">
        <v>149</v>
      </c>
      <c r="D68" s="34" t="s">
        <v>131</v>
      </c>
      <c r="E68" s="11" t="s">
        <v>11</v>
      </c>
      <c r="F68" s="12"/>
      <c r="G68" s="57" t="s">
        <v>152</v>
      </c>
      <c r="H68" s="58">
        <v>0</v>
      </c>
      <c r="I68" s="58">
        <v>0</v>
      </c>
      <c r="J68" s="58">
        <v>0</v>
      </c>
      <c r="K68" s="58">
        <v>0</v>
      </c>
      <c r="L68" s="58">
        <v>0</v>
      </c>
      <c r="M68" s="58">
        <v>0</v>
      </c>
      <c r="N68" s="76">
        <v>0</v>
      </c>
      <c r="O68" s="76">
        <v>0</v>
      </c>
      <c r="P68" s="76">
        <v>0</v>
      </c>
      <c r="Q68" s="76">
        <v>0</v>
      </c>
      <c r="R68" s="76">
        <v>0</v>
      </c>
      <c r="S68" s="58">
        <v>0</v>
      </c>
    </row>
    <row r="69" spans="1:19" ht="12" x14ac:dyDescent="0.2">
      <c r="A69" s="8"/>
      <c r="B69" s="31" t="s">
        <v>153</v>
      </c>
      <c r="C69" s="34" t="s">
        <v>142</v>
      </c>
      <c r="D69" s="34" t="s">
        <v>131</v>
      </c>
      <c r="E69" s="11" t="s">
        <v>11</v>
      </c>
      <c r="F69" s="12"/>
      <c r="G69" s="57" t="s">
        <v>154</v>
      </c>
      <c r="H69" s="58">
        <v>0</v>
      </c>
      <c r="I69" s="58">
        <v>0</v>
      </c>
      <c r="J69" s="58">
        <v>0</v>
      </c>
      <c r="K69" s="58">
        <v>0</v>
      </c>
      <c r="L69" s="58">
        <v>0</v>
      </c>
      <c r="M69" s="58">
        <v>0</v>
      </c>
      <c r="N69" s="76">
        <v>0</v>
      </c>
      <c r="O69" s="76">
        <v>0</v>
      </c>
      <c r="P69" s="76">
        <v>0</v>
      </c>
      <c r="Q69" s="76">
        <v>0</v>
      </c>
      <c r="R69" s="76">
        <v>0</v>
      </c>
      <c r="S69" s="58">
        <v>0</v>
      </c>
    </row>
    <row r="70" spans="1:19" ht="12" x14ac:dyDescent="0.2">
      <c r="A70" s="8"/>
      <c r="B70" s="31" t="s">
        <v>155</v>
      </c>
      <c r="C70" s="35" t="s">
        <v>156</v>
      </c>
      <c r="D70" s="8"/>
      <c r="E70" s="11" t="s">
        <v>72</v>
      </c>
      <c r="F70" s="12"/>
      <c r="G70" s="57" t="s">
        <v>107</v>
      </c>
      <c r="H70" s="58">
        <v>0</v>
      </c>
      <c r="I70" s="58">
        <v>0.156</v>
      </c>
      <c r="J70" s="58">
        <v>3.1E-2</v>
      </c>
      <c r="K70" s="58">
        <v>0.318</v>
      </c>
      <c r="L70" s="58">
        <v>0.38400000000000001</v>
      </c>
      <c r="M70" s="58">
        <v>1.284</v>
      </c>
      <c r="N70" s="76">
        <v>1</v>
      </c>
      <c r="O70" s="76">
        <v>0</v>
      </c>
      <c r="P70" s="76">
        <v>0</v>
      </c>
      <c r="Q70" s="76">
        <v>0</v>
      </c>
      <c r="R70" s="76">
        <v>0</v>
      </c>
      <c r="S70" s="58">
        <v>0</v>
      </c>
    </row>
    <row r="71" spans="1:19" x14ac:dyDescent="0.2">
      <c r="A71" s="8"/>
      <c r="B71" s="31" t="s">
        <v>157</v>
      </c>
      <c r="C71" s="10"/>
      <c r="D71" s="8"/>
      <c r="E71" s="12"/>
      <c r="F71" s="12"/>
      <c r="G71" s="69" t="s">
        <v>158</v>
      </c>
      <c r="H71" s="56">
        <f t="shared" ref="H71:R71" si="16">SUM(H58:H70)</f>
        <v>0</v>
      </c>
      <c r="I71" s="56">
        <f t="shared" si="16"/>
        <v>-3.5669999999999997</v>
      </c>
      <c r="J71" s="56">
        <f t="shared" si="16"/>
        <v>-4.41</v>
      </c>
      <c r="K71" s="56">
        <f t="shared" si="16"/>
        <v>-30.216999999999999</v>
      </c>
      <c r="L71" s="56">
        <f t="shared" si="16"/>
        <v>205.23899999999998</v>
      </c>
      <c r="M71" s="56">
        <f t="shared" si="16"/>
        <v>-0.31599999999999961</v>
      </c>
      <c r="N71" s="77">
        <f t="shared" si="16"/>
        <v>-30</v>
      </c>
      <c r="O71" s="77">
        <f t="shared" si="16"/>
        <v>0</v>
      </c>
      <c r="P71" s="77">
        <f t="shared" si="16"/>
        <v>0</v>
      </c>
      <c r="Q71" s="77">
        <f t="shared" si="16"/>
        <v>0</v>
      </c>
      <c r="R71" s="77">
        <f t="shared" si="16"/>
        <v>0</v>
      </c>
      <c r="S71" s="56">
        <f>SUM(S58:S70)</f>
        <v>0</v>
      </c>
    </row>
    <row r="72" spans="1:19" x14ac:dyDescent="0.2">
      <c r="A72" s="8"/>
      <c r="B72" s="2"/>
      <c r="C72" s="10"/>
      <c r="D72" s="8"/>
      <c r="E72" s="9"/>
      <c r="G72" s="67"/>
      <c r="H72" s="48"/>
      <c r="I72" s="48"/>
      <c r="J72" s="48"/>
      <c r="K72" s="48"/>
      <c r="L72" s="48"/>
      <c r="M72" s="48"/>
      <c r="N72" s="4"/>
      <c r="O72" s="4"/>
      <c r="P72" s="4"/>
      <c r="Q72" s="4"/>
      <c r="R72" s="4"/>
      <c r="S72" s="48"/>
    </row>
    <row r="73" spans="1:19" x14ac:dyDescent="0.2">
      <c r="A73" s="8"/>
      <c r="B73" s="2"/>
      <c r="C73" s="10"/>
      <c r="D73" s="29" t="s">
        <v>120</v>
      </c>
      <c r="E73" s="30" t="s">
        <v>3</v>
      </c>
      <c r="F73" s="9"/>
      <c r="G73" s="53" t="s">
        <v>159</v>
      </c>
      <c r="H73" s="64">
        <f t="shared" ref="H73:S73" si="17">H57</f>
        <v>2011</v>
      </c>
      <c r="I73" s="64">
        <f t="shared" si="17"/>
        <v>2012</v>
      </c>
      <c r="J73" s="64">
        <f t="shared" si="17"/>
        <v>2013</v>
      </c>
      <c r="K73" s="64">
        <f t="shared" si="17"/>
        <v>2014</v>
      </c>
      <c r="L73" s="64">
        <f t="shared" si="17"/>
        <v>2015</v>
      </c>
      <c r="M73" s="64">
        <f t="shared" si="17"/>
        <v>2016</v>
      </c>
      <c r="N73" s="87">
        <f t="shared" si="17"/>
        <v>2017</v>
      </c>
      <c r="O73" s="87">
        <f t="shared" si="17"/>
        <v>2018</v>
      </c>
      <c r="P73" s="87">
        <f t="shared" si="17"/>
        <v>2019</v>
      </c>
      <c r="Q73" s="87">
        <f t="shared" si="17"/>
        <v>2020</v>
      </c>
      <c r="R73" s="87">
        <f t="shared" si="17"/>
        <v>2021</v>
      </c>
      <c r="S73" s="64">
        <f t="shared" si="17"/>
        <v>2022</v>
      </c>
    </row>
    <row r="74" spans="1:19" ht="12" x14ac:dyDescent="0.2">
      <c r="A74" s="8"/>
      <c r="B74" s="2" t="s">
        <v>160</v>
      </c>
      <c r="C74" s="34" t="s">
        <v>161</v>
      </c>
      <c r="D74" s="34" t="s">
        <v>128</v>
      </c>
      <c r="E74" s="11" t="s">
        <v>11</v>
      </c>
      <c r="G74" s="55" t="s">
        <v>162</v>
      </c>
      <c r="H74" s="58">
        <v>0</v>
      </c>
      <c r="I74" s="58">
        <v>0</v>
      </c>
      <c r="J74" s="58">
        <v>0</v>
      </c>
      <c r="K74" s="58">
        <v>0</v>
      </c>
      <c r="L74" s="58">
        <v>0</v>
      </c>
      <c r="M74" s="58">
        <v>0</v>
      </c>
      <c r="N74" s="76">
        <v>0</v>
      </c>
      <c r="O74" s="76">
        <v>0</v>
      </c>
      <c r="P74" s="76">
        <v>0</v>
      </c>
      <c r="Q74" s="76">
        <v>0</v>
      </c>
      <c r="R74" s="76">
        <v>0</v>
      </c>
      <c r="S74" s="58">
        <v>0</v>
      </c>
    </row>
    <row r="75" spans="1:19" ht="12" x14ac:dyDescent="0.2">
      <c r="A75" s="8"/>
      <c r="B75" s="2" t="s">
        <v>163</v>
      </c>
      <c r="C75" s="34" t="s">
        <v>161</v>
      </c>
      <c r="D75" s="34" t="s">
        <v>124</v>
      </c>
      <c r="E75" s="11" t="s">
        <v>89</v>
      </c>
      <c r="F75" s="12"/>
      <c r="G75" s="57" t="s">
        <v>164</v>
      </c>
      <c r="H75" s="58">
        <v>0</v>
      </c>
      <c r="I75" s="58">
        <v>0</v>
      </c>
      <c r="J75" s="58">
        <v>0</v>
      </c>
      <c r="K75" s="58">
        <v>0</v>
      </c>
      <c r="L75" s="58">
        <v>0</v>
      </c>
      <c r="M75" s="58">
        <v>0</v>
      </c>
      <c r="N75" s="76">
        <v>0</v>
      </c>
      <c r="O75" s="76">
        <v>0</v>
      </c>
      <c r="P75" s="76">
        <v>0</v>
      </c>
      <c r="Q75" s="76">
        <v>0</v>
      </c>
      <c r="R75" s="76">
        <v>0</v>
      </c>
      <c r="S75" s="58">
        <v>0</v>
      </c>
    </row>
    <row r="76" spans="1:19" ht="12" x14ac:dyDescent="0.2">
      <c r="A76" s="8"/>
      <c r="B76" s="2" t="s">
        <v>165</v>
      </c>
      <c r="C76" s="34" t="s">
        <v>166</v>
      </c>
      <c r="D76" s="34" t="s">
        <v>131</v>
      </c>
      <c r="E76" s="11" t="s">
        <v>11</v>
      </c>
      <c r="G76" s="57" t="s">
        <v>167</v>
      </c>
      <c r="H76" s="58">
        <v>0</v>
      </c>
      <c r="I76" s="58">
        <v>0</v>
      </c>
      <c r="J76" s="58">
        <v>0</v>
      </c>
      <c r="K76" s="58">
        <v>0</v>
      </c>
      <c r="L76" s="58">
        <v>0</v>
      </c>
      <c r="M76" s="58">
        <v>0</v>
      </c>
      <c r="N76" s="76">
        <v>0</v>
      </c>
      <c r="O76" s="76">
        <v>0</v>
      </c>
      <c r="P76" s="76">
        <v>0</v>
      </c>
      <c r="Q76" s="76">
        <v>0</v>
      </c>
      <c r="R76" s="76">
        <v>0</v>
      </c>
      <c r="S76" s="58">
        <v>0</v>
      </c>
    </row>
    <row r="77" spans="1:19" ht="12" x14ac:dyDescent="0.2">
      <c r="A77" s="8"/>
      <c r="B77" s="2" t="s">
        <v>168</v>
      </c>
      <c r="C77" s="34" t="s">
        <v>166</v>
      </c>
      <c r="D77" s="34" t="s">
        <v>135</v>
      </c>
      <c r="E77" s="11" t="s">
        <v>89</v>
      </c>
      <c r="F77" s="12"/>
      <c r="G77" s="57" t="s">
        <v>169</v>
      </c>
      <c r="H77" s="58">
        <v>0</v>
      </c>
      <c r="I77" s="58">
        <v>0</v>
      </c>
      <c r="J77" s="58">
        <v>0</v>
      </c>
      <c r="K77" s="58">
        <v>0</v>
      </c>
      <c r="L77" s="58">
        <v>0</v>
      </c>
      <c r="M77" s="58">
        <v>0</v>
      </c>
      <c r="N77" s="76">
        <v>0</v>
      </c>
      <c r="O77" s="76">
        <v>0</v>
      </c>
      <c r="P77" s="76">
        <v>0</v>
      </c>
      <c r="Q77" s="76">
        <v>0</v>
      </c>
      <c r="R77" s="76">
        <v>0</v>
      </c>
      <c r="S77" s="58">
        <v>0</v>
      </c>
    </row>
    <row r="78" spans="1:19" ht="12" x14ac:dyDescent="0.2">
      <c r="A78" s="8"/>
      <c r="B78" s="2" t="s">
        <v>170</v>
      </c>
      <c r="C78" s="34" t="s">
        <v>171</v>
      </c>
      <c r="D78" s="34" t="s">
        <v>135</v>
      </c>
      <c r="E78" s="11" t="s">
        <v>89</v>
      </c>
      <c r="F78" s="12"/>
      <c r="G78" s="57" t="s">
        <v>172</v>
      </c>
      <c r="H78" s="58">
        <v>0</v>
      </c>
      <c r="I78" s="58">
        <v>0</v>
      </c>
      <c r="J78" s="58">
        <v>0</v>
      </c>
      <c r="K78" s="58">
        <v>0</v>
      </c>
      <c r="L78" s="58">
        <v>0</v>
      </c>
      <c r="M78" s="58">
        <v>0</v>
      </c>
      <c r="N78" s="76">
        <v>0</v>
      </c>
      <c r="O78" s="76">
        <v>0</v>
      </c>
      <c r="P78" s="76">
        <v>0</v>
      </c>
      <c r="Q78" s="76">
        <v>0</v>
      </c>
      <c r="R78" s="76">
        <v>0</v>
      </c>
      <c r="S78" s="58">
        <v>0</v>
      </c>
    </row>
    <row r="79" spans="1:19" ht="12" x14ac:dyDescent="0.2">
      <c r="A79" s="8"/>
      <c r="B79" s="2" t="s">
        <v>173</v>
      </c>
      <c r="C79" s="34" t="s">
        <v>174</v>
      </c>
      <c r="D79" s="34" t="s">
        <v>135</v>
      </c>
      <c r="E79" s="11" t="s">
        <v>89</v>
      </c>
      <c r="F79" s="12"/>
      <c r="G79" s="57" t="s">
        <v>175</v>
      </c>
      <c r="H79" s="58">
        <v>0</v>
      </c>
      <c r="I79" s="58">
        <v>0</v>
      </c>
      <c r="J79" s="58">
        <v>0</v>
      </c>
      <c r="K79" s="58">
        <v>0</v>
      </c>
      <c r="L79" s="58">
        <v>-0.08</v>
      </c>
      <c r="M79" s="58">
        <v>0</v>
      </c>
      <c r="N79" s="76">
        <v>0</v>
      </c>
      <c r="O79" s="76">
        <v>0</v>
      </c>
      <c r="P79" s="76">
        <v>0</v>
      </c>
      <c r="Q79" s="76">
        <v>0</v>
      </c>
      <c r="R79" s="76">
        <v>0</v>
      </c>
      <c r="S79" s="58">
        <v>0</v>
      </c>
    </row>
    <row r="80" spans="1:19" ht="12" x14ac:dyDescent="0.2">
      <c r="A80" s="8"/>
      <c r="B80" s="2" t="s">
        <v>176</v>
      </c>
      <c r="C80" s="34" t="s">
        <v>177</v>
      </c>
      <c r="D80" s="34" t="s">
        <v>135</v>
      </c>
      <c r="E80" s="11" t="s">
        <v>89</v>
      </c>
      <c r="F80" s="12"/>
      <c r="G80" s="57" t="s">
        <v>178</v>
      </c>
      <c r="H80" s="58">
        <v>0</v>
      </c>
      <c r="I80" s="58">
        <v>0</v>
      </c>
      <c r="J80" s="58">
        <v>0</v>
      </c>
      <c r="K80" s="58">
        <v>0</v>
      </c>
      <c r="L80" s="58">
        <v>0</v>
      </c>
      <c r="M80" s="58">
        <v>0</v>
      </c>
      <c r="N80" s="76">
        <v>0</v>
      </c>
      <c r="O80" s="76">
        <v>0</v>
      </c>
      <c r="P80" s="76">
        <v>0</v>
      </c>
      <c r="Q80" s="76">
        <v>0</v>
      </c>
      <c r="R80" s="76">
        <v>0</v>
      </c>
      <c r="S80" s="58">
        <v>0</v>
      </c>
    </row>
    <row r="81" spans="1:19" ht="12" x14ac:dyDescent="0.2">
      <c r="A81" s="8"/>
      <c r="B81" s="2" t="s">
        <v>179</v>
      </c>
      <c r="C81" s="34" t="s">
        <v>52</v>
      </c>
      <c r="D81" s="34" t="s">
        <v>135</v>
      </c>
      <c r="E81" s="11" t="s">
        <v>89</v>
      </c>
      <c r="F81" s="12"/>
      <c r="G81" s="57" t="s">
        <v>180</v>
      </c>
      <c r="H81" s="58">
        <v>0</v>
      </c>
      <c r="I81" s="58">
        <v>0</v>
      </c>
      <c r="J81" s="58">
        <v>0</v>
      </c>
      <c r="K81" s="58">
        <v>0</v>
      </c>
      <c r="L81" s="58">
        <v>0</v>
      </c>
      <c r="M81" s="58">
        <v>0</v>
      </c>
      <c r="N81" s="76">
        <v>0</v>
      </c>
      <c r="O81" s="76">
        <v>0</v>
      </c>
      <c r="P81" s="76">
        <v>0</v>
      </c>
      <c r="Q81" s="76">
        <v>0</v>
      </c>
      <c r="R81" s="76">
        <v>0</v>
      </c>
      <c r="S81" s="58">
        <v>0</v>
      </c>
    </row>
    <row r="82" spans="1:19" ht="12" x14ac:dyDescent="0.2">
      <c r="A82" s="8"/>
      <c r="B82" s="2" t="s">
        <v>181</v>
      </c>
      <c r="C82" s="34" t="s">
        <v>182</v>
      </c>
      <c r="D82" s="34" t="s">
        <v>131</v>
      </c>
      <c r="E82" s="11" t="s">
        <v>11</v>
      </c>
      <c r="G82" s="57" t="s">
        <v>183</v>
      </c>
      <c r="H82" s="58">
        <v>0</v>
      </c>
      <c r="I82" s="58">
        <v>0</v>
      </c>
      <c r="J82" s="58">
        <v>0</v>
      </c>
      <c r="K82" s="58">
        <v>0</v>
      </c>
      <c r="L82" s="58">
        <v>0</v>
      </c>
      <c r="M82" s="58">
        <v>0</v>
      </c>
      <c r="N82" s="76">
        <v>0</v>
      </c>
      <c r="O82" s="76">
        <v>0</v>
      </c>
      <c r="P82" s="76">
        <v>0</v>
      </c>
      <c r="Q82" s="76">
        <v>0</v>
      </c>
      <c r="R82" s="76">
        <v>0</v>
      </c>
      <c r="S82" s="58">
        <v>0</v>
      </c>
    </row>
    <row r="83" spans="1:19" ht="12" x14ac:dyDescent="0.2">
      <c r="A83" s="8"/>
      <c r="B83" s="2" t="s">
        <v>184</v>
      </c>
      <c r="C83" s="34" t="s">
        <v>182</v>
      </c>
      <c r="D83" s="34" t="s">
        <v>135</v>
      </c>
      <c r="E83" s="11" t="s">
        <v>89</v>
      </c>
      <c r="F83" s="12"/>
      <c r="G83" s="57" t="s">
        <v>374</v>
      </c>
      <c r="H83" s="58">
        <v>0</v>
      </c>
      <c r="I83" s="58">
        <v>0</v>
      </c>
      <c r="J83" s="58">
        <v>0</v>
      </c>
      <c r="K83" s="58">
        <v>0</v>
      </c>
      <c r="L83" s="58">
        <v>0</v>
      </c>
      <c r="M83" s="58">
        <v>0</v>
      </c>
      <c r="N83" s="76">
        <v>0</v>
      </c>
      <c r="O83" s="76">
        <v>0</v>
      </c>
      <c r="P83" s="76">
        <v>0</v>
      </c>
      <c r="Q83" s="76">
        <v>0</v>
      </c>
      <c r="R83" s="76">
        <v>0</v>
      </c>
      <c r="S83" s="58">
        <v>0</v>
      </c>
    </row>
    <row r="84" spans="1:19" ht="12" x14ac:dyDescent="0.2">
      <c r="A84" s="8"/>
      <c r="B84" s="2" t="s">
        <v>185</v>
      </c>
      <c r="C84" s="34" t="s">
        <v>375</v>
      </c>
      <c r="D84" s="34" t="s">
        <v>135</v>
      </c>
      <c r="E84" s="11" t="s">
        <v>89</v>
      </c>
      <c r="F84" s="12"/>
      <c r="G84" s="57" t="s">
        <v>376</v>
      </c>
      <c r="H84" s="58">
        <v>0</v>
      </c>
      <c r="I84" s="58">
        <v>0</v>
      </c>
      <c r="J84" s="58">
        <v>0</v>
      </c>
      <c r="K84" s="58">
        <v>0</v>
      </c>
      <c r="L84" s="58">
        <v>0</v>
      </c>
      <c r="M84" s="58">
        <v>0</v>
      </c>
      <c r="N84" s="76">
        <v>0</v>
      </c>
      <c r="O84" s="76">
        <v>0</v>
      </c>
      <c r="P84" s="76">
        <v>0</v>
      </c>
      <c r="Q84" s="76">
        <v>0</v>
      </c>
      <c r="R84" s="76">
        <v>0</v>
      </c>
      <c r="S84" s="58">
        <v>0</v>
      </c>
    </row>
    <row r="85" spans="1:19" ht="12" x14ac:dyDescent="0.2">
      <c r="A85" s="8"/>
      <c r="B85" s="2" t="s">
        <v>186</v>
      </c>
      <c r="C85" s="36">
        <v>68</v>
      </c>
      <c r="D85" s="34" t="s">
        <v>135</v>
      </c>
      <c r="E85" s="11" t="s">
        <v>89</v>
      </c>
      <c r="F85" s="12"/>
      <c r="G85" s="70" t="s">
        <v>111</v>
      </c>
      <c r="H85" s="58">
        <v>0</v>
      </c>
      <c r="I85" s="58">
        <v>0</v>
      </c>
      <c r="J85" s="58">
        <v>0</v>
      </c>
      <c r="K85" s="58">
        <v>0</v>
      </c>
      <c r="L85" s="58">
        <v>0</v>
      </c>
      <c r="M85" s="58">
        <v>0</v>
      </c>
      <c r="N85" s="76">
        <v>0</v>
      </c>
      <c r="O85" s="76">
        <v>0</v>
      </c>
      <c r="P85" s="76">
        <v>0</v>
      </c>
      <c r="Q85" s="76">
        <v>0</v>
      </c>
      <c r="R85" s="76">
        <v>0</v>
      </c>
      <c r="S85" s="58">
        <v>0</v>
      </c>
    </row>
    <row r="86" spans="1:19" x14ac:dyDescent="0.2">
      <c r="A86" s="8"/>
      <c r="B86" s="2" t="s">
        <v>377</v>
      </c>
      <c r="C86" s="10"/>
      <c r="D86" s="10"/>
      <c r="E86" s="9"/>
      <c r="G86" s="70" t="s">
        <v>158</v>
      </c>
      <c r="H86" s="56">
        <f t="shared" ref="H86:S86" si="18">SUM(H74:H85)</f>
        <v>0</v>
      </c>
      <c r="I86" s="56">
        <f t="shared" si="18"/>
        <v>0</v>
      </c>
      <c r="J86" s="56">
        <f t="shared" si="18"/>
        <v>0</v>
      </c>
      <c r="K86" s="56">
        <f t="shared" si="18"/>
        <v>0</v>
      </c>
      <c r="L86" s="56">
        <f t="shared" si="18"/>
        <v>-0.08</v>
      </c>
      <c r="M86" s="56">
        <f t="shared" si="18"/>
        <v>0</v>
      </c>
      <c r="N86" s="56">
        <f t="shared" si="18"/>
        <v>0</v>
      </c>
      <c r="O86" s="56">
        <f t="shared" si="18"/>
        <v>0</v>
      </c>
      <c r="P86" s="56">
        <f t="shared" si="18"/>
        <v>0</v>
      </c>
      <c r="Q86" s="56">
        <f t="shared" si="18"/>
        <v>0</v>
      </c>
      <c r="R86" s="56">
        <f t="shared" si="18"/>
        <v>0</v>
      </c>
      <c r="S86" s="56">
        <f t="shared" si="18"/>
        <v>0</v>
      </c>
    </row>
    <row r="87" spans="1:19" s="4" customFormat="1" x14ac:dyDescent="0.2">
      <c r="A87" s="8"/>
      <c r="B87" s="2" t="s">
        <v>378</v>
      </c>
      <c r="C87" s="10"/>
      <c r="D87" s="10"/>
      <c r="E87" s="9"/>
      <c r="F87" s="8"/>
      <c r="G87" s="89" t="s">
        <v>379</v>
      </c>
      <c r="H87" s="98"/>
      <c r="I87" s="85">
        <f t="shared" ref="I87:S87" si="19">(I14+I15)-(H14+H15-I58-I59+I45)</f>
        <v>3393.0190000000002</v>
      </c>
      <c r="J87" s="85">
        <f t="shared" si="19"/>
        <v>0</v>
      </c>
      <c r="K87" s="85">
        <f t="shared" si="19"/>
        <v>0</v>
      </c>
      <c r="L87" s="85">
        <f t="shared" si="19"/>
        <v>0</v>
      </c>
      <c r="M87" s="85">
        <f t="shared" si="19"/>
        <v>-1.0000000002037268E-3</v>
      </c>
      <c r="N87" s="85">
        <f t="shared" si="19"/>
        <v>0.47999999999956344</v>
      </c>
      <c r="O87" s="85">
        <f t="shared" si="19"/>
        <v>0</v>
      </c>
      <c r="P87" s="85">
        <f t="shared" si="19"/>
        <v>0</v>
      </c>
      <c r="Q87" s="85">
        <f t="shared" si="19"/>
        <v>0</v>
      </c>
      <c r="R87" s="85">
        <f t="shared" si="19"/>
        <v>0</v>
      </c>
      <c r="S87" s="85">
        <f t="shared" si="19"/>
        <v>0</v>
      </c>
    </row>
    <row r="88" spans="1:19" s="4" customFormat="1" x14ac:dyDescent="0.2">
      <c r="A88" s="8"/>
      <c r="B88" s="2" t="s">
        <v>380</v>
      </c>
      <c r="C88" s="10"/>
      <c r="D88" s="10"/>
      <c r="E88" s="9"/>
      <c r="F88" s="8"/>
      <c r="G88" s="89" t="s">
        <v>381</v>
      </c>
      <c r="H88" s="98"/>
      <c r="I88" s="85">
        <f>I24-(H24+(I74+I76)+(I75+I77)+(I78))</f>
        <v>0</v>
      </c>
      <c r="J88" s="85">
        <f>J24-(I24+(J74+J76)+(J75+J77)+(J78))</f>
        <v>0</v>
      </c>
      <c r="K88" s="85">
        <f>K24-(J24+(K74+K76)+(K75+K77)+(K78))</f>
        <v>0</v>
      </c>
      <c r="L88" s="85">
        <f>L24-(K24+(L74+L76)+(L75+L77)+(L78))</f>
        <v>0</v>
      </c>
      <c r="M88" s="85">
        <f>M24-(L24+(M74+M76)+(M75+M77)+(M78))</f>
        <v>0</v>
      </c>
      <c r="N88" s="85">
        <f t="shared" ref="N88:S88" si="20">N24-(M24+(N74+N76)+(N75+N77)+(N78))</f>
        <v>0</v>
      </c>
      <c r="O88" s="85">
        <f t="shared" si="20"/>
        <v>0</v>
      </c>
      <c r="P88" s="85">
        <f t="shared" si="20"/>
        <v>0</v>
      </c>
      <c r="Q88" s="85">
        <f t="shared" si="20"/>
        <v>0</v>
      </c>
      <c r="R88" s="85">
        <f t="shared" si="20"/>
        <v>0</v>
      </c>
      <c r="S88" s="85">
        <f t="shared" si="20"/>
        <v>0</v>
      </c>
    </row>
    <row r="89" spans="1:19" s="4" customFormat="1" x14ac:dyDescent="0.2">
      <c r="A89" s="8"/>
      <c r="B89" s="2" t="s">
        <v>382</v>
      </c>
      <c r="C89" s="10"/>
      <c r="D89" s="10"/>
      <c r="E89" s="9"/>
      <c r="F89" s="8"/>
      <c r="G89" s="89" t="s">
        <v>383</v>
      </c>
      <c r="H89" s="98"/>
      <c r="I89" s="85">
        <f t="shared" ref="I89:S89" si="21">I28-(H28+(I82+I83))</f>
        <v>3082.8649999999998</v>
      </c>
      <c r="J89" s="85">
        <f t="shared" si="21"/>
        <v>0</v>
      </c>
      <c r="K89" s="85">
        <f t="shared" si="21"/>
        <v>0</v>
      </c>
      <c r="L89" s="85">
        <f t="shared" si="21"/>
        <v>0</v>
      </c>
      <c r="M89" s="85">
        <f t="shared" si="21"/>
        <v>0</v>
      </c>
      <c r="N89" s="85">
        <f t="shared" si="21"/>
        <v>0.13500000000021828</v>
      </c>
      <c r="O89" s="85">
        <f t="shared" si="21"/>
        <v>0</v>
      </c>
      <c r="P89" s="85">
        <f t="shared" si="21"/>
        <v>0</v>
      </c>
      <c r="Q89" s="85">
        <f t="shared" si="21"/>
        <v>0</v>
      </c>
      <c r="R89" s="85">
        <f t="shared" si="21"/>
        <v>0</v>
      </c>
      <c r="S89" s="85">
        <f t="shared" si="21"/>
        <v>0</v>
      </c>
    </row>
    <row r="90" spans="1:19" s="4" customFormat="1" x14ac:dyDescent="0.2">
      <c r="A90" s="8"/>
      <c r="B90" s="2" t="s">
        <v>384</v>
      </c>
      <c r="C90" s="10"/>
      <c r="D90" s="10"/>
      <c r="E90" s="9"/>
      <c r="F90" s="8"/>
      <c r="G90" s="89" t="s">
        <v>385</v>
      </c>
      <c r="H90" s="98"/>
      <c r="I90" s="85">
        <f t="shared" ref="I90:S90" si="22">I29-(H29+H30)-I84</f>
        <v>0</v>
      </c>
      <c r="J90" s="85">
        <f t="shared" si="22"/>
        <v>0</v>
      </c>
      <c r="K90" s="85">
        <f t="shared" si="22"/>
        <v>0</v>
      </c>
      <c r="L90" s="85">
        <f t="shared" si="22"/>
        <v>0</v>
      </c>
      <c r="M90" s="85">
        <f t="shared" si="22"/>
        <v>-1.4210854715202004E-14</v>
      </c>
      <c r="N90" s="85">
        <f t="shared" si="22"/>
        <v>0.29000000000000625</v>
      </c>
      <c r="O90" s="85">
        <f t="shared" si="22"/>
        <v>0</v>
      </c>
      <c r="P90" s="85">
        <f t="shared" si="22"/>
        <v>0</v>
      </c>
      <c r="Q90" s="85">
        <f t="shared" si="22"/>
        <v>0</v>
      </c>
      <c r="R90" s="85">
        <f t="shared" si="22"/>
        <v>0</v>
      </c>
      <c r="S90" s="85">
        <f t="shared" si="22"/>
        <v>0</v>
      </c>
    </row>
    <row r="91" spans="1:19" s="4" customFormat="1" x14ac:dyDescent="0.2">
      <c r="A91" s="8"/>
      <c r="B91" s="2"/>
      <c r="C91" s="10"/>
      <c r="D91" s="10"/>
      <c r="E91" s="9"/>
      <c r="F91" s="8"/>
      <c r="G91" s="28"/>
      <c r="L91" s="93">
        <f>L90-L87</f>
        <v>0</v>
      </c>
    </row>
    <row r="92" spans="1:19" s="4" customFormat="1" x14ac:dyDescent="0.2">
      <c r="A92" s="13" t="s">
        <v>0</v>
      </c>
      <c r="B92" s="2"/>
      <c r="C92" s="10"/>
      <c r="D92" s="753" t="s">
        <v>187</v>
      </c>
      <c r="E92" s="754"/>
      <c r="F92" s="8"/>
      <c r="G92" s="94" t="s">
        <v>386</v>
      </c>
      <c r="H92" s="87">
        <f>H73</f>
        <v>2011</v>
      </c>
      <c r="I92" s="87">
        <f t="shared" ref="I92:S92" si="23">I73</f>
        <v>2012</v>
      </c>
      <c r="J92" s="87">
        <f t="shared" si="23"/>
        <v>2013</v>
      </c>
      <c r="K92" s="87">
        <f t="shared" si="23"/>
        <v>2014</v>
      </c>
      <c r="L92" s="87">
        <f t="shared" si="23"/>
        <v>2015</v>
      </c>
      <c r="M92" s="87">
        <f t="shared" si="23"/>
        <v>2016</v>
      </c>
      <c r="N92" s="87">
        <f t="shared" si="23"/>
        <v>2017</v>
      </c>
      <c r="O92" s="87">
        <f t="shared" si="23"/>
        <v>2018</v>
      </c>
      <c r="P92" s="87">
        <f t="shared" si="23"/>
        <v>2019</v>
      </c>
      <c r="Q92" s="87">
        <f t="shared" si="23"/>
        <v>2020</v>
      </c>
      <c r="R92" s="87">
        <f t="shared" si="23"/>
        <v>2021</v>
      </c>
      <c r="S92" s="87">
        <f t="shared" si="23"/>
        <v>2022</v>
      </c>
    </row>
    <row r="93" spans="1:19" s="4" customFormat="1" x14ac:dyDescent="0.2">
      <c r="A93" s="8"/>
      <c r="B93" s="2" t="s">
        <v>387</v>
      </c>
      <c r="C93" s="10" t="s">
        <v>388</v>
      </c>
      <c r="D93" s="10"/>
      <c r="E93" s="9"/>
      <c r="F93" s="8"/>
      <c r="G93" s="95" t="s">
        <v>389</v>
      </c>
      <c r="H93" s="96">
        <f>H5+H11+H12+H13</f>
        <v>0</v>
      </c>
      <c r="I93" s="96">
        <f>I5+I11+I12+I13</f>
        <v>313.976</v>
      </c>
      <c r="J93" s="96">
        <f t="shared" ref="J93:S93" si="24">J5+J11+J12+J13</f>
        <v>282.57799999999997</v>
      </c>
      <c r="K93" s="96">
        <f t="shared" si="24"/>
        <v>206.58200000000002</v>
      </c>
      <c r="L93" s="96">
        <f t="shared" si="24"/>
        <v>612.45799999999997</v>
      </c>
      <c r="M93" s="96">
        <f t="shared" si="24"/>
        <v>756.35799999999995</v>
      </c>
      <c r="N93" s="96">
        <f t="shared" si="24"/>
        <v>1121</v>
      </c>
      <c r="O93" s="96">
        <f t="shared" si="24"/>
        <v>622</v>
      </c>
      <c r="P93" s="96">
        <f t="shared" si="24"/>
        <v>326</v>
      </c>
      <c r="Q93" s="96">
        <f t="shared" si="24"/>
        <v>434</v>
      </c>
      <c r="R93" s="96">
        <f t="shared" si="24"/>
        <v>510</v>
      </c>
      <c r="S93" s="96">
        <f t="shared" si="24"/>
        <v>526</v>
      </c>
    </row>
    <row r="94" spans="1:19" s="4" customFormat="1" x14ac:dyDescent="0.2">
      <c r="A94" s="8"/>
      <c r="B94" s="2" t="s">
        <v>390</v>
      </c>
      <c r="C94" s="10"/>
      <c r="D94" s="10"/>
      <c r="E94" s="9"/>
      <c r="F94" s="8"/>
      <c r="G94" s="97" t="s">
        <v>391</v>
      </c>
      <c r="H94" s="98"/>
      <c r="I94" s="96">
        <f>I93-H93</f>
        <v>313.976</v>
      </c>
      <c r="J94" s="96">
        <f t="shared" ref="J94:S94" si="25">J93-I93</f>
        <v>-31.398000000000025</v>
      </c>
      <c r="K94" s="96">
        <f t="shared" si="25"/>
        <v>-75.995999999999952</v>
      </c>
      <c r="L94" s="96">
        <f t="shared" si="25"/>
        <v>405.87599999999998</v>
      </c>
      <c r="M94" s="96">
        <f t="shared" si="25"/>
        <v>143.89999999999998</v>
      </c>
      <c r="N94" s="96">
        <f t="shared" si="25"/>
        <v>364.64200000000005</v>
      </c>
      <c r="O94" s="96">
        <f t="shared" si="25"/>
        <v>-499</v>
      </c>
      <c r="P94" s="96">
        <f t="shared" si="25"/>
        <v>-296</v>
      </c>
      <c r="Q94" s="96">
        <f t="shared" si="25"/>
        <v>108</v>
      </c>
      <c r="R94" s="96">
        <f t="shared" si="25"/>
        <v>76</v>
      </c>
      <c r="S94" s="96">
        <f t="shared" si="25"/>
        <v>16</v>
      </c>
    </row>
    <row r="95" spans="1:19" s="4" customFormat="1" x14ac:dyDescent="0.2">
      <c r="A95" s="8"/>
      <c r="B95" s="2" t="s">
        <v>392</v>
      </c>
      <c r="C95" s="10" t="s">
        <v>42</v>
      </c>
      <c r="D95" s="10"/>
      <c r="E95" s="9"/>
      <c r="F95" s="8"/>
      <c r="G95" s="95" t="s">
        <v>393</v>
      </c>
      <c r="H95" s="96">
        <f>H19</f>
        <v>0</v>
      </c>
      <c r="I95" s="96">
        <f t="shared" ref="I95:S95" si="26">I19</f>
        <v>253.05600000000001</v>
      </c>
      <c r="J95" s="96">
        <f t="shared" si="26"/>
        <v>282.95599999999996</v>
      </c>
      <c r="K95" s="96">
        <f t="shared" si="26"/>
        <v>280.03000000000003</v>
      </c>
      <c r="L95" s="96">
        <f t="shared" si="26"/>
        <v>539.90300000000002</v>
      </c>
      <c r="M95" s="96">
        <f t="shared" si="26"/>
        <v>590.303</v>
      </c>
      <c r="N95" s="96">
        <f>N19</f>
        <v>1061</v>
      </c>
      <c r="O95" s="96">
        <f t="shared" si="26"/>
        <v>220</v>
      </c>
      <c r="P95" s="96">
        <f t="shared" si="26"/>
        <v>532</v>
      </c>
      <c r="Q95" s="96">
        <f t="shared" si="26"/>
        <v>543</v>
      </c>
      <c r="R95" s="96">
        <f t="shared" si="26"/>
        <v>433</v>
      </c>
      <c r="S95" s="96">
        <f t="shared" si="26"/>
        <v>384</v>
      </c>
    </row>
    <row r="96" spans="1:19" s="4" customFormat="1" x14ac:dyDescent="0.2">
      <c r="A96" s="8"/>
      <c r="B96" s="2" t="s">
        <v>394</v>
      </c>
      <c r="C96" s="10"/>
      <c r="D96" s="10"/>
      <c r="E96" s="9"/>
      <c r="F96" s="8"/>
      <c r="G96" s="97" t="s">
        <v>391</v>
      </c>
      <c r="H96" s="98"/>
      <c r="I96" s="96">
        <f>I95-H95</f>
        <v>253.05600000000001</v>
      </c>
      <c r="J96" s="96">
        <f t="shared" ref="J96:S96" si="27">J95-I95</f>
        <v>29.899999999999949</v>
      </c>
      <c r="K96" s="96">
        <f t="shared" si="27"/>
        <v>-2.9259999999999309</v>
      </c>
      <c r="L96" s="96">
        <f t="shared" si="27"/>
        <v>259.87299999999999</v>
      </c>
      <c r="M96" s="96">
        <f t="shared" si="27"/>
        <v>50.399999999999977</v>
      </c>
      <c r="N96" s="96">
        <f t="shared" si="27"/>
        <v>470.697</v>
      </c>
      <c r="O96" s="96">
        <f t="shared" si="27"/>
        <v>-841</v>
      </c>
      <c r="P96" s="96">
        <f t="shared" si="27"/>
        <v>312</v>
      </c>
      <c r="Q96" s="96">
        <f t="shared" si="27"/>
        <v>11</v>
      </c>
      <c r="R96" s="96">
        <f t="shared" si="27"/>
        <v>-110</v>
      </c>
      <c r="S96" s="96">
        <f t="shared" si="27"/>
        <v>-49</v>
      </c>
    </row>
    <row r="97" spans="1:20" s="40" customFormat="1" x14ac:dyDescent="0.2">
      <c r="A97" s="29" t="s">
        <v>395</v>
      </c>
      <c r="B97" s="2" t="s">
        <v>188</v>
      </c>
      <c r="C97" s="10" t="s">
        <v>396</v>
      </c>
      <c r="D97" s="99"/>
      <c r="E97" s="30"/>
      <c r="F97" s="29"/>
      <c r="G97" s="100" t="s">
        <v>386</v>
      </c>
      <c r="H97" s="101"/>
      <c r="I97" s="102">
        <f>I94-I96</f>
        <v>60.919999999999987</v>
      </c>
      <c r="J97" s="102">
        <f t="shared" ref="J97:S97" si="28">J94-J96</f>
        <v>-61.297999999999973</v>
      </c>
      <c r="K97" s="102">
        <f t="shared" si="28"/>
        <v>-73.070000000000022</v>
      </c>
      <c r="L97" s="102">
        <f t="shared" si="28"/>
        <v>146.00299999999999</v>
      </c>
      <c r="M97" s="102">
        <f t="shared" si="28"/>
        <v>93.5</v>
      </c>
      <c r="N97" s="102">
        <f t="shared" si="28"/>
        <v>-106.05499999999995</v>
      </c>
      <c r="O97" s="102">
        <f t="shared" si="28"/>
        <v>342</v>
      </c>
      <c r="P97" s="102">
        <f t="shared" si="28"/>
        <v>-608</v>
      </c>
      <c r="Q97" s="102">
        <f t="shared" si="28"/>
        <v>97</v>
      </c>
      <c r="R97" s="102">
        <f t="shared" si="28"/>
        <v>186</v>
      </c>
      <c r="S97" s="102">
        <f t="shared" si="28"/>
        <v>65</v>
      </c>
    </row>
    <row r="98" spans="1:20" s="4" customFormat="1" x14ac:dyDescent="0.2">
      <c r="A98" s="8"/>
      <c r="B98" s="2"/>
      <c r="C98" s="10"/>
      <c r="D98" s="10"/>
      <c r="E98" s="9"/>
      <c r="F98" s="8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</row>
    <row r="99" spans="1:20" s="4" customFormat="1" x14ac:dyDescent="0.2">
      <c r="A99" s="8"/>
      <c r="B99" s="2" t="s">
        <v>397</v>
      </c>
      <c r="C99" s="10" t="s">
        <v>398</v>
      </c>
      <c r="D99" s="10"/>
      <c r="E99" s="9"/>
      <c r="F99" s="8"/>
      <c r="G99" s="95" t="s">
        <v>399</v>
      </c>
      <c r="H99" s="96">
        <f>H4-H93</f>
        <v>0</v>
      </c>
      <c r="I99" s="96">
        <f t="shared" ref="I99:S99" si="29">I4-I93</f>
        <v>3306.4690000000001</v>
      </c>
      <c r="J99" s="96">
        <f t="shared" si="29"/>
        <v>3178.3180000000002</v>
      </c>
      <c r="K99" s="96">
        <f t="shared" si="29"/>
        <v>3073.59</v>
      </c>
      <c r="L99" s="96">
        <f t="shared" si="29"/>
        <v>2940.5730000000003</v>
      </c>
      <c r="M99" s="96">
        <f t="shared" si="29"/>
        <v>2794.5199999999995</v>
      </c>
      <c r="N99" s="96">
        <f t="shared" si="29"/>
        <v>6123</v>
      </c>
      <c r="O99" s="96">
        <f t="shared" si="29"/>
        <v>5781</v>
      </c>
      <c r="P99" s="96">
        <f t="shared" si="29"/>
        <v>6389</v>
      </c>
      <c r="Q99" s="96">
        <f t="shared" si="29"/>
        <v>6292</v>
      </c>
      <c r="R99" s="96">
        <f t="shared" si="29"/>
        <v>6106</v>
      </c>
      <c r="S99" s="96">
        <f t="shared" si="29"/>
        <v>6041</v>
      </c>
    </row>
    <row r="100" spans="1:20" s="4" customFormat="1" x14ac:dyDescent="0.2">
      <c r="A100" s="8"/>
      <c r="B100" s="2" t="s">
        <v>400</v>
      </c>
      <c r="C100" s="10"/>
      <c r="D100" s="10"/>
      <c r="E100" s="9"/>
      <c r="F100" s="8"/>
      <c r="G100" s="97" t="s">
        <v>391</v>
      </c>
      <c r="H100" s="98"/>
      <c r="I100" s="96">
        <f>I99-H99</f>
        <v>3306.4690000000001</v>
      </c>
      <c r="J100" s="96">
        <f t="shared" ref="J100:S100" si="30">J99-I99</f>
        <v>-128.15099999999984</v>
      </c>
      <c r="K100" s="96">
        <f t="shared" si="30"/>
        <v>-104.72800000000007</v>
      </c>
      <c r="L100" s="96">
        <f t="shared" si="30"/>
        <v>-133.01699999999983</v>
      </c>
      <c r="M100" s="96">
        <f t="shared" si="30"/>
        <v>-146.05300000000079</v>
      </c>
      <c r="N100" s="96">
        <f t="shared" si="30"/>
        <v>3328.4800000000005</v>
      </c>
      <c r="O100" s="96">
        <f t="shared" si="30"/>
        <v>-342</v>
      </c>
      <c r="P100" s="96">
        <f t="shared" si="30"/>
        <v>608</v>
      </c>
      <c r="Q100" s="96">
        <f t="shared" si="30"/>
        <v>-97</v>
      </c>
      <c r="R100" s="96">
        <f t="shared" si="30"/>
        <v>-186</v>
      </c>
      <c r="S100" s="96">
        <f t="shared" si="30"/>
        <v>-65</v>
      </c>
    </row>
    <row r="101" spans="1:20" s="4" customFormat="1" x14ac:dyDescent="0.2">
      <c r="A101" s="8"/>
      <c r="B101" s="2" t="s">
        <v>401</v>
      </c>
      <c r="C101" s="10" t="s">
        <v>64</v>
      </c>
      <c r="D101" s="10"/>
      <c r="E101" s="9"/>
      <c r="F101" s="8"/>
      <c r="G101" s="95" t="s">
        <v>402</v>
      </c>
      <c r="H101" s="96">
        <f>H27</f>
        <v>0</v>
      </c>
      <c r="I101" s="96">
        <f t="shared" ref="I101:S101" si="31">I27</f>
        <v>3367.3879999999999</v>
      </c>
      <c r="J101" s="96">
        <f t="shared" si="31"/>
        <v>3177.9409999999998</v>
      </c>
      <c r="K101" s="96">
        <f t="shared" si="31"/>
        <v>3000.1409999999996</v>
      </c>
      <c r="L101" s="96">
        <f t="shared" si="31"/>
        <v>3013.1289999999995</v>
      </c>
      <c r="M101" s="96">
        <f t="shared" si="31"/>
        <v>2960.5749999999998</v>
      </c>
      <c r="N101" s="96">
        <f t="shared" si="31"/>
        <v>6183</v>
      </c>
      <c r="O101" s="96">
        <f t="shared" si="31"/>
        <v>6183</v>
      </c>
      <c r="P101" s="96">
        <f t="shared" si="31"/>
        <v>6183</v>
      </c>
      <c r="Q101" s="96">
        <f t="shared" si="31"/>
        <v>6183</v>
      </c>
      <c r="R101" s="96">
        <f t="shared" si="31"/>
        <v>6183</v>
      </c>
      <c r="S101" s="96">
        <f t="shared" si="31"/>
        <v>6183</v>
      </c>
    </row>
    <row r="102" spans="1:20" s="4" customFormat="1" x14ac:dyDescent="0.2">
      <c r="A102" s="8"/>
      <c r="B102" s="2" t="s">
        <v>403</v>
      </c>
      <c r="C102" s="10"/>
      <c r="D102" s="10"/>
      <c r="E102" s="9"/>
      <c r="F102" s="8"/>
      <c r="G102" s="97" t="s">
        <v>391</v>
      </c>
      <c r="H102" s="98"/>
      <c r="I102" s="96">
        <f>I101-H101</f>
        <v>3367.3879999999999</v>
      </c>
      <c r="J102" s="96">
        <f t="shared" ref="J102:S102" si="32">J101-I101</f>
        <v>-189.44700000000012</v>
      </c>
      <c r="K102" s="96">
        <f t="shared" si="32"/>
        <v>-177.80000000000018</v>
      </c>
      <c r="L102" s="96">
        <f t="shared" si="32"/>
        <v>12.987999999999829</v>
      </c>
      <c r="M102" s="96">
        <f t="shared" si="32"/>
        <v>-52.553999999999633</v>
      </c>
      <c r="N102" s="96">
        <f t="shared" si="32"/>
        <v>3222.4250000000002</v>
      </c>
      <c r="O102" s="96">
        <f t="shared" si="32"/>
        <v>0</v>
      </c>
      <c r="P102" s="96">
        <f t="shared" si="32"/>
        <v>0</v>
      </c>
      <c r="Q102" s="96">
        <f t="shared" si="32"/>
        <v>0</v>
      </c>
      <c r="R102" s="96">
        <f t="shared" si="32"/>
        <v>0</v>
      </c>
      <c r="S102" s="96">
        <f t="shared" si="32"/>
        <v>0</v>
      </c>
    </row>
    <row r="103" spans="1:20" s="40" customFormat="1" x14ac:dyDescent="0.2">
      <c r="A103" s="29" t="s">
        <v>404</v>
      </c>
      <c r="B103" s="2" t="s">
        <v>189</v>
      </c>
      <c r="C103" s="10" t="s">
        <v>405</v>
      </c>
      <c r="D103" s="10"/>
      <c r="E103" s="9"/>
      <c r="F103" s="8"/>
      <c r="G103" s="100" t="s">
        <v>406</v>
      </c>
      <c r="H103" s="101"/>
      <c r="I103" s="102">
        <f>I102-I100</f>
        <v>60.918999999999869</v>
      </c>
      <c r="J103" s="102">
        <f t="shared" ref="J103:S103" si="33">J102-J100</f>
        <v>-61.296000000000276</v>
      </c>
      <c r="K103" s="102">
        <f t="shared" si="33"/>
        <v>-73.072000000000116</v>
      </c>
      <c r="L103" s="102">
        <f t="shared" si="33"/>
        <v>146.00499999999965</v>
      </c>
      <c r="M103" s="102">
        <f t="shared" si="33"/>
        <v>93.499000000001161</v>
      </c>
      <c r="N103" s="102">
        <f t="shared" si="33"/>
        <v>-106.05500000000029</v>
      </c>
      <c r="O103" s="102">
        <f t="shared" si="33"/>
        <v>342</v>
      </c>
      <c r="P103" s="102">
        <f t="shared" si="33"/>
        <v>-608</v>
      </c>
      <c r="Q103" s="102">
        <f t="shared" si="33"/>
        <v>97</v>
      </c>
      <c r="R103" s="102">
        <f t="shared" si="33"/>
        <v>186</v>
      </c>
      <c r="S103" s="102">
        <f t="shared" si="33"/>
        <v>65</v>
      </c>
    </row>
    <row r="104" spans="1:20" s="4" customFormat="1" x14ac:dyDescent="0.2">
      <c r="A104" s="8"/>
      <c r="B104" s="2"/>
      <c r="C104" s="10"/>
      <c r="D104" s="10"/>
      <c r="E104" s="9"/>
      <c r="F104" s="8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</row>
    <row r="105" spans="1:20" s="4" customFormat="1" x14ac:dyDescent="0.2">
      <c r="A105" s="13"/>
      <c r="B105" s="2"/>
      <c r="C105" s="10"/>
      <c r="D105" s="10"/>
      <c r="E105" s="9"/>
      <c r="F105" s="8"/>
      <c r="G105" s="94" t="s">
        <v>407</v>
      </c>
      <c r="H105" s="87">
        <f t="shared" ref="H105:S105" si="34">H32</f>
        <v>2011</v>
      </c>
      <c r="I105" s="87">
        <f t="shared" si="34"/>
        <v>2012</v>
      </c>
      <c r="J105" s="87">
        <f t="shared" si="34"/>
        <v>2013</v>
      </c>
      <c r="K105" s="87">
        <f t="shared" si="34"/>
        <v>2014</v>
      </c>
      <c r="L105" s="87">
        <f t="shared" si="34"/>
        <v>2015</v>
      </c>
      <c r="M105" s="87">
        <f t="shared" si="34"/>
        <v>2016</v>
      </c>
      <c r="N105" s="87">
        <f t="shared" si="34"/>
        <v>2017</v>
      </c>
      <c r="O105" s="87">
        <f t="shared" si="34"/>
        <v>2018</v>
      </c>
      <c r="P105" s="87">
        <f t="shared" si="34"/>
        <v>2019</v>
      </c>
      <c r="Q105" s="87">
        <f t="shared" si="34"/>
        <v>2020</v>
      </c>
      <c r="R105" s="87">
        <f t="shared" si="34"/>
        <v>2021</v>
      </c>
      <c r="S105" s="87">
        <f t="shared" si="34"/>
        <v>2022</v>
      </c>
    </row>
    <row r="106" spans="1:20" s="40" customFormat="1" x14ac:dyDescent="0.2">
      <c r="A106" s="29" t="s">
        <v>408</v>
      </c>
      <c r="B106" s="2" t="s">
        <v>192</v>
      </c>
      <c r="C106" s="29" t="s">
        <v>409</v>
      </c>
      <c r="D106" s="10"/>
      <c r="E106" s="9"/>
      <c r="F106" s="8"/>
      <c r="G106" s="103" t="s">
        <v>407</v>
      </c>
      <c r="H106" s="101" t="s">
        <v>358</v>
      </c>
      <c r="I106" s="104">
        <f t="shared" ref="I106:N106" si="35">(I48-I45+I50)+(I58+I59)+(I82+I83+I84+I85)-(I85-I49)</f>
        <v>371.27400000000006</v>
      </c>
      <c r="J106" s="104">
        <f t="shared" si="35"/>
        <v>-61.296000000000106</v>
      </c>
      <c r="K106" s="104">
        <f t="shared" si="35"/>
        <v>-73.07099999999997</v>
      </c>
      <c r="L106" s="104">
        <f t="shared" si="35"/>
        <v>146.00400000000064</v>
      </c>
      <c r="M106" s="104">
        <f t="shared" si="35"/>
        <v>93.498000000000246</v>
      </c>
      <c r="N106" s="104">
        <f t="shared" si="35"/>
        <v>-106</v>
      </c>
      <c r="O106" s="104">
        <f>(O48-O45+O50)+(O58+O59)+(O82+O83+O84+O85)-(O85-O49)</f>
        <v>342</v>
      </c>
      <c r="P106" s="104">
        <f>(P48-P45+P50)+(P58+P59)+(P82+P83+P84+P85)-(P85-P49)</f>
        <v>-608</v>
      </c>
      <c r="Q106" s="104">
        <f>(Q48-Q45+Q50)+(Q58+Q59)+(Q82+Q83+Q84+Q85)-(Q85-Q49)</f>
        <v>97</v>
      </c>
      <c r="R106" s="104">
        <f>(R48-R45+R50)+(R58+R59)+(R82+R83+R84+R85)-(R85-R49)</f>
        <v>186</v>
      </c>
      <c r="S106" s="104">
        <f>(S48-S45+S50)+(S58+S59)+(S82+S83+S84+S85)-(S85-S49)</f>
        <v>65</v>
      </c>
    </row>
    <row r="107" spans="1:20" s="40" customFormat="1" x14ac:dyDescent="0.2">
      <c r="A107" s="29" t="s">
        <v>410</v>
      </c>
      <c r="B107" s="2" t="s">
        <v>194</v>
      </c>
      <c r="C107" s="29" t="s">
        <v>411</v>
      </c>
      <c r="D107" s="10"/>
      <c r="E107" s="9"/>
      <c r="F107" s="8"/>
      <c r="G107" s="89" t="s">
        <v>412</v>
      </c>
      <c r="H107" s="101" t="s">
        <v>358</v>
      </c>
      <c r="I107" s="85">
        <f>I97-I106</f>
        <v>-310.35400000000004</v>
      </c>
      <c r="J107" s="85">
        <f t="shared" ref="J107:S107" si="36">J97-J106</f>
        <v>-1.9999999998674411E-3</v>
      </c>
      <c r="K107" s="85">
        <f t="shared" si="36"/>
        <v>9.9999999994793143E-4</v>
      </c>
      <c r="L107" s="85">
        <f t="shared" si="36"/>
        <v>-1.0000000006584742E-3</v>
      </c>
      <c r="M107" s="85">
        <f t="shared" si="36"/>
        <v>1.9999999997537543E-3</v>
      </c>
      <c r="N107" s="85">
        <f t="shared" si="36"/>
        <v>-5.4999999999949978E-2</v>
      </c>
      <c r="O107" s="85">
        <f t="shared" si="36"/>
        <v>0</v>
      </c>
      <c r="P107" s="85">
        <f t="shared" si="36"/>
        <v>0</v>
      </c>
      <c r="Q107" s="85">
        <f t="shared" si="36"/>
        <v>0</v>
      </c>
      <c r="R107" s="85">
        <f t="shared" si="36"/>
        <v>0</v>
      </c>
      <c r="S107" s="85">
        <f t="shared" si="36"/>
        <v>0</v>
      </c>
    </row>
    <row r="108" spans="1:20" s="40" customFormat="1" x14ac:dyDescent="0.2">
      <c r="A108" s="29"/>
      <c r="B108" s="2"/>
      <c r="C108" s="29"/>
      <c r="D108" s="10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</row>
    <row r="109" spans="1:20" s="40" customFormat="1" x14ac:dyDescent="0.2">
      <c r="A109" s="29"/>
      <c r="B109" s="2"/>
      <c r="C109" s="29"/>
      <c r="D109" s="10"/>
      <c r="E109" s="9"/>
      <c r="F109" s="8"/>
      <c r="G109" s="94" t="s">
        <v>413</v>
      </c>
      <c r="H109" s="87">
        <f>H105</f>
        <v>2011</v>
      </c>
      <c r="I109" s="87">
        <f t="shared" ref="I109:S109" si="37">I105</f>
        <v>2012</v>
      </c>
      <c r="J109" s="87">
        <f t="shared" si="37"/>
        <v>2013</v>
      </c>
      <c r="K109" s="87">
        <f t="shared" si="37"/>
        <v>2014</v>
      </c>
      <c r="L109" s="87">
        <f t="shared" si="37"/>
        <v>2015</v>
      </c>
      <c r="M109" s="87">
        <f t="shared" si="37"/>
        <v>2016</v>
      </c>
      <c r="N109" s="87">
        <f t="shared" si="37"/>
        <v>2017</v>
      </c>
      <c r="O109" s="87">
        <f t="shared" si="37"/>
        <v>2018</v>
      </c>
      <c r="P109" s="87">
        <f t="shared" si="37"/>
        <v>2019</v>
      </c>
      <c r="Q109" s="87">
        <f t="shared" si="37"/>
        <v>2020</v>
      </c>
      <c r="R109" s="87">
        <f t="shared" si="37"/>
        <v>2021</v>
      </c>
      <c r="S109" s="87">
        <f t="shared" si="37"/>
        <v>2022</v>
      </c>
    </row>
    <row r="110" spans="1:20" s="4" customFormat="1" x14ac:dyDescent="0.2">
      <c r="A110" s="8" t="s">
        <v>414</v>
      </c>
      <c r="B110" s="2" t="s">
        <v>415</v>
      </c>
      <c r="C110" s="34" t="s">
        <v>190</v>
      </c>
      <c r="D110" s="10"/>
      <c r="E110" s="9"/>
      <c r="F110" s="8"/>
      <c r="G110" s="103" t="s">
        <v>191</v>
      </c>
      <c r="H110" s="105">
        <f t="shared" ref="H110:S110" si="38">H33+H38+H41-H45</f>
        <v>0</v>
      </c>
      <c r="I110" s="77">
        <f t="shared" si="38"/>
        <v>374.80900000000008</v>
      </c>
      <c r="J110" s="77">
        <f t="shared" si="38"/>
        <v>-56.855000000000103</v>
      </c>
      <c r="K110" s="77">
        <f t="shared" si="38"/>
        <v>-42.535999999999973</v>
      </c>
      <c r="L110" s="77">
        <f t="shared" si="38"/>
        <v>150.25000000000065</v>
      </c>
      <c r="M110" s="77">
        <f t="shared" si="38"/>
        <v>96.814000000000249</v>
      </c>
      <c r="N110" s="77">
        <f t="shared" si="38"/>
        <v>3325</v>
      </c>
      <c r="O110" s="77">
        <f t="shared" si="38"/>
        <v>342</v>
      </c>
      <c r="P110" s="77">
        <f t="shared" si="38"/>
        <v>342</v>
      </c>
      <c r="Q110" s="77">
        <f t="shared" si="38"/>
        <v>347</v>
      </c>
      <c r="R110" s="77">
        <f t="shared" si="38"/>
        <v>356</v>
      </c>
      <c r="S110" s="77">
        <f t="shared" si="38"/>
        <v>265</v>
      </c>
    </row>
    <row r="111" spans="1:20" s="4" customFormat="1" x14ac:dyDescent="0.2">
      <c r="A111" s="8" t="s">
        <v>416</v>
      </c>
      <c r="B111" s="2" t="s">
        <v>197</v>
      </c>
      <c r="C111" s="8" t="s">
        <v>417</v>
      </c>
      <c r="D111" s="10"/>
      <c r="E111" s="106">
        <v>0</v>
      </c>
      <c r="F111" s="8"/>
      <c r="G111" s="46" t="s">
        <v>193</v>
      </c>
      <c r="H111" s="107" t="e">
        <f t="shared" ref="H111:S111" si="39">H110/H33</f>
        <v>#DIV/0!</v>
      </c>
      <c r="I111" s="108">
        <f t="shared" si="39"/>
        <v>0.18544884916117094</v>
      </c>
      <c r="J111" s="108">
        <f t="shared" si="39"/>
        <v>-2.7075782187940413E-2</v>
      </c>
      <c r="K111" s="108">
        <f t="shared" si="39"/>
        <v>-1.9418504004587094E-2</v>
      </c>
      <c r="L111" s="108">
        <f t="shared" si="39"/>
        <v>6.140671023103253E-2</v>
      </c>
      <c r="M111" s="108">
        <f t="shared" si="39"/>
        <v>3.5303002180957971E-2</v>
      </c>
      <c r="N111" s="108">
        <f t="shared" si="39"/>
        <v>0.54365598430346629</v>
      </c>
      <c r="O111" s="108">
        <f t="shared" si="39"/>
        <v>0.11768754301445286</v>
      </c>
      <c r="P111" s="108">
        <f t="shared" si="39"/>
        <v>8.3090379008746357E-2</v>
      </c>
      <c r="Q111" s="108">
        <f t="shared" si="39"/>
        <v>8.3113772455089815E-2</v>
      </c>
      <c r="R111" s="108">
        <f t="shared" si="39"/>
        <v>9.2299714804252003E-2</v>
      </c>
      <c r="S111" s="108">
        <f t="shared" si="39"/>
        <v>6.2900545929266555E-2</v>
      </c>
    </row>
    <row r="112" spans="1:20" s="4" customFormat="1" x14ac:dyDescent="0.2">
      <c r="A112" s="8" t="s">
        <v>418</v>
      </c>
      <c r="B112" s="2" t="s">
        <v>200</v>
      </c>
      <c r="C112" s="34" t="s">
        <v>195</v>
      </c>
      <c r="D112" s="10"/>
      <c r="E112" s="109"/>
      <c r="F112" s="8"/>
      <c r="G112" s="110" t="s">
        <v>196</v>
      </c>
      <c r="H112" s="111" t="e">
        <f t="shared" ref="H112:S112" si="40">-H33/(H38+H41)</f>
        <v>#DIV/0!</v>
      </c>
      <c r="I112" s="111">
        <f t="shared" si="40"/>
        <v>1.1638508426165599</v>
      </c>
      <c r="J112" s="111">
        <f t="shared" si="40"/>
        <v>0.9172465397629137</v>
      </c>
      <c r="K112" s="111">
        <f t="shared" si="40"/>
        <v>0.92492506186961299</v>
      </c>
      <c r="L112" s="111">
        <f t="shared" si="40"/>
        <v>1.0049648562274078</v>
      </c>
      <c r="M112" s="111">
        <f t="shared" si="40"/>
        <v>0.98074608818862397</v>
      </c>
      <c r="N112" s="111">
        <f t="shared" si="40"/>
        <v>2.1133379405666899</v>
      </c>
      <c r="O112" s="111">
        <f t="shared" si="40"/>
        <v>1</v>
      </c>
      <c r="P112" s="111">
        <f t="shared" si="40"/>
        <v>1</v>
      </c>
      <c r="Q112" s="111">
        <f t="shared" si="40"/>
        <v>1</v>
      </c>
      <c r="R112" s="111">
        <f t="shared" si="40"/>
        <v>1</v>
      </c>
      <c r="S112" s="111">
        <f t="shared" si="40"/>
        <v>1</v>
      </c>
    </row>
    <row r="113" spans="1:20" s="4" customFormat="1" x14ac:dyDescent="0.2">
      <c r="A113" s="8" t="s">
        <v>419</v>
      </c>
      <c r="B113" s="2" t="s">
        <v>420</v>
      </c>
      <c r="C113" s="8" t="s">
        <v>198</v>
      </c>
      <c r="D113" s="10"/>
      <c r="E113" s="109"/>
      <c r="F113" s="8"/>
      <c r="G113" s="103" t="s">
        <v>199</v>
      </c>
      <c r="H113" s="105">
        <f t="shared" ref="H113:S113" si="41">H46</f>
        <v>0</v>
      </c>
      <c r="I113" s="105">
        <f t="shared" si="41"/>
        <v>284.53600000000006</v>
      </c>
      <c r="J113" s="105">
        <f t="shared" si="41"/>
        <v>-189.44700000000012</v>
      </c>
      <c r="K113" s="105">
        <f t="shared" si="41"/>
        <v>-177.79899999999998</v>
      </c>
      <c r="L113" s="105">
        <f t="shared" si="41"/>
        <v>12.088000000000648</v>
      </c>
      <c r="M113" s="105">
        <f t="shared" si="41"/>
        <v>-53.837999999999738</v>
      </c>
      <c r="N113" s="105">
        <f t="shared" si="41"/>
        <v>3222</v>
      </c>
      <c r="O113" s="105">
        <f t="shared" si="41"/>
        <v>0</v>
      </c>
      <c r="P113" s="105">
        <f t="shared" si="41"/>
        <v>0</v>
      </c>
      <c r="Q113" s="105">
        <f t="shared" si="41"/>
        <v>0</v>
      </c>
      <c r="R113" s="105">
        <f t="shared" si="41"/>
        <v>0</v>
      </c>
      <c r="S113" s="105">
        <f t="shared" si="41"/>
        <v>0</v>
      </c>
    </row>
    <row r="114" spans="1:20" s="4" customFormat="1" x14ac:dyDescent="0.2">
      <c r="A114" s="8" t="s">
        <v>421</v>
      </c>
      <c r="B114" s="2" t="s">
        <v>422</v>
      </c>
      <c r="C114" s="8" t="s">
        <v>201</v>
      </c>
      <c r="D114" s="106">
        <v>-0.3</v>
      </c>
      <c r="E114" s="106">
        <v>0</v>
      </c>
      <c r="F114" s="8"/>
      <c r="G114" s="110" t="s">
        <v>202</v>
      </c>
      <c r="H114" s="112" t="e">
        <f t="shared" ref="H114:S114" si="42">H46/H33</f>
        <v>#DIV/0!</v>
      </c>
      <c r="I114" s="113">
        <f t="shared" si="42"/>
        <v>0.14078336898239618</v>
      </c>
      <c r="J114" s="113">
        <f t="shared" si="42"/>
        <v>-9.0219430272777082E-2</v>
      </c>
      <c r="K114" s="113">
        <f t="shared" si="42"/>
        <v>-8.116867109064281E-2</v>
      </c>
      <c r="L114" s="113">
        <f t="shared" si="42"/>
        <v>4.9403282081381551E-3</v>
      </c>
      <c r="M114" s="113">
        <f t="shared" si="42"/>
        <v>-1.9631902735331677E-2</v>
      </c>
      <c r="N114" s="113">
        <f t="shared" si="42"/>
        <v>0.52681491170699801</v>
      </c>
      <c r="O114" s="113">
        <f t="shared" si="42"/>
        <v>0</v>
      </c>
      <c r="P114" s="113">
        <f t="shared" si="42"/>
        <v>0</v>
      </c>
      <c r="Q114" s="113">
        <f t="shared" si="42"/>
        <v>0</v>
      </c>
      <c r="R114" s="113">
        <f t="shared" si="42"/>
        <v>0</v>
      </c>
      <c r="S114" s="113">
        <f t="shared" si="42"/>
        <v>0</v>
      </c>
    </row>
    <row r="115" spans="1:20" s="4" customFormat="1" x14ac:dyDescent="0.2">
      <c r="A115" s="8" t="s">
        <v>423</v>
      </c>
      <c r="B115" s="2" t="s">
        <v>424</v>
      </c>
      <c r="C115" s="8" t="s">
        <v>204</v>
      </c>
      <c r="D115" s="10"/>
      <c r="E115" s="109"/>
      <c r="F115" s="8"/>
      <c r="G115" s="46" t="s">
        <v>205</v>
      </c>
      <c r="H115" s="105">
        <f t="shared" ref="H115:S115" si="43">H29+H30</f>
        <v>0</v>
      </c>
      <c r="I115" s="105">
        <f t="shared" si="43"/>
        <v>284.52300000000002</v>
      </c>
      <c r="J115" s="105">
        <f t="shared" si="43"/>
        <v>95.076000000000022</v>
      </c>
      <c r="K115" s="105">
        <f t="shared" si="43"/>
        <v>-82.72399999999999</v>
      </c>
      <c r="L115" s="105">
        <f t="shared" si="43"/>
        <v>-69.73599999999999</v>
      </c>
      <c r="M115" s="105">
        <f t="shared" si="43"/>
        <v>-122.29</v>
      </c>
      <c r="N115" s="105">
        <f t="shared" si="43"/>
        <v>3100</v>
      </c>
      <c r="O115" s="105">
        <f t="shared" si="43"/>
        <v>3100</v>
      </c>
      <c r="P115" s="105">
        <f t="shared" si="43"/>
        <v>3100</v>
      </c>
      <c r="Q115" s="105">
        <f t="shared" si="43"/>
        <v>3100</v>
      </c>
      <c r="R115" s="105">
        <f t="shared" si="43"/>
        <v>3100</v>
      </c>
      <c r="S115" s="105">
        <f t="shared" si="43"/>
        <v>3100</v>
      </c>
    </row>
    <row r="116" spans="1:20" s="4" customFormat="1" x14ac:dyDescent="0.2">
      <c r="A116" s="8"/>
      <c r="B116" s="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</row>
    <row r="117" spans="1:20" s="4" customFormat="1" x14ac:dyDescent="0.2">
      <c r="A117" s="8"/>
      <c r="B117" s="2"/>
      <c r="C117" s="10"/>
      <c r="D117" s="10"/>
      <c r="E117" s="8"/>
      <c r="F117" s="8"/>
      <c r="G117" s="94" t="s">
        <v>206</v>
      </c>
      <c r="H117" s="87">
        <f t="shared" ref="H117:S117" si="44">H105</f>
        <v>2011</v>
      </c>
      <c r="I117" s="87">
        <f t="shared" si="44"/>
        <v>2012</v>
      </c>
      <c r="J117" s="87">
        <f t="shared" si="44"/>
        <v>2013</v>
      </c>
      <c r="K117" s="87">
        <f t="shared" si="44"/>
        <v>2014</v>
      </c>
      <c r="L117" s="87">
        <f t="shared" si="44"/>
        <v>2015</v>
      </c>
      <c r="M117" s="87">
        <f t="shared" si="44"/>
        <v>2016</v>
      </c>
      <c r="N117" s="87">
        <f t="shared" si="44"/>
        <v>2017</v>
      </c>
      <c r="O117" s="87">
        <f t="shared" si="44"/>
        <v>2018</v>
      </c>
      <c r="P117" s="87">
        <f t="shared" si="44"/>
        <v>2019</v>
      </c>
      <c r="Q117" s="87">
        <f t="shared" si="44"/>
        <v>2020</v>
      </c>
      <c r="R117" s="87">
        <f t="shared" si="44"/>
        <v>2021</v>
      </c>
      <c r="S117" s="87">
        <f t="shared" si="44"/>
        <v>2022</v>
      </c>
    </row>
    <row r="118" spans="1:20" s="4" customFormat="1" x14ac:dyDescent="0.2">
      <c r="A118" s="34" t="s">
        <v>425</v>
      </c>
      <c r="B118" s="2" t="s">
        <v>426</v>
      </c>
      <c r="C118" s="10" t="s">
        <v>208</v>
      </c>
      <c r="D118" s="10"/>
      <c r="E118" s="109"/>
      <c r="F118" s="37"/>
      <c r="G118" s="103" t="s">
        <v>209</v>
      </c>
      <c r="H118" s="105">
        <f t="shared" ref="H118:S118" si="45">H6+H12</f>
        <v>0</v>
      </c>
      <c r="I118" s="77">
        <f t="shared" si="45"/>
        <v>239.215</v>
      </c>
      <c r="J118" s="77">
        <f t="shared" si="45"/>
        <v>198.733</v>
      </c>
      <c r="K118" s="77">
        <f t="shared" si="45"/>
        <v>122.63800000000001</v>
      </c>
      <c r="L118" s="77">
        <f t="shared" si="45"/>
        <v>518.774</v>
      </c>
      <c r="M118" s="77">
        <f t="shared" si="45"/>
        <v>659.279</v>
      </c>
      <c r="N118" s="77">
        <f t="shared" si="45"/>
        <v>812</v>
      </c>
      <c r="O118" s="77">
        <f t="shared" si="45"/>
        <v>301</v>
      </c>
      <c r="P118" s="77">
        <f t="shared" si="45"/>
        <v>230</v>
      </c>
      <c r="Q118" s="77">
        <f t="shared" si="45"/>
        <v>225</v>
      </c>
      <c r="R118" s="77">
        <f t="shared" si="45"/>
        <v>314</v>
      </c>
      <c r="S118" s="77">
        <f t="shared" si="45"/>
        <v>315</v>
      </c>
    </row>
    <row r="119" spans="1:20" s="4" customFormat="1" x14ac:dyDescent="0.2">
      <c r="A119" s="8" t="s">
        <v>427</v>
      </c>
      <c r="B119" s="2" t="s">
        <v>428</v>
      </c>
      <c r="C119" s="8" t="s">
        <v>42</v>
      </c>
      <c r="D119" s="10"/>
      <c r="E119" s="109"/>
      <c r="F119" s="37"/>
      <c r="G119" s="110" t="s">
        <v>211</v>
      </c>
      <c r="H119" s="105">
        <f t="shared" ref="H119:S119" si="46">H19</f>
        <v>0</v>
      </c>
      <c r="I119" s="105">
        <f t="shared" si="46"/>
        <v>253.05600000000001</v>
      </c>
      <c r="J119" s="105">
        <f t="shared" si="46"/>
        <v>282.95599999999996</v>
      </c>
      <c r="K119" s="105">
        <f t="shared" si="46"/>
        <v>280.03000000000003</v>
      </c>
      <c r="L119" s="105">
        <f t="shared" si="46"/>
        <v>539.90300000000002</v>
      </c>
      <c r="M119" s="105">
        <f t="shared" si="46"/>
        <v>590.303</v>
      </c>
      <c r="N119" s="105">
        <f t="shared" si="46"/>
        <v>1061</v>
      </c>
      <c r="O119" s="105">
        <f t="shared" si="46"/>
        <v>220</v>
      </c>
      <c r="P119" s="105">
        <f t="shared" si="46"/>
        <v>532</v>
      </c>
      <c r="Q119" s="105">
        <f t="shared" si="46"/>
        <v>543</v>
      </c>
      <c r="R119" s="105">
        <f t="shared" si="46"/>
        <v>433</v>
      </c>
      <c r="S119" s="105">
        <f t="shared" si="46"/>
        <v>384</v>
      </c>
    </row>
    <row r="120" spans="1:20" s="4" customFormat="1" x14ac:dyDescent="0.2">
      <c r="A120" s="8" t="s">
        <v>429</v>
      </c>
      <c r="B120" s="2" t="s">
        <v>203</v>
      </c>
      <c r="C120" s="8" t="s">
        <v>430</v>
      </c>
      <c r="D120" s="10"/>
      <c r="E120" s="109"/>
      <c r="F120" s="37"/>
      <c r="G120" s="110" t="s">
        <v>212</v>
      </c>
      <c r="H120" s="105">
        <f t="shared" ref="H120:S120" si="47">H119-H118</f>
        <v>0</v>
      </c>
      <c r="I120" s="77">
        <f t="shared" si="47"/>
        <v>13.841000000000008</v>
      </c>
      <c r="J120" s="77">
        <f t="shared" si="47"/>
        <v>84.222999999999956</v>
      </c>
      <c r="K120" s="77">
        <f t="shared" si="47"/>
        <v>157.39200000000002</v>
      </c>
      <c r="L120" s="77">
        <f t="shared" si="47"/>
        <v>21.129000000000019</v>
      </c>
      <c r="M120" s="77">
        <f>M119-M118</f>
        <v>-68.975999999999999</v>
      </c>
      <c r="N120" s="77">
        <f t="shared" si="47"/>
        <v>249</v>
      </c>
      <c r="O120" s="77">
        <f t="shared" si="47"/>
        <v>-81</v>
      </c>
      <c r="P120" s="77">
        <f t="shared" si="47"/>
        <v>302</v>
      </c>
      <c r="Q120" s="77">
        <f t="shared" si="47"/>
        <v>318</v>
      </c>
      <c r="R120" s="77">
        <f t="shared" si="47"/>
        <v>119</v>
      </c>
      <c r="S120" s="77">
        <f t="shared" si="47"/>
        <v>69</v>
      </c>
    </row>
    <row r="121" spans="1:20" s="4" customFormat="1" x14ac:dyDescent="0.2">
      <c r="A121" s="34" t="s">
        <v>431</v>
      </c>
      <c r="B121" s="2" t="s">
        <v>207</v>
      </c>
      <c r="C121" s="8" t="s">
        <v>432</v>
      </c>
      <c r="D121" s="10"/>
      <c r="E121" s="106">
        <v>0.4</v>
      </c>
      <c r="F121" s="114" t="s">
        <v>433</v>
      </c>
      <c r="G121" s="46" t="s">
        <v>213</v>
      </c>
      <c r="H121" s="115" t="e">
        <f t="shared" ref="H121:S121" si="48">H120/H33</f>
        <v>#DIV/0!</v>
      </c>
      <c r="I121" s="108">
        <f t="shared" si="48"/>
        <v>6.8482814479902234E-3</v>
      </c>
      <c r="J121" s="108">
        <f t="shared" si="48"/>
        <v>4.0109112711545158E-2</v>
      </c>
      <c r="K121" s="108">
        <f t="shared" si="48"/>
        <v>7.18524821866178E-2</v>
      </c>
      <c r="L121" s="108">
        <f t="shared" si="48"/>
        <v>8.6353569415739233E-3</v>
      </c>
      <c r="M121" s="108">
        <f t="shared" si="48"/>
        <v>-2.5151939579335123E-2</v>
      </c>
      <c r="N121" s="108">
        <f t="shared" si="48"/>
        <v>4.0712884238064094E-2</v>
      </c>
      <c r="O121" s="108">
        <f t="shared" si="48"/>
        <v>-2.7873365450791467E-2</v>
      </c>
      <c r="P121" s="108">
        <f t="shared" si="48"/>
        <v>7.3372206025267256E-2</v>
      </c>
      <c r="Q121" s="108">
        <f t="shared" si="48"/>
        <v>7.6167664670658677E-2</v>
      </c>
      <c r="R121" s="108">
        <f t="shared" si="48"/>
        <v>3.0852994555353903E-2</v>
      </c>
      <c r="S121" s="108">
        <f t="shared" si="48"/>
        <v>1.6377877996676952E-2</v>
      </c>
    </row>
    <row r="122" spans="1:20" s="4" customFormat="1" x14ac:dyDescent="0.2">
      <c r="A122" s="8" t="s">
        <v>434</v>
      </c>
      <c r="B122" s="2" t="s">
        <v>210</v>
      </c>
      <c r="C122" s="8" t="s">
        <v>435</v>
      </c>
      <c r="D122" s="116">
        <v>0</v>
      </c>
      <c r="E122" s="116">
        <v>5</v>
      </c>
      <c r="F122" s="37"/>
      <c r="G122" s="100" t="s">
        <v>215</v>
      </c>
      <c r="H122" s="111" t="e">
        <f t="shared" ref="H122:S122" si="49">H120/H110</f>
        <v>#DIV/0!</v>
      </c>
      <c r="I122" s="111">
        <f t="shared" si="49"/>
        <v>3.6928142067026153E-2</v>
      </c>
      <c r="J122" s="111">
        <f t="shared" si="49"/>
        <v>-1.4813648755606332</v>
      </c>
      <c r="K122" s="111">
        <f t="shared" si="49"/>
        <v>-3.7002068835809698</v>
      </c>
      <c r="L122" s="111">
        <f t="shared" si="49"/>
        <v>0.14062562396006606</v>
      </c>
      <c r="M122" s="111">
        <f>M120/M110</f>
        <v>-0.71245894188856795</v>
      </c>
      <c r="N122" s="111">
        <f t="shared" si="49"/>
        <v>7.488721804511278E-2</v>
      </c>
      <c r="O122" s="111">
        <f t="shared" si="49"/>
        <v>-0.23684210526315788</v>
      </c>
      <c r="P122" s="111">
        <f t="shared" si="49"/>
        <v>0.88304093567251463</v>
      </c>
      <c r="Q122" s="111">
        <f t="shared" si="49"/>
        <v>0.91642651296829969</v>
      </c>
      <c r="R122" s="111">
        <f t="shared" si="49"/>
        <v>0.3342696629213483</v>
      </c>
      <c r="S122" s="111">
        <f t="shared" si="49"/>
        <v>0.26037735849056604</v>
      </c>
    </row>
    <row r="123" spans="1:20" s="4" customFormat="1" x14ac:dyDescent="0.2">
      <c r="A123" s="8" t="s">
        <v>436</v>
      </c>
      <c r="B123" s="2" t="s">
        <v>437</v>
      </c>
      <c r="C123" s="8" t="s">
        <v>217</v>
      </c>
      <c r="D123" s="10"/>
      <c r="E123" s="109"/>
      <c r="F123" s="37"/>
      <c r="G123" s="110" t="s">
        <v>218</v>
      </c>
      <c r="H123" s="105">
        <f t="shared" ref="H123:S123" si="50">-(H75+H77+H78+H79+H80+H81)</f>
        <v>0</v>
      </c>
      <c r="I123" s="105">
        <f t="shared" si="50"/>
        <v>0</v>
      </c>
      <c r="J123" s="105">
        <f t="shared" si="50"/>
        <v>0</v>
      </c>
      <c r="K123" s="105">
        <f t="shared" si="50"/>
        <v>0</v>
      </c>
      <c r="L123" s="105">
        <f t="shared" si="50"/>
        <v>0.08</v>
      </c>
      <c r="M123" s="105">
        <f t="shared" si="50"/>
        <v>0</v>
      </c>
      <c r="N123" s="105">
        <f t="shared" si="50"/>
        <v>0</v>
      </c>
      <c r="O123" s="105">
        <f t="shared" si="50"/>
        <v>0</v>
      </c>
      <c r="P123" s="105">
        <f t="shared" si="50"/>
        <v>0</v>
      </c>
      <c r="Q123" s="105">
        <f t="shared" si="50"/>
        <v>0</v>
      </c>
      <c r="R123" s="105">
        <f t="shared" si="50"/>
        <v>0</v>
      </c>
      <c r="S123" s="105">
        <f t="shared" si="50"/>
        <v>0</v>
      </c>
    </row>
    <row r="124" spans="1:20" s="4" customFormat="1" x14ac:dyDescent="0.2">
      <c r="A124" s="8" t="s">
        <v>438</v>
      </c>
      <c r="B124" s="2" t="s">
        <v>439</v>
      </c>
      <c r="C124" s="8" t="s">
        <v>440</v>
      </c>
      <c r="D124" s="10"/>
      <c r="E124" s="116">
        <v>1.2</v>
      </c>
      <c r="F124" s="114" t="s">
        <v>433</v>
      </c>
      <c r="G124" s="110" t="s">
        <v>220</v>
      </c>
      <c r="H124" s="117" t="e">
        <f t="shared" ref="H124:S124" si="51">H110/H123</f>
        <v>#DIV/0!</v>
      </c>
      <c r="I124" s="111" t="e">
        <f t="shared" si="51"/>
        <v>#DIV/0!</v>
      </c>
      <c r="J124" s="111" t="e">
        <f t="shared" si="51"/>
        <v>#DIV/0!</v>
      </c>
      <c r="K124" s="111" t="e">
        <f t="shared" si="51"/>
        <v>#DIV/0!</v>
      </c>
      <c r="L124" s="111">
        <f t="shared" si="51"/>
        <v>1878.1250000000082</v>
      </c>
      <c r="M124" s="111" t="e">
        <f t="shared" si="51"/>
        <v>#DIV/0!</v>
      </c>
      <c r="N124" s="111" t="e">
        <f t="shared" si="51"/>
        <v>#DIV/0!</v>
      </c>
      <c r="O124" s="111" t="e">
        <f t="shared" si="51"/>
        <v>#DIV/0!</v>
      </c>
      <c r="P124" s="111" t="e">
        <f t="shared" si="51"/>
        <v>#DIV/0!</v>
      </c>
      <c r="Q124" s="111" t="e">
        <f t="shared" si="51"/>
        <v>#DIV/0!</v>
      </c>
      <c r="R124" s="111" t="e">
        <f t="shared" si="51"/>
        <v>#DIV/0!</v>
      </c>
      <c r="S124" s="111" t="e">
        <f t="shared" si="51"/>
        <v>#DIV/0!</v>
      </c>
    </row>
    <row r="125" spans="1:20" s="4" customFormat="1" x14ac:dyDescent="0.2">
      <c r="A125" s="38" t="s">
        <v>441</v>
      </c>
      <c r="B125" s="2" t="s">
        <v>442</v>
      </c>
      <c r="C125" s="8" t="s">
        <v>222</v>
      </c>
      <c r="D125" s="10"/>
      <c r="E125" s="116">
        <v>0</v>
      </c>
      <c r="F125" s="37"/>
      <c r="G125" s="103" t="s">
        <v>223</v>
      </c>
      <c r="H125" s="105">
        <f t="shared" ref="H125:S125" si="52">H5-H20</f>
        <v>0</v>
      </c>
      <c r="I125" s="105">
        <f t="shared" si="52"/>
        <v>60.919999999999987</v>
      </c>
      <c r="J125" s="105">
        <f t="shared" si="52"/>
        <v>-0.3779999999999859</v>
      </c>
      <c r="K125" s="105">
        <f t="shared" si="52"/>
        <v>-73.448000000000008</v>
      </c>
      <c r="L125" s="105">
        <f t="shared" si="52"/>
        <v>72.55499999999995</v>
      </c>
      <c r="M125" s="105">
        <f t="shared" si="52"/>
        <v>166.05499999999995</v>
      </c>
      <c r="N125" s="105">
        <f t="shared" si="52"/>
        <v>60</v>
      </c>
      <c r="O125" s="105">
        <f t="shared" si="52"/>
        <v>622</v>
      </c>
      <c r="P125" s="105">
        <f t="shared" si="52"/>
        <v>326</v>
      </c>
      <c r="Q125" s="105">
        <f t="shared" si="52"/>
        <v>434</v>
      </c>
      <c r="R125" s="105">
        <f t="shared" si="52"/>
        <v>510</v>
      </c>
      <c r="S125" s="105">
        <f t="shared" si="52"/>
        <v>526</v>
      </c>
    </row>
    <row r="126" spans="1:20" s="4" customFormat="1" x14ac:dyDescent="0.2">
      <c r="A126" s="34" t="s">
        <v>443</v>
      </c>
      <c r="B126" s="2" t="s">
        <v>444</v>
      </c>
      <c r="C126" s="8" t="s">
        <v>225</v>
      </c>
      <c r="D126" s="10"/>
      <c r="E126" s="116">
        <v>1</v>
      </c>
      <c r="F126" s="114" t="s">
        <v>433</v>
      </c>
      <c r="G126" s="110" t="s">
        <v>226</v>
      </c>
      <c r="H126" s="117" t="e">
        <f t="shared" ref="H126:S126" si="53">H5/H20</f>
        <v>#DIV/0!</v>
      </c>
      <c r="I126" s="117">
        <f t="shared" si="53"/>
        <v>1.2407372281234192</v>
      </c>
      <c r="J126" s="117">
        <f t="shared" si="53"/>
        <v>0.99866410325280264</v>
      </c>
      <c r="K126" s="117">
        <f t="shared" si="53"/>
        <v>0.73771381637681677</v>
      </c>
      <c r="L126" s="117">
        <f t="shared" si="53"/>
        <v>1.1343852506839192</v>
      </c>
      <c r="M126" s="117">
        <f t="shared" si="53"/>
        <v>1.2813046858985977</v>
      </c>
      <c r="N126" s="117">
        <f t="shared" si="53"/>
        <v>1.0565504241281809</v>
      </c>
      <c r="O126" s="117" t="e">
        <f t="shared" si="53"/>
        <v>#DIV/0!</v>
      </c>
      <c r="P126" s="117" t="e">
        <f t="shared" si="53"/>
        <v>#DIV/0!</v>
      </c>
      <c r="Q126" s="117" t="e">
        <f t="shared" si="53"/>
        <v>#DIV/0!</v>
      </c>
      <c r="R126" s="117" t="e">
        <f t="shared" si="53"/>
        <v>#DIV/0!</v>
      </c>
      <c r="S126" s="117" t="e">
        <f t="shared" si="53"/>
        <v>#DIV/0!</v>
      </c>
    </row>
    <row r="127" spans="1:20" s="4" customFormat="1" x14ac:dyDescent="0.2">
      <c r="A127" s="34" t="s">
        <v>445</v>
      </c>
      <c r="B127" s="2" t="s">
        <v>214</v>
      </c>
      <c r="C127" s="34" t="s">
        <v>228</v>
      </c>
      <c r="D127" s="10"/>
      <c r="E127" s="116">
        <v>1</v>
      </c>
      <c r="F127" s="37"/>
      <c r="G127" s="46" t="s">
        <v>229</v>
      </c>
      <c r="H127" s="117" t="e">
        <f t="shared" ref="H127:S127" si="54">-H6/((H38+H41-H45+H47)/12)</f>
        <v>#DIV/0!</v>
      </c>
      <c r="I127" s="117">
        <f t="shared" si="54"/>
        <v>1.7438736791459055</v>
      </c>
      <c r="J127" s="117">
        <f t="shared" si="54"/>
        <v>1.1057605547729823</v>
      </c>
      <c r="K127" s="117">
        <f t="shared" si="54"/>
        <v>0.65904172995901533</v>
      </c>
      <c r="L127" s="117">
        <f t="shared" si="54"/>
        <v>2.7117733872555596</v>
      </c>
      <c r="M127" s="117">
        <f t="shared" si="54"/>
        <v>2.9918779249510741</v>
      </c>
      <c r="N127" s="117">
        <f t="shared" si="54"/>
        <v>3.4912217843066999</v>
      </c>
      <c r="O127" s="117">
        <f t="shared" si="54"/>
        <v>1.4087363494539782</v>
      </c>
      <c r="P127" s="117">
        <f t="shared" si="54"/>
        <v>0.7313195548489666</v>
      </c>
      <c r="Q127" s="117">
        <f t="shared" si="54"/>
        <v>0.70532915360501569</v>
      </c>
      <c r="R127" s="117">
        <f t="shared" si="54"/>
        <v>1.0762639245929735</v>
      </c>
      <c r="S127" s="117">
        <f t="shared" si="54"/>
        <v>0.95744680851063835</v>
      </c>
    </row>
    <row r="128" spans="1:20" s="4" customFormat="1" x14ac:dyDescent="0.2">
      <c r="A128" s="34"/>
      <c r="B128" s="2"/>
      <c r="C128" s="34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</row>
    <row r="129" spans="1:21" s="4" customFormat="1" x14ac:dyDescent="0.2">
      <c r="A129" s="8"/>
      <c r="B129" s="2"/>
      <c r="C129" s="8"/>
      <c r="D129" s="10"/>
      <c r="E129" s="9"/>
      <c r="F129" s="37"/>
      <c r="G129" s="94" t="s">
        <v>230</v>
      </c>
      <c r="H129" s="87">
        <f t="shared" ref="H129:S129" si="55">H117</f>
        <v>2011</v>
      </c>
      <c r="I129" s="87">
        <f t="shared" si="55"/>
        <v>2012</v>
      </c>
      <c r="J129" s="87">
        <f t="shared" si="55"/>
        <v>2013</v>
      </c>
      <c r="K129" s="87">
        <f t="shared" si="55"/>
        <v>2014</v>
      </c>
      <c r="L129" s="87">
        <f t="shared" si="55"/>
        <v>2015</v>
      </c>
      <c r="M129" s="87">
        <f t="shared" si="55"/>
        <v>2016</v>
      </c>
      <c r="N129" s="87">
        <f t="shared" si="55"/>
        <v>2017</v>
      </c>
      <c r="O129" s="87">
        <f t="shared" si="55"/>
        <v>2018</v>
      </c>
      <c r="P129" s="87">
        <f t="shared" si="55"/>
        <v>2019</v>
      </c>
      <c r="Q129" s="87">
        <f t="shared" si="55"/>
        <v>2020</v>
      </c>
      <c r="R129" s="87">
        <f t="shared" si="55"/>
        <v>2021</v>
      </c>
      <c r="S129" s="87">
        <f t="shared" si="55"/>
        <v>2022</v>
      </c>
    </row>
    <row r="130" spans="1:21" s="4" customFormat="1" x14ac:dyDescent="0.2">
      <c r="A130" s="34" t="s">
        <v>446</v>
      </c>
      <c r="B130" s="2" t="s">
        <v>216</v>
      </c>
      <c r="C130" s="34" t="s">
        <v>232</v>
      </c>
      <c r="D130" s="10"/>
      <c r="E130" s="106">
        <v>0.6</v>
      </c>
      <c r="F130" s="37"/>
      <c r="G130" s="103" t="s">
        <v>233</v>
      </c>
      <c r="H130" s="115" t="e">
        <f t="shared" ref="H130:S130" si="56">H17/H4</f>
        <v>#DIV/0!</v>
      </c>
      <c r="I130" s="115">
        <f t="shared" si="56"/>
        <v>0</v>
      </c>
      <c r="J130" s="115">
        <f t="shared" si="56"/>
        <v>0</v>
      </c>
      <c r="K130" s="115">
        <f t="shared" si="56"/>
        <v>0</v>
      </c>
      <c r="L130" s="115">
        <f t="shared" si="56"/>
        <v>0</v>
      </c>
      <c r="M130" s="115">
        <f t="shared" si="56"/>
        <v>0</v>
      </c>
      <c r="N130" s="115">
        <f t="shared" si="56"/>
        <v>0</v>
      </c>
      <c r="O130" s="115">
        <f t="shared" si="56"/>
        <v>0</v>
      </c>
      <c r="P130" s="115">
        <f t="shared" si="56"/>
        <v>0</v>
      </c>
      <c r="Q130" s="115">
        <f t="shared" si="56"/>
        <v>0</v>
      </c>
      <c r="R130" s="115">
        <f t="shared" si="56"/>
        <v>0</v>
      </c>
      <c r="S130" s="115">
        <f t="shared" si="56"/>
        <v>0</v>
      </c>
    </row>
    <row r="131" spans="1:21" s="4" customFormat="1" x14ac:dyDescent="0.2">
      <c r="A131" s="34" t="s">
        <v>447</v>
      </c>
      <c r="B131" s="2" t="s">
        <v>219</v>
      </c>
      <c r="C131" s="34" t="s">
        <v>235</v>
      </c>
      <c r="D131" s="10"/>
      <c r="E131" s="106">
        <v>0.4</v>
      </c>
      <c r="F131" s="37"/>
      <c r="G131" s="46" t="s">
        <v>236</v>
      </c>
      <c r="H131" s="115" t="e">
        <f t="shared" ref="H131:S131" si="57">H27/H17</f>
        <v>#DIV/0!</v>
      </c>
      <c r="I131" s="115" t="e">
        <f t="shared" si="57"/>
        <v>#DIV/0!</v>
      </c>
      <c r="J131" s="115" t="e">
        <f t="shared" si="57"/>
        <v>#DIV/0!</v>
      </c>
      <c r="K131" s="115" t="e">
        <f t="shared" si="57"/>
        <v>#DIV/0!</v>
      </c>
      <c r="L131" s="115" t="e">
        <f t="shared" si="57"/>
        <v>#DIV/0!</v>
      </c>
      <c r="M131" s="115" t="e">
        <f t="shared" si="57"/>
        <v>#DIV/0!</v>
      </c>
      <c r="N131" s="115" t="e">
        <f t="shared" si="57"/>
        <v>#DIV/0!</v>
      </c>
      <c r="O131" s="115" t="e">
        <f t="shared" si="57"/>
        <v>#DIV/0!</v>
      </c>
      <c r="P131" s="115" t="e">
        <f t="shared" si="57"/>
        <v>#DIV/0!</v>
      </c>
      <c r="Q131" s="115" t="e">
        <f t="shared" si="57"/>
        <v>#DIV/0!</v>
      </c>
      <c r="R131" s="115" t="e">
        <f t="shared" si="57"/>
        <v>#DIV/0!</v>
      </c>
      <c r="S131" s="115" t="e">
        <f t="shared" si="57"/>
        <v>#DIV/0!</v>
      </c>
    </row>
    <row r="132" spans="1:21" s="4" customFormat="1" x14ac:dyDescent="0.2">
      <c r="A132" s="34"/>
      <c r="B132" s="2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</row>
    <row r="133" spans="1:21" s="4" customFormat="1" x14ac:dyDescent="0.2">
      <c r="A133" s="8"/>
      <c r="B133" s="2"/>
      <c r="C133" s="8"/>
      <c r="D133" s="10"/>
      <c r="E133" s="9"/>
      <c r="F133" s="37"/>
      <c r="G133" s="94" t="s">
        <v>237</v>
      </c>
      <c r="H133" s="87">
        <f t="shared" ref="H133:S133" si="58">H117</f>
        <v>2011</v>
      </c>
      <c r="I133" s="87">
        <f t="shared" si="58"/>
        <v>2012</v>
      </c>
      <c r="J133" s="87">
        <f t="shared" si="58"/>
        <v>2013</v>
      </c>
      <c r="K133" s="87">
        <f t="shared" si="58"/>
        <v>2014</v>
      </c>
      <c r="L133" s="87">
        <f t="shared" si="58"/>
        <v>2015</v>
      </c>
      <c r="M133" s="87">
        <f t="shared" si="58"/>
        <v>2016</v>
      </c>
      <c r="N133" s="87">
        <f t="shared" si="58"/>
        <v>2017</v>
      </c>
      <c r="O133" s="87">
        <f t="shared" si="58"/>
        <v>2018</v>
      </c>
      <c r="P133" s="87">
        <f t="shared" si="58"/>
        <v>2019</v>
      </c>
      <c r="Q133" s="87">
        <f t="shared" si="58"/>
        <v>2020</v>
      </c>
      <c r="R133" s="87">
        <f t="shared" si="58"/>
        <v>2021</v>
      </c>
      <c r="S133" s="87">
        <f t="shared" si="58"/>
        <v>2022</v>
      </c>
    </row>
    <row r="134" spans="1:21" s="4" customFormat="1" x14ac:dyDescent="0.2">
      <c r="A134" s="34" t="s">
        <v>448</v>
      </c>
      <c r="B134" s="2" t="s">
        <v>221</v>
      </c>
      <c r="C134" s="39" t="s">
        <v>239</v>
      </c>
      <c r="D134" s="10"/>
      <c r="E134" s="109"/>
      <c r="F134" s="37"/>
      <c r="G134" s="110" t="s">
        <v>240</v>
      </c>
      <c r="H134" s="118" t="e">
        <f t="shared" ref="H134:S134" si="59">H10/H4</f>
        <v>#DIV/0!</v>
      </c>
      <c r="I134" s="118">
        <f t="shared" si="59"/>
        <v>0.91327695904785178</v>
      </c>
      <c r="J134" s="118">
        <f t="shared" si="59"/>
        <v>0.91835120153856109</v>
      </c>
      <c r="K134" s="118">
        <f t="shared" si="59"/>
        <v>0.93702098548490753</v>
      </c>
      <c r="L134" s="118">
        <f t="shared" si="59"/>
        <v>0.827623795007699</v>
      </c>
      <c r="M134" s="118">
        <f t="shared" si="59"/>
        <v>0.78699408991241049</v>
      </c>
      <c r="N134" s="118">
        <f t="shared" si="59"/>
        <v>0.84525124240750971</v>
      </c>
      <c r="O134" s="118">
        <f t="shared" si="59"/>
        <v>0.90285803529595499</v>
      </c>
      <c r="P134" s="118">
        <f t="shared" si="59"/>
        <v>0.95145197319434105</v>
      </c>
      <c r="Q134" s="118">
        <f t="shared" si="59"/>
        <v>0.93547427891763302</v>
      </c>
      <c r="R134" s="118">
        <f t="shared" si="59"/>
        <v>0.92291414752116085</v>
      </c>
      <c r="S134" s="118">
        <f t="shared" si="59"/>
        <v>0.91990254301812091</v>
      </c>
    </row>
    <row r="135" spans="1:21" s="4" customFormat="1" x14ac:dyDescent="0.2">
      <c r="A135" s="34" t="s">
        <v>449</v>
      </c>
      <c r="B135" s="2" t="s">
        <v>224</v>
      </c>
      <c r="C135" s="39" t="s">
        <v>242</v>
      </c>
      <c r="D135" s="10"/>
      <c r="E135" s="109"/>
      <c r="F135" s="37"/>
      <c r="G135" s="110" t="s">
        <v>243</v>
      </c>
      <c r="H135" s="118" t="e">
        <f t="shared" ref="H135:S135" si="60">-(H58)/H15</f>
        <v>#DIV/0!</v>
      </c>
      <c r="I135" s="118">
        <f t="shared" si="60"/>
        <v>2.2829260645489996E-3</v>
      </c>
      <c r="J135" s="118">
        <f t="shared" si="60"/>
        <v>1.4614946670747399E-3</v>
      </c>
      <c r="K135" s="118">
        <f t="shared" si="60"/>
        <v>1.039722259488253E-2</v>
      </c>
      <c r="L135" s="118">
        <f t="shared" si="60"/>
        <v>1.8330979462177254E-3</v>
      </c>
      <c r="M135" s="118">
        <f t="shared" si="60"/>
        <v>1.7270054851195949E-3</v>
      </c>
      <c r="N135" s="118">
        <f t="shared" si="60"/>
        <v>0.5723102585487907</v>
      </c>
      <c r="O135" s="118">
        <f t="shared" si="60"/>
        <v>0</v>
      </c>
      <c r="P135" s="118">
        <f t="shared" si="60"/>
        <v>0.15158768150630286</v>
      </c>
      <c r="Q135" s="118">
        <f t="shared" si="60"/>
        <v>4.0498947027377288E-2</v>
      </c>
      <c r="R135" s="118">
        <f t="shared" si="60"/>
        <v>2.8380634390651086E-2</v>
      </c>
      <c r="S135" s="118">
        <f t="shared" si="60"/>
        <v>3.3738191632928474E-2</v>
      </c>
    </row>
    <row r="136" spans="1:21" s="4" customFormat="1" x14ac:dyDescent="0.2">
      <c r="A136" s="34" t="s">
        <v>450</v>
      </c>
      <c r="B136" s="2" t="s">
        <v>227</v>
      </c>
      <c r="C136" s="8" t="s">
        <v>245</v>
      </c>
      <c r="D136" s="10"/>
      <c r="E136" s="109"/>
      <c r="F136" s="37"/>
      <c r="G136" s="103" t="s">
        <v>246</v>
      </c>
      <c r="H136" s="111" t="e">
        <f t="shared" ref="H136:S136" si="61">H33/H4</f>
        <v>#DIV/0!</v>
      </c>
      <c r="I136" s="111">
        <f t="shared" si="61"/>
        <v>0.55824380704581889</v>
      </c>
      <c r="J136" s="111">
        <f t="shared" si="61"/>
        <v>0.60673507669690152</v>
      </c>
      <c r="K136" s="111">
        <f t="shared" si="61"/>
        <v>0.66779668871022613</v>
      </c>
      <c r="L136" s="111">
        <f t="shared" si="61"/>
        <v>0.688651745509679</v>
      </c>
      <c r="M136" s="111">
        <f t="shared" si="61"/>
        <v>0.77230842625401386</v>
      </c>
      <c r="N136" s="111">
        <f t="shared" si="61"/>
        <v>0.84428492545554945</v>
      </c>
      <c r="O136" s="111">
        <f t="shared" si="61"/>
        <v>0.45384975792597221</v>
      </c>
      <c r="P136" s="111">
        <f t="shared" si="61"/>
        <v>0.61295606850335072</v>
      </c>
      <c r="Q136" s="111">
        <f t="shared" si="61"/>
        <v>0.62072554267023494</v>
      </c>
      <c r="R136" s="111">
        <f t="shared" si="61"/>
        <v>0.58298065296251511</v>
      </c>
      <c r="S136" s="111">
        <f t="shared" si="61"/>
        <v>0.64154103852596311</v>
      </c>
    </row>
    <row r="137" spans="1:21" s="4" customFormat="1" x14ac:dyDescent="0.2">
      <c r="A137" s="34" t="s">
        <v>451</v>
      </c>
      <c r="B137" s="2" t="s">
        <v>231</v>
      </c>
      <c r="C137" s="39" t="s">
        <v>248</v>
      </c>
      <c r="D137" s="10"/>
      <c r="E137" s="109"/>
      <c r="F137" s="37"/>
      <c r="G137" s="46" t="s">
        <v>249</v>
      </c>
      <c r="H137" s="111" t="e">
        <f t="shared" ref="H137:S137" si="62">H33/H15</f>
        <v>#DIV/0!</v>
      </c>
      <c r="I137" s="111">
        <f t="shared" si="62"/>
        <v>0.63879292852352232</v>
      </c>
      <c r="J137" s="111">
        <f t="shared" si="62"/>
        <v>0.69104147538232175</v>
      </c>
      <c r="K137" s="111">
        <f t="shared" si="62"/>
        <v>0.74586511633925134</v>
      </c>
      <c r="L137" s="111">
        <f t="shared" si="62"/>
        <v>0.87176402097249328</v>
      </c>
      <c r="M137" s="111">
        <f t="shared" si="62"/>
        <v>1.0295854811399738</v>
      </c>
      <c r="N137" s="111">
        <f t="shared" si="62"/>
        <v>1.0201834862385322</v>
      </c>
      <c r="O137" s="111">
        <f t="shared" si="62"/>
        <v>0.51379066478076374</v>
      </c>
      <c r="P137" s="111">
        <f t="shared" si="62"/>
        <v>0.65677357587362373</v>
      </c>
      <c r="Q137" s="111">
        <f t="shared" si="62"/>
        <v>0.67633241535720068</v>
      </c>
      <c r="R137" s="111">
        <f t="shared" si="62"/>
        <v>0.64390651085141903</v>
      </c>
      <c r="S137" s="111">
        <f t="shared" si="62"/>
        <v>0.7106950067476383</v>
      </c>
    </row>
    <row r="138" spans="1:21" s="4" customFormat="1" x14ac:dyDescent="0.2">
      <c r="A138" s="8" t="s">
        <v>452</v>
      </c>
      <c r="B138" s="2" t="s">
        <v>234</v>
      </c>
      <c r="C138" s="39" t="s">
        <v>251</v>
      </c>
      <c r="D138" s="106">
        <v>0.5</v>
      </c>
      <c r="E138" s="106">
        <f>1/3</f>
        <v>0.33333333333333331</v>
      </c>
      <c r="F138" s="114" t="s">
        <v>433</v>
      </c>
      <c r="G138" s="100" t="s">
        <v>252</v>
      </c>
      <c r="H138" s="118" t="e">
        <f t="shared" ref="H138:S138" si="63">H27/H4</f>
        <v>#DIV/0!</v>
      </c>
      <c r="I138" s="118">
        <f t="shared" si="63"/>
        <v>0.93010334364974467</v>
      </c>
      <c r="J138" s="118">
        <f t="shared" si="63"/>
        <v>0.91824227020979532</v>
      </c>
      <c r="K138" s="118">
        <f t="shared" si="63"/>
        <v>0.91462917188488879</v>
      </c>
      <c r="L138" s="118">
        <f t="shared" si="63"/>
        <v>0.84804466946671708</v>
      </c>
      <c r="M138" s="118">
        <f t="shared" si="63"/>
        <v>0.83375858027225946</v>
      </c>
      <c r="N138" s="118">
        <f t="shared" si="63"/>
        <v>0.85353395913859742</v>
      </c>
      <c r="O138" s="118">
        <f t="shared" si="63"/>
        <v>0.96564110573168827</v>
      </c>
      <c r="P138" s="118">
        <f t="shared" si="63"/>
        <v>0.92077438570364856</v>
      </c>
      <c r="Q138" s="118">
        <f t="shared" si="63"/>
        <v>0.9192685102586976</v>
      </c>
      <c r="R138" s="118">
        <f t="shared" si="63"/>
        <v>0.93455259975816207</v>
      </c>
      <c r="S138" s="118">
        <f t="shared" si="63"/>
        <v>0.9415258108725445</v>
      </c>
    </row>
    <row r="139" spans="1:21" s="4" customFormat="1" x14ac:dyDescent="0.2">
      <c r="A139" s="8"/>
      <c r="B139" s="2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</row>
    <row r="140" spans="1:21" s="4" customFormat="1" x14ac:dyDescent="0.2">
      <c r="A140" s="40"/>
      <c r="B140" s="2"/>
      <c r="C140" s="2"/>
      <c r="D140" s="41"/>
      <c r="E140" s="42"/>
      <c r="F140" s="37"/>
      <c r="G140" s="94" t="s">
        <v>253</v>
      </c>
      <c r="H140" s="87">
        <f t="shared" ref="H140:S140" si="64">H133</f>
        <v>2011</v>
      </c>
      <c r="I140" s="87">
        <f t="shared" si="64"/>
        <v>2012</v>
      </c>
      <c r="J140" s="87">
        <f t="shared" si="64"/>
        <v>2013</v>
      </c>
      <c r="K140" s="87">
        <f t="shared" si="64"/>
        <v>2014</v>
      </c>
      <c r="L140" s="87">
        <f t="shared" si="64"/>
        <v>2015</v>
      </c>
      <c r="M140" s="87">
        <f t="shared" si="64"/>
        <v>2016</v>
      </c>
      <c r="N140" s="87">
        <f t="shared" si="64"/>
        <v>2017</v>
      </c>
      <c r="O140" s="87">
        <f t="shared" si="64"/>
        <v>2018</v>
      </c>
      <c r="P140" s="87">
        <f t="shared" si="64"/>
        <v>2019</v>
      </c>
      <c r="Q140" s="87">
        <f t="shared" si="64"/>
        <v>2020</v>
      </c>
      <c r="R140" s="87">
        <f t="shared" si="64"/>
        <v>2021</v>
      </c>
      <c r="S140" s="87">
        <f t="shared" si="64"/>
        <v>2022</v>
      </c>
    </row>
    <row r="141" spans="1:21" s="4" customFormat="1" x14ac:dyDescent="0.2">
      <c r="A141" s="8" t="s">
        <v>453</v>
      </c>
      <c r="B141" s="2" t="s">
        <v>238</v>
      </c>
      <c r="C141" s="8" t="s">
        <v>255</v>
      </c>
      <c r="D141" s="43"/>
      <c r="E141" s="106">
        <v>0.05</v>
      </c>
      <c r="F141" s="8"/>
      <c r="G141" s="103" t="s">
        <v>256</v>
      </c>
      <c r="H141" s="108" t="e">
        <f t="shared" ref="H141:S141" si="65">H35/H33</f>
        <v>#DIV/0!</v>
      </c>
      <c r="I141" s="108">
        <f t="shared" si="65"/>
        <v>0.47062156033548219</v>
      </c>
      <c r="J141" s="108">
        <f t="shared" si="65"/>
        <v>0.53098725764305688</v>
      </c>
      <c r="K141" s="108">
        <f t="shared" si="65"/>
        <v>0.53769388373732241</v>
      </c>
      <c r="L141" s="108">
        <f t="shared" si="65"/>
        <v>0.52399071277149223</v>
      </c>
      <c r="M141" s="108">
        <f t="shared" si="65"/>
        <v>0.54063105201225359</v>
      </c>
      <c r="N141" s="108">
        <f t="shared" si="65"/>
        <v>0.22318508829300196</v>
      </c>
      <c r="O141" s="108">
        <f t="shared" si="65"/>
        <v>0.49518238128011011</v>
      </c>
      <c r="P141" s="108">
        <f t="shared" si="65"/>
        <v>0.37293488824101068</v>
      </c>
      <c r="Q141" s="108">
        <f t="shared" si="65"/>
        <v>0.37197604790419164</v>
      </c>
      <c r="R141" s="108">
        <f t="shared" si="65"/>
        <v>0.40834845735027225</v>
      </c>
      <c r="S141" s="108">
        <f t="shared" si="65"/>
        <v>0.37502967006883459</v>
      </c>
    </row>
    <row r="142" spans="1:21" s="4" customFormat="1" x14ac:dyDescent="0.2">
      <c r="A142" s="8" t="s">
        <v>454</v>
      </c>
      <c r="B142" s="2" t="s">
        <v>241</v>
      </c>
      <c r="C142" s="8" t="s">
        <v>258</v>
      </c>
      <c r="D142" s="10"/>
      <c r="E142" s="106">
        <v>0.95</v>
      </c>
      <c r="F142" s="8"/>
      <c r="G142" s="110" t="s">
        <v>259</v>
      </c>
      <c r="H142" s="118" t="e">
        <f t="shared" ref="H142:S142" si="66">(H36+H34)/H33</f>
        <v>#DIV/0!</v>
      </c>
      <c r="I142" s="118">
        <f t="shared" si="66"/>
        <v>0.52996574622320325</v>
      </c>
      <c r="J142" s="118">
        <f t="shared" si="66"/>
        <v>0.46901274235694324</v>
      </c>
      <c r="K142" s="118">
        <f t="shared" si="66"/>
        <v>0.46230611626267759</v>
      </c>
      <c r="L142" s="118">
        <f t="shared" si="66"/>
        <v>0.47600928722850772</v>
      </c>
      <c r="M142" s="118">
        <f t="shared" si="66"/>
        <v>0.45936894798774636</v>
      </c>
      <c r="N142" s="118">
        <f t="shared" si="66"/>
        <v>0.77681491170699801</v>
      </c>
      <c r="O142" s="118">
        <f t="shared" si="66"/>
        <v>0.50481761871988984</v>
      </c>
      <c r="P142" s="118">
        <f t="shared" si="66"/>
        <v>0.62706511175898927</v>
      </c>
      <c r="Q142" s="118">
        <f t="shared" si="66"/>
        <v>0.62802395209580841</v>
      </c>
      <c r="R142" s="118">
        <f t="shared" si="66"/>
        <v>0.59165154264972775</v>
      </c>
      <c r="S142" s="118">
        <f t="shared" si="66"/>
        <v>0.62497032993116541</v>
      </c>
    </row>
    <row r="143" spans="1:21" s="4" customFormat="1" x14ac:dyDescent="0.2">
      <c r="A143" s="8" t="s">
        <v>455</v>
      </c>
      <c r="B143" s="2" t="s">
        <v>244</v>
      </c>
      <c r="C143" s="8" t="s">
        <v>261</v>
      </c>
      <c r="D143" s="10"/>
      <c r="E143" s="106">
        <v>0.95</v>
      </c>
      <c r="F143" s="8"/>
      <c r="G143" s="46" t="s">
        <v>262</v>
      </c>
      <c r="H143" s="108" t="e">
        <f t="shared" ref="H143:S143" si="67">H38/(H38+H41)</f>
        <v>#DIV/0!</v>
      </c>
      <c r="I143" s="108">
        <f t="shared" si="67"/>
        <v>0</v>
      </c>
      <c r="J143" s="108">
        <f t="shared" si="67"/>
        <v>0</v>
      </c>
      <c r="K143" s="108">
        <f t="shared" si="67"/>
        <v>0</v>
      </c>
      <c r="L143" s="108">
        <f t="shared" si="67"/>
        <v>0</v>
      </c>
      <c r="M143" s="108">
        <f t="shared" si="67"/>
        <v>0</v>
      </c>
      <c r="N143" s="108">
        <f t="shared" si="67"/>
        <v>0</v>
      </c>
      <c r="O143" s="108">
        <f t="shared" si="67"/>
        <v>0</v>
      </c>
      <c r="P143" s="108">
        <f t="shared" si="67"/>
        <v>0</v>
      </c>
      <c r="Q143" s="108">
        <f t="shared" si="67"/>
        <v>0</v>
      </c>
      <c r="R143" s="108">
        <f t="shared" si="67"/>
        <v>0</v>
      </c>
      <c r="S143" s="108">
        <f t="shared" si="67"/>
        <v>0</v>
      </c>
    </row>
    <row r="144" spans="1:21" s="4" customFormat="1" x14ac:dyDescent="0.2">
      <c r="A144" s="8"/>
      <c r="B144" s="2"/>
      <c r="C144" s="8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</row>
    <row r="145" spans="1:19" s="4" customFormat="1" x14ac:dyDescent="0.2">
      <c r="A145" s="40"/>
      <c r="B145" s="2"/>
      <c r="C145" s="119"/>
      <c r="D145" s="41"/>
      <c r="E145" s="42"/>
      <c r="F145" s="37"/>
      <c r="G145" s="94"/>
      <c r="H145" s="87">
        <f>H140</f>
        <v>2011</v>
      </c>
      <c r="I145" s="87">
        <f t="shared" ref="I145:S145" si="68">I140</f>
        <v>2012</v>
      </c>
      <c r="J145" s="87">
        <f t="shared" si="68"/>
        <v>2013</v>
      </c>
      <c r="K145" s="87">
        <f t="shared" si="68"/>
        <v>2014</v>
      </c>
      <c r="L145" s="87">
        <f t="shared" si="68"/>
        <v>2015</v>
      </c>
      <c r="M145" s="87">
        <f t="shared" si="68"/>
        <v>2016</v>
      </c>
      <c r="N145" s="87">
        <f t="shared" si="68"/>
        <v>2017</v>
      </c>
      <c r="O145" s="87">
        <f t="shared" si="68"/>
        <v>2018</v>
      </c>
      <c r="P145" s="87">
        <f t="shared" si="68"/>
        <v>2019</v>
      </c>
      <c r="Q145" s="87">
        <f t="shared" si="68"/>
        <v>2020</v>
      </c>
      <c r="R145" s="87">
        <f t="shared" si="68"/>
        <v>2021</v>
      </c>
      <c r="S145" s="87">
        <f t="shared" si="68"/>
        <v>2022</v>
      </c>
    </row>
    <row r="146" spans="1:19" s="4" customFormat="1" x14ac:dyDescent="0.2">
      <c r="A146" s="4" t="s">
        <v>456</v>
      </c>
      <c r="B146" s="2" t="s">
        <v>247</v>
      </c>
      <c r="C146" s="8" t="s">
        <v>264</v>
      </c>
      <c r="D146" s="120">
        <v>0.5</v>
      </c>
      <c r="E146" s="121" t="s">
        <v>265</v>
      </c>
      <c r="G146" s="103" t="s">
        <v>266</v>
      </c>
      <c r="H146" s="111" t="e">
        <f t="shared" ref="H146:S146" si="69">IF(H141&lt;$D$146,$E$146,H35/H4)</f>
        <v>#DIV/0!</v>
      </c>
      <c r="I146" s="111" t="str">
        <f t="shared" si="69"/>
        <v>N/A</v>
      </c>
      <c r="J146" s="111">
        <f t="shared" si="69"/>
        <v>0.32216859449113755</v>
      </c>
      <c r="K146" s="111">
        <f t="shared" si="69"/>
        <v>0.35907019509952526</v>
      </c>
      <c r="L146" s="111">
        <f t="shared" si="69"/>
        <v>0.36084711898094896</v>
      </c>
      <c r="M146" s="111">
        <f t="shared" si="69"/>
        <v>0.41753391696363551</v>
      </c>
      <c r="N146" s="111" t="str">
        <f t="shared" si="69"/>
        <v>N/A</v>
      </c>
      <c r="O146" s="111" t="str">
        <f t="shared" si="69"/>
        <v>N/A</v>
      </c>
      <c r="P146" s="111" t="str">
        <f t="shared" si="69"/>
        <v>N/A</v>
      </c>
      <c r="Q146" s="111" t="str">
        <f t="shared" si="69"/>
        <v>N/A</v>
      </c>
      <c r="R146" s="111" t="str">
        <f t="shared" si="69"/>
        <v>N/A</v>
      </c>
      <c r="S146" s="111" t="str">
        <f t="shared" si="69"/>
        <v>N/A</v>
      </c>
    </row>
    <row r="147" spans="1:19" s="4" customFormat="1" x14ac:dyDescent="0.2">
      <c r="A147" s="4" t="s">
        <v>457</v>
      </c>
      <c r="B147" s="2" t="s">
        <v>250</v>
      </c>
      <c r="C147" s="8" t="s">
        <v>267</v>
      </c>
      <c r="D147" s="120">
        <v>0.5</v>
      </c>
      <c r="E147" s="121" t="s">
        <v>265</v>
      </c>
      <c r="G147" s="110" t="s">
        <v>268</v>
      </c>
      <c r="H147" s="111" t="e">
        <f t="shared" ref="H147:S147" si="70">IF(H141&lt;$D$147,$E$147,H35/H15)</f>
        <v>#DIV/0!</v>
      </c>
      <c r="I147" s="111" t="str">
        <f t="shared" si="70"/>
        <v>N/A</v>
      </c>
      <c r="J147" s="111">
        <f t="shared" si="70"/>
        <v>0.36693421793087105</v>
      </c>
      <c r="K147" s="111">
        <f t="shared" si="70"/>
        <v>0.40104711114864194</v>
      </c>
      <c r="L147" s="111">
        <f t="shared" si="70"/>
        <v>0.45679625071791885</v>
      </c>
      <c r="M147" s="111">
        <f t="shared" si="70"/>
        <v>0.5566258818052463</v>
      </c>
      <c r="N147" s="111" t="str">
        <f t="shared" si="70"/>
        <v>N/A</v>
      </c>
      <c r="O147" s="111" t="str">
        <f t="shared" si="70"/>
        <v>N/A</v>
      </c>
      <c r="P147" s="111" t="str">
        <f t="shared" si="70"/>
        <v>N/A</v>
      </c>
      <c r="Q147" s="111" t="str">
        <f t="shared" si="70"/>
        <v>N/A</v>
      </c>
      <c r="R147" s="111" t="str">
        <f t="shared" si="70"/>
        <v>N/A</v>
      </c>
      <c r="S147" s="111" t="str">
        <f t="shared" si="70"/>
        <v>N/A</v>
      </c>
    </row>
    <row r="148" spans="1:19" s="4" customFormat="1" x14ac:dyDescent="0.2">
      <c r="A148" s="4" t="s">
        <v>458</v>
      </c>
      <c r="B148" s="2" t="s">
        <v>254</v>
      </c>
      <c r="C148" s="8" t="s">
        <v>201</v>
      </c>
      <c r="D148" s="120">
        <v>0.5</v>
      </c>
      <c r="E148" s="121" t="s">
        <v>265</v>
      </c>
      <c r="G148" s="103" t="s">
        <v>269</v>
      </c>
      <c r="H148" s="118" t="e">
        <f t="shared" ref="H148:S148" si="71">IF(H141&lt;$D$148,$E$148,H46/H33)</f>
        <v>#DIV/0!</v>
      </c>
      <c r="I148" s="118" t="str">
        <f t="shared" si="71"/>
        <v>N/A</v>
      </c>
      <c r="J148" s="118">
        <f t="shared" si="71"/>
        <v>-9.0219430272777082E-2</v>
      </c>
      <c r="K148" s="118">
        <f t="shared" si="71"/>
        <v>-8.116867109064281E-2</v>
      </c>
      <c r="L148" s="118">
        <f t="shared" si="71"/>
        <v>4.9403282081381551E-3</v>
      </c>
      <c r="M148" s="118">
        <f t="shared" si="71"/>
        <v>-1.9631902735331677E-2</v>
      </c>
      <c r="N148" s="118" t="str">
        <f t="shared" si="71"/>
        <v>N/A</v>
      </c>
      <c r="O148" s="118" t="str">
        <f t="shared" si="71"/>
        <v>N/A</v>
      </c>
      <c r="P148" s="118" t="str">
        <f t="shared" si="71"/>
        <v>N/A</v>
      </c>
      <c r="Q148" s="118" t="str">
        <f t="shared" si="71"/>
        <v>N/A</v>
      </c>
      <c r="R148" s="118" t="str">
        <f t="shared" si="71"/>
        <v>N/A</v>
      </c>
      <c r="S148" s="118" t="str">
        <f t="shared" si="71"/>
        <v>N/A</v>
      </c>
    </row>
    <row r="149" spans="1:19" s="4" customFormat="1" x14ac:dyDescent="0.2">
      <c r="A149" s="4" t="s">
        <v>459</v>
      </c>
      <c r="B149" s="2" t="s">
        <v>257</v>
      </c>
      <c r="C149" s="8" t="s">
        <v>270</v>
      </c>
      <c r="D149" s="120">
        <v>0.5</v>
      </c>
      <c r="E149" s="121" t="s">
        <v>265</v>
      </c>
      <c r="G149" s="110" t="s">
        <v>271</v>
      </c>
      <c r="H149" s="118" t="e">
        <f t="shared" ref="H149:S149" si="72">IF(H141&lt;$D$148,$E$149,H51/H33)</f>
        <v>#DIV/0!</v>
      </c>
      <c r="I149" s="118" t="str">
        <f t="shared" si="72"/>
        <v>N/A</v>
      </c>
      <c r="J149" s="118">
        <f t="shared" si="72"/>
        <v>-9.0219430272777082E-2</v>
      </c>
      <c r="K149" s="118">
        <f t="shared" si="72"/>
        <v>-8.116867109064281E-2</v>
      </c>
      <c r="L149" s="118">
        <f t="shared" si="72"/>
        <v>5.3077467272576095E-3</v>
      </c>
      <c r="M149" s="118">
        <f t="shared" si="72"/>
        <v>-1.9163695091805433E-2</v>
      </c>
      <c r="N149" s="118" t="str">
        <f t="shared" si="72"/>
        <v>N/A</v>
      </c>
      <c r="O149" s="118" t="str">
        <f t="shared" si="72"/>
        <v>N/A</v>
      </c>
      <c r="P149" s="118" t="str">
        <f t="shared" si="72"/>
        <v>N/A</v>
      </c>
      <c r="Q149" s="118" t="str">
        <f t="shared" si="72"/>
        <v>N/A</v>
      </c>
      <c r="R149" s="118" t="str">
        <f t="shared" si="72"/>
        <v>N/A</v>
      </c>
      <c r="S149" s="118" t="str">
        <f t="shared" si="72"/>
        <v>N/A</v>
      </c>
    </row>
    <row r="150" spans="1:19" s="4" customFormat="1" x14ac:dyDescent="0.2">
      <c r="A150" s="4" t="s">
        <v>460</v>
      </c>
      <c r="B150" s="2" t="s">
        <v>260</v>
      </c>
      <c r="C150" s="8" t="s">
        <v>272</v>
      </c>
      <c r="D150" s="120">
        <v>0.5</v>
      </c>
      <c r="E150" s="121" t="s">
        <v>265</v>
      </c>
      <c r="G150" s="110" t="s">
        <v>273</v>
      </c>
      <c r="H150" s="118" t="e">
        <f t="shared" ref="H150:S150" si="73">IF(H141&lt;$D$150,$E$150,H51/H4)</f>
        <v>#DIV/0!</v>
      </c>
      <c r="I150" s="118" t="str">
        <f t="shared" si="73"/>
        <v>N/A</v>
      </c>
      <c r="J150" s="118">
        <f t="shared" si="73"/>
        <v>-5.4739292946104162E-2</v>
      </c>
      <c r="K150" s="118">
        <f t="shared" si="73"/>
        <v>-5.4204169781340725E-2</v>
      </c>
      <c r="L150" s="118">
        <f t="shared" si="73"/>
        <v>3.6551890484492386E-3</v>
      </c>
      <c r="M150" s="118">
        <f t="shared" si="73"/>
        <v>-1.4800283197564023E-2</v>
      </c>
      <c r="N150" s="118" t="str">
        <f t="shared" si="73"/>
        <v>N/A</v>
      </c>
      <c r="O150" s="118" t="str">
        <f t="shared" si="73"/>
        <v>N/A</v>
      </c>
      <c r="P150" s="118" t="str">
        <f t="shared" si="73"/>
        <v>N/A</v>
      </c>
      <c r="Q150" s="118" t="str">
        <f t="shared" si="73"/>
        <v>N/A</v>
      </c>
      <c r="R150" s="118" t="str">
        <f t="shared" si="73"/>
        <v>N/A</v>
      </c>
      <c r="S150" s="118" t="str">
        <f t="shared" si="73"/>
        <v>N/A</v>
      </c>
    </row>
    <row r="151" spans="1:19" s="4" customFormat="1" x14ac:dyDescent="0.2">
      <c r="A151" s="4" t="s">
        <v>461</v>
      </c>
      <c r="B151" s="2" t="s">
        <v>263</v>
      </c>
      <c r="C151" s="8" t="s">
        <v>274</v>
      </c>
      <c r="D151" s="120">
        <v>0.5</v>
      </c>
      <c r="E151" s="121" t="s">
        <v>265</v>
      </c>
      <c r="G151" s="46" t="s">
        <v>275</v>
      </c>
      <c r="H151" s="118" t="e">
        <f>IF(H141&lt;$D$151,$E$151,H51/H27)</f>
        <v>#DIV/0!</v>
      </c>
      <c r="I151" s="118" t="str">
        <f>IF(I141&lt;$D$151,$E$151,I51/((H27+I27)/2))</f>
        <v>N/A</v>
      </c>
      <c r="J151" s="118">
        <f>IF(J141&lt;$D$151,$E$151,J51/((I27+J27)/2))</f>
        <v>-5.7887693651457434E-2</v>
      </c>
      <c r="K151" s="118">
        <f>IF(K141&lt;$D$151,$E$151,K51/((J27+K27)/2))</f>
        <v>-5.7557992917543016E-2</v>
      </c>
      <c r="L151" s="118">
        <f>IF(L141&lt;$D$151,$E$151,L51/((K27+L27)/2))</f>
        <v>4.3194468234423701E-3</v>
      </c>
      <c r="M151" s="118">
        <f>IF(M141&lt;$D$151,$E$151,M51/((L27+M27)/2))</f>
        <v>-1.7595113517509319E-2</v>
      </c>
      <c r="N151" s="118" t="str">
        <f t="shared" ref="N151:S151" si="74">IF(N141&lt;$D$151,$E$151,N51/((M27+N27)/2))</f>
        <v>N/A</v>
      </c>
      <c r="O151" s="118" t="str">
        <f t="shared" si="74"/>
        <v>N/A</v>
      </c>
      <c r="P151" s="118" t="str">
        <f t="shared" si="74"/>
        <v>N/A</v>
      </c>
      <c r="Q151" s="118" t="str">
        <f t="shared" si="74"/>
        <v>N/A</v>
      </c>
      <c r="R151" s="118" t="str">
        <f t="shared" si="74"/>
        <v>N/A</v>
      </c>
      <c r="S151" s="118" t="str">
        <f t="shared" si="74"/>
        <v>N/A</v>
      </c>
    </row>
    <row r="152" spans="1:19" s="4" customFormat="1" x14ac:dyDescent="0.2">
      <c r="A152" s="8"/>
      <c r="B152" s="2"/>
      <c r="C152" s="119"/>
      <c r="D152" s="41"/>
      <c r="E152" s="42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</row>
    <row r="153" spans="1:19" s="4" customFormat="1" x14ac:dyDescent="0.2">
      <c r="A153" s="8"/>
      <c r="B153" s="2"/>
      <c r="C153" s="10"/>
      <c r="D153" s="10"/>
      <c r="E153" s="9"/>
      <c r="F153" s="8"/>
      <c r="G153" s="94" t="s">
        <v>462</v>
      </c>
      <c r="H153" s="87">
        <f>H145</f>
        <v>2011</v>
      </c>
      <c r="I153" s="87">
        <f t="shared" ref="I153:S153" si="75">I145</f>
        <v>2012</v>
      </c>
      <c r="J153" s="87">
        <f t="shared" si="75"/>
        <v>2013</v>
      </c>
      <c r="K153" s="87">
        <f t="shared" si="75"/>
        <v>2014</v>
      </c>
      <c r="L153" s="87">
        <f t="shared" si="75"/>
        <v>2015</v>
      </c>
      <c r="M153" s="87">
        <f t="shared" si="75"/>
        <v>2016</v>
      </c>
      <c r="N153" s="87">
        <f t="shared" si="75"/>
        <v>2017</v>
      </c>
      <c r="O153" s="87">
        <f t="shared" si="75"/>
        <v>2018</v>
      </c>
      <c r="P153" s="87">
        <f t="shared" si="75"/>
        <v>2019</v>
      </c>
      <c r="Q153" s="87">
        <f t="shared" si="75"/>
        <v>2020</v>
      </c>
      <c r="R153" s="87">
        <f t="shared" si="75"/>
        <v>2021</v>
      </c>
      <c r="S153" s="87">
        <f t="shared" si="75"/>
        <v>2022</v>
      </c>
    </row>
    <row r="154" spans="1:19" s="4" customFormat="1" x14ac:dyDescent="0.2">
      <c r="A154" s="8"/>
      <c r="B154" s="2"/>
      <c r="C154" s="10"/>
      <c r="D154" s="10"/>
      <c r="E154" s="9"/>
      <c r="F154" s="8"/>
      <c r="G154" s="95" t="s">
        <v>276</v>
      </c>
      <c r="H154" s="96">
        <f t="shared" ref="H154:S154" si="76">H33</f>
        <v>0</v>
      </c>
      <c r="I154" s="96">
        <f t="shared" si="76"/>
        <v>2021.0909999999999</v>
      </c>
      <c r="J154" s="96">
        <f t="shared" si="76"/>
        <v>2099.8469999999998</v>
      </c>
      <c r="K154" s="96">
        <f t="shared" si="76"/>
        <v>2190.4879999999998</v>
      </c>
      <c r="L154" s="96">
        <f>L33</f>
        <v>2446.8010000000004</v>
      </c>
      <c r="M154" s="96">
        <f t="shared" si="76"/>
        <v>2742.373</v>
      </c>
      <c r="N154" s="96">
        <f t="shared" si="76"/>
        <v>6116</v>
      </c>
      <c r="O154" s="96">
        <f t="shared" si="76"/>
        <v>2906</v>
      </c>
      <c r="P154" s="96">
        <f t="shared" si="76"/>
        <v>4116</v>
      </c>
      <c r="Q154" s="96">
        <f t="shared" si="76"/>
        <v>4175</v>
      </c>
      <c r="R154" s="96">
        <f t="shared" si="76"/>
        <v>3857</v>
      </c>
      <c r="S154" s="96">
        <f t="shared" si="76"/>
        <v>4213</v>
      </c>
    </row>
    <row r="155" spans="1:19" s="4" customFormat="1" x14ac:dyDescent="0.2">
      <c r="A155" s="8"/>
      <c r="B155" s="2"/>
      <c r="C155" s="10"/>
      <c r="D155" s="10"/>
      <c r="E155" s="9"/>
      <c r="F155" s="8"/>
      <c r="G155" s="95" t="s">
        <v>277</v>
      </c>
      <c r="H155" s="96">
        <f t="shared" ref="H155:S156" si="77">H35</f>
        <v>0</v>
      </c>
      <c r="I155" s="96">
        <f t="shared" si="77"/>
        <v>951.16899999999998</v>
      </c>
      <c r="J155" s="96">
        <f t="shared" si="77"/>
        <v>1114.992</v>
      </c>
      <c r="K155" s="96">
        <f t="shared" si="77"/>
        <v>1177.8119999999999</v>
      </c>
      <c r="L155" s="96">
        <f t="shared" si="77"/>
        <v>1282.1010000000001</v>
      </c>
      <c r="M155" s="96">
        <f t="shared" si="77"/>
        <v>1482.6120000000001</v>
      </c>
      <c r="N155" s="96">
        <f t="shared" si="77"/>
        <v>1365</v>
      </c>
      <c r="O155" s="96">
        <f t="shared" si="77"/>
        <v>1439</v>
      </c>
      <c r="P155" s="96">
        <f t="shared" si="77"/>
        <v>1535</v>
      </c>
      <c r="Q155" s="96">
        <f t="shared" si="77"/>
        <v>1553</v>
      </c>
      <c r="R155" s="96">
        <f t="shared" si="77"/>
        <v>1575</v>
      </c>
      <c r="S155" s="96">
        <f t="shared" si="77"/>
        <v>1580</v>
      </c>
    </row>
    <row r="156" spans="1:19" s="4" customFormat="1" x14ac:dyDescent="0.2">
      <c r="A156" s="8"/>
      <c r="B156" s="2"/>
      <c r="C156" s="10"/>
      <c r="D156" s="10"/>
      <c r="E156" s="9"/>
      <c r="F156" s="8"/>
      <c r="G156" s="95" t="s">
        <v>278</v>
      </c>
      <c r="H156" s="96">
        <f t="shared" si="77"/>
        <v>0</v>
      </c>
      <c r="I156" s="96">
        <f t="shared" si="77"/>
        <v>1071.1089999999999</v>
      </c>
      <c r="J156" s="96">
        <f t="shared" si="77"/>
        <v>984.85500000000002</v>
      </c>
      <c r="K156" s="96">
        <f t="shared" si="77"/>
        <v>1012.676</v>
      </c>
      <c r="L156" s="96">
        <f t="shared" si="77"/>
        <v>1164.7</v>
      </c>
      <c r="M156" s="96">
        <f t="shared" si="77"/>
        <v>1259.761</v>
      </c>
      <c r="N156" s="96">
        <f t="shared" si="77"/>
        <v>4751</v>
      </c>
      <c r="O156" s="96">
        <f t="shared" si="77"/>
        <v>1467</v>
      </c>
      <c r="P156" s="96">
        <f t="shared" si="77"/>
        <v>2581</v>
      </c>
      <c r="Q156" s="96">
        <f t="shared" si="77"/>
        <v>2622</v>
      </c>
      <c r="R156" s="96">
        <f t="shared" si="77"/>
        <v>2282</v>
      </c>
      <c r="S156" s="96">
        <f t="shared" si="77"/>
        <v>2633</v>
      </c>
    </row>
    <row r="157" spans="1:19" s="4" customFormat="1" x14ac:dyDescent="0.2">
      <c r="A157" s="8"/>
      <c r="B157" s="2"/>
      <c r="C157" s="10"/>
      <c r="D157" s="10"/>
      <c r="E157" s="9"/>
      <c r="F157" s="8"/>
      <c r="G157" s="95" t="s">
        <v>279</v>
      </c>
      <c r="H157" s="96">
        <f t="shared" ref="H157:S157" si="78">H38+H41</f>
        <v>0</v>
      </c>
      <c r="I157" s="96">
        <f t="shared" si="78"/>
        <v>-1736.5549999999998</v>
      </c>
      <c r="J157" s="96">
        <f t="shared" si="78"/>
        <v>-2289.2939999999999</v>
      </c>
      <c r="K157" s="96">
        <f t="shared" si="78"/>
        <v>-2368.2869999999998</v>
      </c>
      <c r="L157" s="96">
        <f t="shared" si="78"/>
        <v>-2434.7129999999997</v>
      </c>
      <c r="M157" s="96">
        <f t="shared" si="78"/>
        <v>-2796.2109999999998</v>
      </c>
      <c r="N157" s="96">
        <f t="shared" si="78"/>
        <v>-2894</v>
      </c>
      <c r="O157" s="96">
        <f t="shared" si="78"/>
        <v>-2906</v>
      </c>
      <c r="P157" s="96">
        <f t="shared" si="78"/>
        <v>-4116</v>
      </c>
      <c r="Q157" s="96">
        <f t="shared" si="78"/>
        <v>-4175</v>
      </c>
      <c r="R157" s="96">
        <f t="shared" si="78"/>
        <v>-3857</v>
      </c>
      <c r="S157" s="96">
        <f t="shared" si="78"/>
        <v>-4213</v>
      </c>
    </row>
    <row r="158" spans="1:19" s="4" customFormat="1" x14ac:dyDescent="0.2">
      <c r="A158" s="8"/>
      <c r="B158" s="2"/>
      <c r="C158" s="10"/>
      <c r="D158" s="10"/>
      <c r="E158" s="9"/>
      <c r="F158" s="8"/>
      <c r="G158" s="95" t="s">
        <v>280</v>
      </c>
      <c r="H158" s="96">
        <f t="shared" ref="H158:S158" si="79">H41</f>
        <v>0</v>
      </c>
      <c r="I158" s="96">
        <f t="shared" si="79"/>
        <v>-1736.5549999999998</v>
      </c>
      <c r="J158" s="96">
        <f t="shared" si="79"/>
        <v>-2289.2939999999999</v>
      </c>
      <c r="K158" s="96">
        <f t="shared" si="79"/>
        <v>-2368.2869999999998</v>
      </c>
      <c r="L158" s="96">
        <f t="shared" si="79"/>
        <v>-2434.7129999999997</v>
      </c>
      <c r="M158" s="96">
        <f t="shared" si="79"/>
        <v>-2796.2109999999998</v>
      </c>
      <c r="N158" s="96">
        <f t="shared" si="79"/>
        <v>-2894</v>
      </c>
      <c r="O158" s="96">
        <f t="shared" si="79"/>
        <v>-2906</v>
      </c>
      <c r="P158" s="96">
        <f t="shared" si="79"/>
        <v>-4116</v>
      </c>
      <c r="Q158" s="96">
        <f t="shared" si="79"/>
        <v>-4175</v>
      </c>
      <c r="R158" s="96">
        <f t="shared" si="79"/>
        <v>-3857</v>
      </c>
      <c r="S158" s="96">
        <f t="shared" si="79"/>
        <v>-4213</v>
      </c>
    </row>
    <row r="159" spans="1:19" s="4" customFormat="1" x14ac:dyDescent="0.2">
      <c r="A159" s="8"/>
      <c r="B159" s="2"/>
      <c r="C159" s="10"/>
      <c r="D159" s="10"/>
      <c r="E159" s="9"/>
      <c r="F159" s="8"/>
      <c r="G159" s="95" t="s">
        <v>281</v>
      </c>
      <c r="H159" s="96">
        <f t="shared" ref="H159:S159" si="80">H38</f>
        <v>0</v>
      </c>
      <c r="I159" s="96">
        <f t="shared" si="80"/>
        <v>0</v>
      </c>
      <c r="J159" s="96">
        <f t="shared" si="80"/>
        <v>0</v>
      </c>
      <c r="K159" s="96">
        <f t="shared" si="80"/>
        <v>0</v>
      </c>
      <c r="L159" s="96">
        <f t="shared" si="80"/>
        <v>0</v>
      </c>
      <c r="M159" s="96">
        <f t="shared" si="80"/>
        <v>0</v>
      </c>
      <c r="N159" s="96">
        <f t="shared" si="80"/>
        <v>0</v>
      </c>
      <c r="O159" s="96">
        <f t="shared" si="80"/>
        <v>0</v>
      </c>
      <c r="P159" s="96">
        <f t="shared" si="80"/>
        <v>0</v>
      </c>
      <c r="Q159" s="96">
        <f t="shared" si="80"/>
        <v>0</v>
      </c>
      <c r="R159" s="96">
        <f t="shared" si="80"/>
        <v>0</v>
      </c>
      <c r="S159" s="96">
        <f t="shared" si="80"/>
        <v>0</v>
      </c>
    </row>
    <row r="160" spans="1:19" s="4" customFormat="1" x14ac:dyDescent="0.2">
      <c r="A160" s="8"/>
      <c r="B160" s="2"/>
      <c r="C160" s="10"/>
      <c r="D160" s="10"/>
      <c r="E160" s="9"/>
      <c r="F160" s="8"/>
      <c r="G160" s="95" t="s">
        <v>282</v>
      </c>
      <c r="H160" s="96">
        <f t="shared" ref="H160:S160" si="81">H46</f>
        <v>0</v>
      </c>
      <c r="I160" s="96">
        <f t="shared" si="81"/>
        <v>284.53600000000006</v>
      </c>
      <c r="J160" s="96">
        <f t="shared" si="81"/>
        <v>-189.44700000000012</v>
      </c>
      <c r="K160" s="96">
        <f t="shared" si="81"/>
        <v>-177.79899999999998</v>
      </c>
      <c r="L160" s="96">
        <f t="shared" si="81"/>
        <v>12.088000000000648</v>
      </c>
      <c r="M160" s="96">
        <f t="shared" si="81"/>
        <v>-53.837999999999738</v>
      </c>
      <c r="N160" s="96">
        <f t="shared" si="81"/>
        <v>3222</v>
      </c>
      <c r="O160" s="96">
        <f t="shared" si="81"/>
        <v>0</v>
      </c>
      <c r="P160" s="96">
        <f t="shared" si="81"/>
        <v>0</v>
      </c>
      <c r="Q160" s="96">
        <f t="shared" si="81"/>
        <v>0</v>
      </c>
      <c r="R160" s="96">
        <f t="shared" si="81"/>
        <v>0</v>
      </c>
      <c r="S160" s="96">
        <f t="shared" si="81"/>
        <v>0</v>
      </c>
    </row>
    <row r="161" spans="1:19" s="4" customFormat="1" x14ac:dyDescent="0.2">
      <c r="A161" s="8"/>
      <c r="B161" s="2"/>
      <c r="C161" s="10"/>
      <c r="D161" s="10"/>
      <c r="E161" s="9"/>
      <c r="F161" s="8"/>
      <c r="G161" s="95" t="s">
        <v>283</v>
      </c>
      <c r="H161" s="96">
        <f t="shared" ref="H161:S161" si="82">H51</f>
        <v>0</v>
      </c>
      <c r="I161" s="96">
        <f t="shared" si="82"/>
        <v>284.72400000000005</v>
      </c>
      <c r="J161" s="96">
        <f t="shared" si="82"/>
        <v>-189.44700000000012</v>
      </c>
      <c r="K161" s="96">
        <f t="shared" si="82"/>
        <v>-177.79899999999998</v>
      </c>
      <c r="L161" s="96">
        <f t="shared" si="82"/>
        <v>12.987000000000648</v>
      </c>
      <c r="M161" s="96">
        <f t="shared" si="82"/>
        <v>-52.553999999999739</v>
      </c>
      <c r="N161" s="96">
        <f t="shared" si="82"/>
        <v>3222</v>
      </c>
      <c r="O161" s="96">
        <f t="shared" si="82"/>
        <v>0</v>
      </c>
      <c r="P161" s="96">
        <f t="shared" si="82"/>
        <v>0</v>
      </c>
      <c r="Q161" s="96">
        <f t="shared" si="82"/>
        <v>0</v>
      </c>
      <c r="R161" s="96">
        <f t="shared" si="82"/>
        <v>0</v>
      </c>
      <c r="S161" s="96">
        <f t="shared" si="82"/>
        <v>0</v>
      </c>
    </row>
    <row r="162" spans="1:19" s="4" customFormat="1" x14ac:dyDescent="0.2">
      <c r="A162" s="8"/>
      <c r="B162" s="2"/>
      <c r="C162" s="10"/>
      <c r="D162" s="10"/>
      <c r="E162" s="9"/>
      <c r="F162" s="8"/>
      <c r="G162" s="95" t="s">
        <v>284</v>
      </c>
      <c r="H162" s="96">
        <f t="shared" ref="H162:S163" si="83">H4</f>
        <v>0</v>
      </c>
      <c r="I162" s="96">
        <f t="shared" si="83"/>
        <v>3620.4450000000002</v>
      </c>
      <c r="J162" s="96">
        <f t="shared" si="83"/>
        <v>3460.8960000000002</v>
      </c>
      <c r="K162" s="96">
        <f t="shared" si="83"/>
        <v>3280.172</v>
      </c>
      <c r="L162" s="96">
        <f t="shared" si="83"/>
        <v>3553.0310000000004</v>
      </c>
      <c r="M162" s="96">
        <f t="shared" si="83"/>
        <v>3550.8779999999997</v>
      </c>
      <c r="N162" s="96">
        <f t="shared" si="83"/>
        <v>7244</v>
      </c>
      <c r="O162" s="96">
        <f t="shared" si="83"/>
        <v>6403</v>
      </c>
      <c r="P162" s="96">
        <f t="shared" si="83"/>
        <v>6715</v>
      </c>
      <c r="Q162" s="96">
        <f t="shared" si="83"/>
        <v>6726</v>
      </c>
      <c r="R162" s="96">
        <f t="shared" si="83"/>
        <v>6616</v>
      </c>
      <c r="S162" s="96">
        <f t="shared" si="83"/>
        <v>6567</v>
      </c>
    </row>
    <row r="163" spans="1:19" s="4" customFormat="1" x14ac:dyDescent="0.2">
      <c r="A163" s="8"/>
      <c r="B163" s="2"/>
      <c r="C163" s="10"/>
      <c r="D163" s="10"/>
      <c r="E163" s="9"/>
      <c r="F163" s="8"/>
      <c r="G163" s="95" t="s">
        <v>285</v>
      </c>
      <c r="H163" s="96">
        <f t="shared" si="83"/>
        <v>0</v>
      </c>
      <c r="I163" s="96">
        <f t="shared" si="83"/>
        <v>313.976</v>
      </c>
      <c r="J163" s="96">
        <f t="shared" si="83"/>
        <v>282.57799999999997</v>
      </c>
      <c r="K163" s="96">
        <f t="shared" si="83"/>
        <v>206.58200000000002</v>
      </c>
      <c r="L163" s="96">
        <f t="shared" si="83"/>
        <v>612.45799999999997</v>
      </c>
      <c r="M163" s="96">
        <f t="shared" si="83"/>
        <v>756.35799999999995</v>
      </c>
      <c r="N163" s="96">
        <f t="shared" si="83"/>
        <v>1121</v>
      </c>
      <c r="O163" s="96">
        <f t="shared" si="83"/>
        <v>622</v>
      </c>
      <c r="P163" s="96">
        <f t="shared" si="83"/>
        <v>326</v>
      </c>
      <c r="Q163" s="96">
        <f t="shared" si="83"/>
        <v>434</v>
      </c>
      <c r="R163" s="96">
        <f t="shared" si="83"/>
        <v>510</v>
      </c>
      <c r="S163" s="96">
        <f t="shared" si="83"/>
        <v>526</v>
      </c>
    </row>
    <row r="164" spans="1:19" s="4" customFormat="1" x14ac:dyDescent="0.2">
      <c r="A164" s="8"/>
      <c r="B164" s="2"/>
      <c r="C164" s="10"/>
      <c r="D164" s="10"/>
      <c r="E164" s="9"/>
      <c r="F164" s="8"/>
      <c r="G164" s="95" t="s">
        <v>286</v>
      </c>
      <c r="H164" s="96">
        <f t="shared" ref="H164:S164" si="84">H10</f>
        <v>0</v>
      </c>
      <c r="I164" s="96">
        <f t="shared" si="84"/>
        <v>3306.4690000000001</v>
      </c>
      <c r="J164" s="96">
        <f t="shared" si="84"/>
        <v>3178.3180000000002</v>
      </c>
      <c r="K164" s="96">
        <f t="shared" si="84"/>
        <v>3073.59</v>
      </c>
      <c r="L164" s="96">
        <f t="shared" si="84"/>
        <v>2940.5730000000003</v>
      </c>
      <c r="M164" s="96">
        <f t="shared" si="84"/>
        <v>2794.52</v>
      </c>
      <c r="N164" s="96">
        <f t="shared" si="84"/>
        <v>6123</v>
      </c>
      <c r="O164" s="96">
        <f t="shared" si="84"/>
        <v>5781</v>
      </c>
      <c r="P164" s="96">
        <f t="shared" si="84"/>
        <v>6389</v>
      </c>
      <c r="Q164" s="96">
        <f t="shared" si="84"/>
        <v>6292</v>
      </c>
      <c r="R164" s="96">
        <f t="shared" si="84"/>
        <v>6106</v>
      </c>
      <c r="S164" s="96">
        <f t="shared" si="84"/>
        <v>6041</v>
      </c>
    </row>
    <row r="165" spans="1:19" s="4" customFormat="1" x14ac:dyDescent="0.2">
      <c r="A165" s="8"/>
      <c r="B165" s="2"/>
      <c r="C165" s="10"/>
      <c r="D165" s="10"/>
      <c r="E165" s="9"/>
      <c r="F165" s="8"/>
      <c r="G165" s="95" t="s">
        <v>287</v>
      </c>
      <c r="H165" s="96">
        <f t="shared" ref="H165:S166" si="85">H19</f>
        <v>0</v>
      </c>
      <c r="I165" s="96">
        <f t="shared" si="85"/>
        <v>253.05600000000001</v>
      </c>
      <c r="J165" s="96">
        <f t="shared" si="85"/>
        <v>282.95599999999996</v>
      </c>
      <c r="K165" s="96">
        <f t="shared" si="85"/>
        <v>280.03000000000003</v>
      </c>
      <c r="L165" s="96">
        <f t="shared" si="85"/>
        <v>539.90300000000002</v>
      </c>
      <c r="M165" s="96">
        <f t="shared" si="85"/>
        <v>590.303</v>
      </c>
      <c r="N165" s="96">
        <f t="shared" si="85"/>
        <v>1061</v>
      </c>
      <c r="O165" s="96">
        <f t="shared" si="85"/>
        <v>220</v>
      </c>
      <c r="P165" s="96">
        <f t="shared" si="85"/>
        <v>532</v>
      </c>
      <c r="Q165" s="96">
        <f t="shared" si="85"/>
        <v>543</v>
      </c>
      <c r="R165" s="96">
        <f t="shared" si="85"/>
        <v>433</v>
      </c>
      <c r="S165" s="96">
        <f t="shared" si="85"/>
        <v>384</v>
      </c>
    </row>
    <row r="166" spans="1:19" s="4" customFormat="1" x14ac:dyDescent="0.2">
      <c r="A166" s="8"/>
      <c r="B166" s="2"/>
      <c r="C166" s="10"/>
      <c r="D166" s="10"/>
      <c r="E166" s="9"/>
      <c r="F166" s="8"/>
      <c r="G166" s="95" t="s">
        <v>288</v>
      </c>
      <c r="H166" s="96">
        <f t="shared" si="85"/>
        <v>0</v>
      </c>
      <c r="I166" s="96">
        <f t="shared" si="85"/>
        <v>253.05600000000001</v>
      </c>
      <c r="J166" s="96">
        <f t="shared" si="85"/>
        <v>282.95599999999996</v>
      </c>
      <c r="K166" s="96">
        <f t="shared" si="85"/>
        <v>280.03000000000003</v>
      </c>
      <c r="L166" s="96">
        <f t="shared" si="85"/>
        <v>539.90300000000002</v>
      </c>
      <c r="M166" s="96">
        <f t="shared" si="85"/>
        <v>590.303</v>
      </c>
      <c r="N166" s="96">
        <f t="shared" si="85"/>
        <v>1061</v>
      </c>
      <c r="O166" s="96">
        <f t="shared" si="85"/>
        <v>0</v>
      </c>
      <c r="P166" s="96">
        <f t="shared" si="85"/>
        <v>0</v>
      </c>
      <c r="Q166" s="96">
        <f t="shared" si="85"/>
        <v>0</v>
      </c>
      <c r="R166" s="96">
        <f t="shared" si="85"/>
        <v>0</v>
      </c>
      <c r="S166" s="96">
        <f t="shared" si="85"/>
        <v>0</v>
      </c>
    </row>
    <row r="167" spans="1:19" s="4" customFormat="1" x14ac:dyDescent="0.2">
      <c r="A167" s="8"/>
      <c r="B167" s="2"/>
      <c r="C167" s="10"/>
      <c r="D167" s="10"/>
      <c r="E167" s="9"/>
      <c r="F167" s="8"/>
      <c r="G167" s="95" t="s">
        <v>289</v>
      </c>
      <c r="H167" s="96">
        <f t="shared" ref="H167:S167" si="86">H24</f>
        <v>0</v>
      </c>
      <c r="I167" s="96">
        <f t="shared" si="86"/>
        <v>0</v>
      </c>
      <c r="J167" s="96">
        <f t="shared" si="86"/>
        <v>0</v>
      </c>
      <c r="K167" s="96">
        <f t="shared" si="86"/>
        <v>0</v>
      </c>
      <c r="L167" s="96">
        <f t="shared" si="86"/>
        <v>0</v>
      </c>
      <c r="M167" s="96">
        <f t="shared" si="86"/>
        <v>0</v>
      </c>
      <c r="N167" s="96">
        <f t="shared" si="86"/>
        <v>0</v>
      </c>
      <c r="O167" s="96">
        <f t="shared" si="86"/>
        <v>0</v>
      </c>
      <c r="P167" s="96">
        <f t="shared" si="86"/>
        <v>0</v>
      </c>
      <c r="Q167" s="96">
        <f t="shared" si="86"/>
        <v>0</v>
      </c>
      <c r="R167" s="96">
        <f t="shared" si="86"/>
        <v>0</v>
      </c>
      <c r="S167" s="96">
        <f t="shared" si="86"/>
        <v>0</v>
      </c>
    </row>
    <row r="168" spans="1:19" s="4" customFormat="1" x14ac:dyDescent="0.2">
      <c r="A168" s="8"/>
      <c r="B168" s="2"/>
      <c r="C168" s="10"/>
      <c r="D168" s="10"/>
      <c r="E168" s="9"/>
      <c r="F168" s="8"/>
      <c r="G168" s="95" t="s">
        <v>290</v>
      </c>
      <c r="H168" s="96">
        <f t="shared" ref="H168:S168" si="87">H27</f>
        <v>0</v>
      </c>
      <c r="I168" s="96">
        <f t="shared" si="87"/>
        <v>3367.3879999999999</v>
      </c>
      <c r="J168" s="96">
        <f t="shared" si="87"/>
        <v>3177.9409999999998</v>
      </c>
      <c r="K168" s="96">
        <f t="shared" si="87"/>
        <v>3000.1409999999996</v>
      </c>
      <c r="L168" s="96">
        <f t="shared" si="87"/>
        <v>3013.1289999999995</v>
      </c>
      <c r="M168" s="96">
        <f t="shared" si="87"/>
        <v>2960.5749999999998</v>
      </c>
      <c r="N168" s="96">
        <f t="shared" si="87"/>
        <v>6183</v>
      </c>
      <c r="O168" s="96">
        <f t="shared" si="87"/>
        <v>6183</v>
      </c>
      <c r="P168" s="96">
        <f t="shared" si="87"/>
        <v>6183</v>
      </c>
      <c r="Q168" s="96">
        <f t="shared" si="87"/>
        <v>6183</v>
      </c>
      <c r="R168" s="96">
        <f t="shared" si="87"/>
        <v>6183</v>
      </c>
      <c r="S168" s="96">
        <f t="shared" si="87"/>
        <v>6183</v>
      </c>
    </row>
    <row r="169" spans="1:19" s="4" customFormat="1" x14ac:dyDescent="0.2">
      <c r="A169" s="8"/>
      <c r="B169" s="2"/>
      <c r="C169" s="119"/>
      <c r="D169" s="41"/>
      <c r="E169" s="42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</row>
    <row r="170" spans="1:19" s="4" customFormat="1" x14ac:dyDescent="0.2">
      <c r="A170" s="8"/>
      <c r="B170" s="2"/>
      <c r="C170" s="119" t="s">
        <v>463</v>
      </c>
      <c r="D170" s="41"/>
      <c r="E170" s="42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</row>
    <row r="171" spans="1:19" s="4" customFormat="1" x14ac:dyDescent="0.2">
      <c r="A171" s="8"/>
      <c r="B171" s="2"/>
      <c r="C171" s="119"/>
      <c r="D171" s="41"/>
      <c r="E171" s="42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</row>
    <row r="172" spans="1:19" s="40" customFormat="1" x14ac:dyDescent="0.2">
      <c r="A172" s="29"/>
      <c r="B172" s="2"/>
      <c r="C172" s="29" t="s">
        <v>464</v>
      </c>
      <c r="D172" s="99"/>
      <c r="E172" s="30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</row>
    <row r="173" spans="1:19" s="4" customFormat="1" x14ac:dyDescent="0.2">
      <c r="A173" s="8"/>
      <c r="B173" s="2"/>
      <c r="C173" s="8"/>
      <c r="D173" s="10"/>
      <c r="E173" s="9"/>
      <c r="F173" s="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</row>
    <row r="174" spans="1:19" s="4" customFormat="1" x14ac:dyDescent="0.2">
      <c r="A174" s="8"/>
      <c r="B174" s="2"/>
      <c r="C174" s="8" t="s">
        <v>291</v>
      </c>
      <c r="D174" s="10"/>
      <c r="E174" s="9"/>
      <c r="F174" s="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</row>
    <row r="175" spans="1:19" s="4" customFormat="1" x14ac:dyDescent="0.2">
      <c r="A175" s="8"/>
      <c r="B175" s="2"/>
      <c r="C175" s="8" t="s">
        <v>292</v>
      </c>
      <c r="D175" s="10"/>
      <c r="E175" s="9"/>
      <c r="F175" s="12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  <c r="R175" s="44"/>
    </row>
    <row r="176" spans="1:19" s="4" customFormat="1" x14ac:dyDescent="0.2">
      <c r="A176" s="8"/>
      <c r="B176" s="2"/>
      <c r="C176" s="8"/>
      <c r="D176" s="10"/>
      <c r="E176" s="9"/>
      <c r="F176" s="12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</row>
    <row r="177" spans="1:7" s="4" customFormat="1" x14ac:dyDescent="0.2">
      <c r="A177" s="8"/>
      <c r="B177" s="2"/>
      <c r="C177" s="8" t="s">
        <v>293</v>
      </c>
      <c r="D177" s="10"/>
      <c r="E177" s="9"/>
      <c r="F177" s="12"/>
      <c r="G177" s="28"/>
    </row>
    <row r="178" spans="1:7" s="4" customFormat="1" x14ac:dyDescent="0.2">
      <c r="A178" s="8"/>
      <c r="B178" s="2"/>
      <c r="C178" s="8" t="s">
        <v>294</v>
      </c>
      <c r="D178" s="10"/>
      <c r="E178" s="9"/>
      <c r="F178" s="12"/>
      <c r="G178" s="28"/>
    </row>
    <row r="179" spans="1:7" s="4" customFormat="1" x14ac:dyDescent="0.2">
      <c r="A179" s="8"/>
      <c r="B179" s="2"/>
      <c r="C179" s="10"/>
      <c r="D179" s="10"/>
      <c r="E179" s="9"/>
      <c r="F179" s="8"/>
      <c r="G179" s="28"/>
    </row>
    <row r="180" spans="1:7" s="4" customFormat="1" x14ac:dyDescent="0.2">
      <c r="A180" s="8"/>
      <c r="B180" s="2"/>
      <c r="C180" s="10"/>
      <c r="D180" s="10"/>
      <c r="E180" s="9"/>
      <c r="F180" s="8"/>
      <c r="G180" s="28"/>
    </row>
    <row r="181" spans="1:7" s="4" customFormat="1" x14ac:dyDescent="0.2">
      <c r="A181" s="8"/>
      <c r="B181" s="2"/>
      <c r="C181" s="10"/>
      <c r="D181" s="10"/>
      <c r="E181" s="9"/>
      <c r="F181" s="8"/>
      <c r="G181" s="28"/>
    </row>
    <row r="182" spans="1:7" s="4" customFormat="1" x14ac:dyDescent="0.2">
      <c r="A182" s="8"/>
      <c r="B182" s="2"/>
      <c r="C182" s="10"/>
      <c r="D182" s="10"/>
      <c r="E182" s="9"/>
      <c r="F182" s="8"/>
      <c r="G182" s="28"/>
    </row>
    <row r="183" spans="1:7" s="4" customFormat="1" x14ac:dyDescent="0.2">
      <c r="A183" s="8"/>
      <c r="B183" s="2"/>
      <c r="C183" s="10"/>
      <c r="D183" s="10"/>
      <c r="E183" s="9"/>
      <c r="F183" s="8"/>
      <c r="G183" s="28"/>
    </row>
    <row r="184" spans="1:7" s="4" customFormat="1" x14ac:dyDescent="0.2">
      <c r="A184" s="8"/>
      <c r="B184" s="2"/>
      <c r="C184" s="10"/>
      <c r="D184" s="10"/>
      <c r="E184" s="9"/>
      <c r="F184" s="8"/>
      <c r="G184" s="28"/>
    </row>
    <row r="185" spans="1:7" s="4" customFormat="1" x14ac:dyDescent="0.2">
      <c r="A185" s="8"/>
      <c r="B185" s="2"/>
      <c r="C185" s="10"/>
      <c r="D185" s="10"/>
      <c r="E185" s="9"/>
      <c r="F185" s="8"/>
      <c r="G185" s="28"/>
    </row>
    <row r="186" spans="1:7" s="4" customFormat="1" x14ac:dyDescent="0.2">
      <c r="A186" s="8"/>
      <c r="B186" s="2"/>
      <c r="C186" s="10"/>
      <c r="D186" s="10"/>
      <c r="E186" s="9"/>
      <c r="F186" s="8"/>
      <c r="G186" s="28"/>
    </row>
    <row r="187" spans="1:7" s="4" customFormat="1" x14ac:dyDescent="0.2">
      <c r="A187" s="8"/>
      <c r="B187" s="2"/>
      <c r="C187" s="10"/>
      <c r="D187" s="10"/>
      <c r="E187" s="9"/>
      <c r="F187" s="8"/>
      <c r="G187" s="28"/>
    </row>
    <row r="188" spans="1:7" s="4" customFormat="1" x14ac:dyDescent="0.2">
      <c r="A188" s="8"/>
      <c r="B188" s="2"/>
      <c r="C188" s="10"/>
      <c r="D188" s="10"/>
      <c r="E188" s="9"/>
      <c r="F188" s="8"/>
      <c r="G188" s="28"/>
    </row>
    <row r="189" spans="1:7" s="4" customFormat="1" x14ac:dyDescent="0.2">
      <c r="A189" s="8"/>
      <c r="B189" s="2"/>
      <c r="C189" s="10"/>
      <c r="D189" s="10"/>
      <c r="E189" s="9"/>
      <c r="F189" s="8"/>
      <c r="G189" s="28"/>
    </row>
    <row r="190" spans="1:7" s="4" customFormat="1" x14ac:dyDescent="0.2">
      <c r="A190" s="8"/>
      <c r="B190" s="2"/>
      <c r="C190" s="10"/>
      <c r="D190" s="10"/>
      <c r="E190" s="9"/>
      <c r="F190" s="8"/>
      <c r="G190" s="28"/>
    </row>
    <row r="191" spans="1:7" s="4" customFormat="1" x14ac:dyDescent="0.2">
      <c r="A191" s="8"/>
      <c r="B191" s="2"/>
      <c r="C191" s="10"/>
      <c r="D191" s="10"/>
      <c r="E191" s="9"/>
      <c r="F191" s="8"/>
      <c r="G191" s="28"/>
    </row>
    <row r="192" spans="1:7" s="4" customFormat="1" x14ac:dyDescent="0.2">
      <c r="A192" s="8"/>
      <c r="B192" s="2"/>
      <c r="C192" s="10"/>
      <c r="D192" s="10"/>
      <c r="E192" s="9"/>
      <c r="F192" s="8"/>
      <c r="G192" s="28"/>
    </row>
    <row r="193" spans="1:7" s="4" customFormat="1" x14ac:dyDescent="0.2">
      <c r="A193" s="8"/>
      <c r="B193" s="2"/>
      <c r="C193" s="10"/>
      <c r="D193" s="10"/>
      <c r="E193" s="9"/>
      <c r="F193" s="8"/>
      <c r="G193" s="28"/>
    </row>
    <row r="194" spans="1:7" s="4" customFormat="1" x14ac:dyDescent="0.2">
      <c r="A194" s="8"/>
      <c r="B194" s="2"/>
      <c r="C194" s="10"/>
      <c r="D194" s="10"/>
      <c r="E194" s="9"/>
      <c r="F194" s="8"/>
      <c r="G194" s="28"/>
    </row>
    <row r="195" spans="1:7" s="4" customFormat="1" x14ac:dyDescent="0.2">
      <c r="A195" s="8"/>
      <c r="B195" s="2"/>
      <c r="C195" s="10"/>
      <c r="D195" s="10"/>
      <c r="E195" s="9"/>
      <c r="F195" s="8"/>
      <c r="G195" s="28"/>
    </row>
    <row r="196" spans="1:7" s="4" customFormat="1" x14ac:dyDescent="0.2">
      <c r="A196" s="8"/>
      <c r="B196" s="2"/>
      <c r="C196" s="10"/>
      <c r="D196" s="10"/>
      <c r="E196" s="9"/>
      <c r="F196" s="8"/>
      <c r="G196" s="28"/>
    </row>
    <row r="197" spans="1:7" s="4" customFormat="1" x14ac:dyDescent="0.2">
      <c r="A197" s="8"/>
      <c r="B197" s="2"/>
      <c r="C197" s="10"/>
      <c r="D197" s="10"/>
      <c r="E197" s="9"/>
      <c r="F197" s="8"/>
      <c r="G197" s="28"/>
    </row>
    <row r="198" spans="1:7" s="4" customFormat="1" x14ac:dyDescent="0.2">
      <c r="A198" s="8"/>
      <c r="B198" s="2"/>
      <c r="C198" s="10"/>
      <c r="D198" s="10"/>
      <c r="E198" s="9"/>
      <c r="F198" s="8"/>
      <c r="G198" s="28"/>
    </row>
    <row r="199" spans="1:7" s="4" customFormat="1" x14ac:dyDescent="0.2">
      <c r="A199" s="8"/>
      <c r="B199" s="2"/>
      <c r="C199" s="10"/>
      <c r="D199" s="10"/>
      <c r="E199" s="9"/>
      <c r="F199" s="8"/>
      <c r="G199" s="28"/>
    </row>
    <row r="200" spans="1:7" s="4" customFormat="1" x14ac:dyDescent="0.2">
      <c r="A200" s="8"/>
      <c r="B200" s="2"/>
      <c r="C200" s="10"/>
      <c r="D200" s="10"/>
      <c r="E200" s="9"/>
      <c r="F200" s="8"/>
      <c r="G200" s="28"/>
    </row>
    <row r="201" spans="1:7" s="4" customFormat="1" x14ac:dyDescent="0.2">
      <c r="A201" s="8"/>
      <c r="B201" s="2"/>
      <c r="C201" s="10"/>
      <c r="D201" s="10"/>
      <c r="E201" s="9"/>
      <c r="F201" s="8"/>
      <c r="G201" s="28"/>
    </row>
    <row r="202" spans="1:7" s="4" customFormat="1" x14ac:dyDescent="0.2">
      <c r="A202" s="8"/>
      <c r="B202" s="2"/>
      <c r="C202" s="10"/>
      <c r="D202" s="10"/>
      <c r="E202" s="9"/>
      <c r="F202" s="8"/>
      <c r="G202" s="28"/>
    </row>
  </sheetData>
  <mergeCells count="1">
    <mergeCell ref="D92:E92"/>
  </mergeCells>
  <conditionalFormatting sqref="H141:Q141">
    <cfRule type="cellIs" dxfId="1273" priority="51" stopIfTrue="1" operator="greaterThan">
      <formula>$E$141</formula>
    </cfRule>
    <cfRule type="cellIs" dxfId="1272" priority="52" stopIfTrue="1" operator="lessThanOrEqual">
      <formula>$E$141</formula>
    </cfRule>
  </conditionalFormatting>
  <conditionalFormatting sqref="H143:Q143">
    <cfRule type="cellIs" dxfId="1271" priority="49" stopIfTrue="1" operator="lessThanOrEqual">
      <formula>$E$143</formula>
    </cfRule>
    <cfRule type="cellIs" dxfId="1270" priority="50" stopIfTrue="1" operator="greaterThan">
      <formula>$E$143</formula>
    </cfRule>
  </conditionalFormatting>
  <conditionalFormatting sqref="H121:Q121">
    <cfRule type="cellIs" dxfId="1269" priority="47" operator="greaterThan">
      <formula>$E$121</formula>
    </cfRule>
    <cfRule type="cellIs" dxfId="1268" priority="48" operator="lessThanOrEqual">
      <formula>$E$121</formula>
    </cfRule>
  </conditionalFormatting>
  <conditionalFormatting sqref="H124:Q124">
    <cfRule type="cellIs" dxfId="1267" priority="45" stopIfTrue="1" operator="greaterThanOrEqual">
      <formula>$E$124</formula>
    </cfRule>
    <cfRule type="cellIs" dxfId="1266" priority="46" stopIfTrue="1" operator="lessThan">
      <formula>$E$124</formula>
    </cfRule>
  </conditionalFormatting>
  <conditionalFormatting sqref="H126:Q126">
    <cfRule type="cellIs" dxfId="1265" priority="43" stopIfTrue="1" operator="lessThan">
      <formula>$E$126</formula>
    </cfRule>
    <cfRule type="cellIs" dxfId="1264" priority="44" stopIfTrue="1" operator="greaterThanOrEqual">
      <formula>$E$126</formula>
    </cfRule>
  </conditionalFormatting>
  <conditionalFormatting sqref="H125:Q125">
    <cfRule type="cellIs" dxfId="1263" priority="41" stopIfTrue="1" operator="greaterThan">
      <formula>$E$125</formula>
    </cfRule>
    <cfRule type="cellIs" dxfId="1262" priority="42" stopIfTrue="1" operator="lessThanOrEqual">
      <formula>$E$125</formula>
    </cfRule>
  </conditionalFormatting>
  <conditionalFormatting sqref="H122:Q122">
    <cfRule type="cellIs" dxfId="1261" priority="30" stopIfTrue="1" operator="between">
      <formula>$D$122</formula>
      <formula>$E$122</formula>
    </cfRule>
    <cfRule type="cellIs" dxfId="1260" priority="39" stopIfTrue="1" operator="lessThanOrEqual">
      <formula>$D$122</formula>
    </cfRule>
    <cfRule type="cellIs" dxfId="1259" priority="40" stopIfTrue="1" operator="greaterThan">
      <formula>$E$122</formula>
    </cfRule>
  </conditionalFormatting>
  <conditionalFormatting sqref="H142:Q142">
    <cfRule type="cellIs" dxfId="1258" priority="37" stopIfTrue="1" operator="greaterThan">
      <formula>$E$142</formula>
    </cfRule>
    <cfRule type="cellIs" dxfId="1257" priority="38" stopIfTrue="1" operator="lessThanOrEqual">
      <formula>$E$142</formula>
    </cfRule>
  </conditionalFormatting>
  <conditionalFormatting sqref="H130:Q130">
    <cfRule type="cellIs" dxfId="1256" priority="35" stopIfTrue="1" operator="greaterThan">
      <formula>$E$130</formula>
    </cfRule>
    <cfRule type="cellIs" dxfId="1255" priority="36" stopIfTrue="1" operator="lessThanOrEqual">
      <formula>$E$130</formula>
    </cfRule>
  </conditionalFormatting>
  <conditionalFormatting sqref="H131:Q131">
    <cfRule type="cellIs" dxfId="1254" priority="33" stopIfTrue="1" operator="lessThan">
      <formula>$E$131</formula>
    </cfRule>
    <cfRule type="cellIs" dxfId="1253" priority="34" stopIfTrue="1" operator="greaterThanOrEqual">
      <formula>$E$131</formula>
    </cfRule>
  </conditionalFormatting>
  <conditionalFormatting sqref="H114:Q114">
    <cfRule type="cellIs" dxfId="1252" priority="53" stopIfTrue="1" operator="lessThan">
      <formula>$D$114</formula>
    </cfRule>
    <cfRule type="cellIs" dxfId="1251" priority="54" stopIfTrue="1" operator="between">
      <formula>$D$114</formula>
      <formula>$E$114</formula>
    </cfRule>
    <cfRule type="cellIs" dxfId="1250" priority="55" stopIfTrue="1" operator="greaterThan">
      <formula>$E$114</formula>
    </cfRule>
  </conditionalFormatting>
  <conditionalFormatting sqref="H138:Q138">
    <cfRule type="cellIs" dxfId="1249" priority="56" stopIfTrue="1" operator="lessThan">
      <formula>$E$138</formula>
    </cfRule>
    <cfRule type="cellIs" dxfId="1248" priority="57" stopIfTrue="1" operator="between">
      <formula>$D$138</formula>
      <formula>$E$138</formula>
    </cfRule>
    <cfRule type="cellIs" dxfId="1247" priority="58" stopIfTrue="1" operator="greaterThanOrEqual">
      <formula>$D$138</formula>
    </cfRule>
  </conditionalFormatting>
  <conditionalFormatting sqref="H111:Q111">
    <cfRule type="cellIs" dxfId="1246" priority="31" stopIfTrue="1" operator="lessThan">
      <formula>$E$111</formula>
    </cfRule>
    <cfRule type="cellIs" dxfId="1245" priority="32" stopIfTrue="1" operator="greaterThan">
      <formula>$E$111</formula>
    </cfRule>
  </conditionalFormatting>
  <conditionalFormatting sqref="R141:S141">
    <cfRule type="cellIs" dxfId="1244" priority="22" stopIfTrue="1" operator="greaterThan">
      <formula>$E$141</formula>
    </cfRule>
    <cfRule type="cellIs" dxfId="1243" priority="23" stopIfTrue="1" operator="lessThanOrEqual">
      <formula>$E$141</formula>
    </cfRule>
  </conditionalFormatting>
  <conditionalFormatting sqref="R143:S143">
    <cfRule type="cellIs" dxfId="1242" priority="20" stopIfTrue="1" operator="lessThanOrEqual">
      <formula>$E$143</formula>
    </cfRule>
    <cfRule type="cellIs" dxfId="1241" priority="21" stopIfTrue="1" operator="greaterThan">
      <formula>$E$143</formula>
    </cfRule>
  </conditionalFormatting>
  <conditionalFormatting sqref="R121:S121">
    <cfRule type="cellIs" dxfId="1240" priority="18" operator="greaterThan">
      <formula>$E$121</formula>
    </cfRule>
    <cfRule type="cellIs" dxfId="1239" priority="19" operator="lessThanOrEqual">
      <formula>$E$121</formula>
    </cfRule>
  </conditionalFormatting>
  <conditionalFormatting sqref="R124:S124">
    <cfRule type="cellIs" dxfId="1238" priority="16" stopIfTrue="1" operator="greaterThanOrEqual">
      <formula>$E$124</formula>
    </cfRule>
    <cfRule type="cellIs" dxfId="1237" priority="17" stopIfTrue="1" operator="lessThan">
      <formula>$E$124</formula>
    </cfRule>
  </conditionalFormatting>
  <conditionalFormatting sqref="R126:S126">
    <cfRule type="cellIs" dxfId="1236" priority="14" stopIfTrue="1" operator="lessThan">
      <formula>$E$126</formula>
    </cfRule>
    <cfRule type="cellIs" dxfId="1235" priority="15" stopIfTrue="1" operator="greaterThanOrEqual">
      <formula>$E$126</formula>
    </cfRule>
  </conditionalFormatting>
  <conditionalFormatting sqref="R125:S125">
    <cfRule type="cellIs" dxfId="1234" priority="12" stopIfTrue="1" operator="greaterThan">
      <formula>$E$125</formula>
    </cfRule>
    <cfRule type="cellIs" dxfId="1233" priority="13" stopIfTrue="1" operator="lessThanOrEqual">
      <formula>$E$125</formula>
    </cfRule>
  </conditionalFormatting>
  <conditionalFormatting sqref="R122:S122">
    <cfRule type="cellIs" dxfId="1232" priority="1" stopIfTrue="1" operator="between">
      <formula>$D$122</formula>
      <formula>$E$122</formula>
    </cfRule>
    <cfRule type="cellIs" dxfId="1231" priority="10" stopIfTrue="1" operator="lessThanOrEqual">
      <formula>$D$122</formula>
    </cfRule>
    <cfRule type="cellIs" dxfId="1230" priority="11" stopIfTrue="1" operator="greaterThan">
      <formula>$E$122</formula>
    </cfRule>
  </conditionalFormatting>
  <conditionalFormatting sqref="R142:S142">
    <cfRule type="cellIs" dxfId="1229" priority="8" stopIfTrue="1" operator="greaterThan">
      <formula>$E$142</formula>
    </cfRule>
    <cfRule type="cellIs" dxfId="1228" priority="9" stopIfTrue="1" operator="lessThanOrEqual">
      <formula>$E$142</formula>
    </cfRule>
  </conditionalFormatting>
  <conditionalFormatting sqref="R130:S130">
    <cfRule type="cellIs" dxfId="1227" priority="6" stopIfTrue="1" operator="greaterThan">
      <formula>$E$130</formula>
    </cfRule>
    <cfRule type="cellIs" dxfId="1226" priority="7" stopIfTrue="1" operator="lessThanOrEqual">
      <formula>$E$130</formula>
    </cfRule>
  </conditionalFormatting>
  <conditionalFormatting sqref="R131:S131">
    <cfRule type="cellIs" dxfId="1225" priority="4" stopIfTrue="1" operator="lessThan">
      <formula>$E$131</formula>
    </cfRule>
    <cfRule type="cellIs" dxfId="1224" priority="5" stopIfTrue="1" operator="greaterThanOrEqual">
      <formula>$E$131</formula>
    </cfRule>
  </conditionalFormatting>
  <conditionalFormatting sqref="R114:S114">
    <cfRule type="cellIs" dxfId="1223" priority="24" stopIfTrue="1" operator="lessThan">
      <formula>$D$114</formula>
    </cfRule>
    <cfRule type="cellIs" dxfId="1222" priority="25" stopIfTrue="1" operator="between">
      <formula>$D$114</formula>
      <formula>$E$114</formula>
    </cfRule>
    <cfRule type="cellIs" dxfId="1221" priority="26" stopIfTrue="1" operator="greaterThan">
      <formula>$E$114</formula>
    </cfRule>
  </conditionalFormatting>
  <conditionalFormatting sqref="R138:S138">
    <cfRule type="cellIs" dxfId="1220" priority="27" stopIfTrue="1" operator="lessThan">
      <formula>$E$138</formula>
    </cfRule>
    <cfRule type="cellIs" dxfId="1219" priority="28" stopIfTrue="1" operator="between">
      <formula>$D$138</formula>
      <formula>$E$138</formula>
    </cfRule>
    <cfRule type="cellIs" dxfId="1218" priority="29" stopIfTrue="1" operator="greaterThanOrEqual">
      <formula>$D$138</formula>
    </cfRule>
  </conditionalFormatting>
  <conditionalFormatting sqref="R111:S111">
    <cfRule type="cellIs" dxfId="1217" priority="2" stopIfTrue="1" operator="lessThan">
      <formula>$E$111</formula>
    </cfRule>
    <cfRule type="cellIs" dxfId="1216" priority="3" stopIfTrue="1" operator="greaterThan">
      <formula>$E$111</formula>
    </cfRule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B449E0-BC90-49BD-989A-1119E24A8A10}">
  <dimension ref="A1:U202"/>
  <sheetViews>
    <sheetView workbookViewId="0">
      <pane ySplit="3" topLeftCell="A4" activePane="bottomLeft" state="frozen"/>
      <selection pane="bottomLeft" activeCell="G2" sqref="G2"/>
    </sheetView>
  </sheetViews>
  <sheetFormatPr defaultRowHeight="11.25" outlineLevelCol="1" x14ac:dyDescent="0.2"/>
  <cols>
    <col min="1" max="1" width="7" style="47" customWidth="1"/>
    <col min="2" max="3" width="9.140625" style="47"/>
    <col min="4" max="4" width="4.5703125" style="47" bestFit="1" customWidth="1"/>
    <col min="5" max="5" width="5.140625" style="47" bestFit="1" customWidth="1"/>
    <col min="6" max="6" width="2" style="8" bestFit="1" customWidth="1"/>
    <col min="7" max="7" width="29.28515625" style="47" customWidth="1"/>
    <col min="8" max="12" width="8.7109375" style="47" hidden="1" customWidth="1" outlineLevel="1"/>
    <col min="13" max="13" width="8.7109375" style="47" bestFit="1" customWidth="1" collapsed="1"/>
    <col min="14" max="19" width="8.7109375" style="47" bestFit="1" customWidth="1"/>
    <col min="20" max="256" width="9.140625" style="47"/>
    <col min="257" max="257" width="7" style="47" customWidth="1"/>
    <col min="258" max="259" width="9.140625" style="47"/>
    <col min="260" max="260" width="4.5703125" style="47" bestFit="1" customWidth="1"/>
    <col min="261" max="261" width="5.140625" style="47" bestFit="1" customWidth="1"/>
    <col min="262" max="262" width="2" style="47" bestFit="1" customWidth="1"/>
    <col min="263" max="263" width="29.28515625" style="47" customWidth="1"/>
    <col min="264" max="268" width="0" style="47" hidden="1" customWidth="1"/>
    <col min="269" max="275" width="8.7109375" style="47" bestFit="1" customWidth="1"/>
    <col min="276" max="512" width="9.140625" style="47"/>
    <col min="513" max="513" width="7" style="47" customWidth="1"/>
    <col min="514" max="515" width="9.140625" style="47"/>
    <col min="516" max="516" width="4.5703125" style="47" bestFit="1" customWidth="1"/>
    <col min="517" max="517" width="5.140625" style="47" bestFit="1" customWidth="1"/>
    <col min="518" max="518" width="2" style="47" bestFit="1" customWidth="1"/>
    <col min="519" max="519" width="29.28515625" style="47" customWidth="1"/>
    <col min="520" max="524" width="0" style="47" hidden="1" customWidth="1"/>
    <col min="525" max="531" width="8.7109375" style="47" bestFit="1" customWidth="1"/>
    <col min="532" max="768" width="9.140625" style="47"/>
    <col min="769" max="769" width="7" style="47" customWidth="1"/>
    <col min="770" max="771" width="9.140625" style="47"/>
    <col min="772" max="772" width="4.5703125" style="47" bestFit="1" customWidth="1"/>
    <col min="773" max="773" width="5.140625" style="47" bestFit="1" customWidth="1"/>
    <col min="774" max="774" width="2" style="47" bestFit="1" customWidth="1"/>
    <col min="775" max="775" width="29.28515625" style="47" customWidth="1"/>
    <col min="776" max="780" width="0" style="47" hidden="1" customWidth="1"/>
    <col min="781" max="787" width="8.7109375" style="47" bestFit="1" customWidth="1"/>
    <col min="788" max="1024" width="9.140625" style="47"/>
    <col min="1025" max="1025" width="7" style="47" customWidth="1"/>
    <col min="1026" max="1027" width="9.140625" style="47"/>
    <col min="1028" max="1028" width="4.5703125" style="47" bestFit="1" customWidth="1"/>
    <col min="1029" max="1029" width="5.140625" style="47" bestFit="1" customWidth="1"/>
    <col min="1030" max="1030" width="2" style="47" bestFit="1" customWidth="1"/>
    <col min="1031" max="1031" width="29.28515625" style="47" customWidth="1"/>
    <col min="1032" max="1036" width="0" style="47" hidden="1" customWidth="1"/>
    <col min="1037" max="1043" width="8.7109375" style="47" bestFit="1" customWidth="1"/>
    <col min="1044" max="1280" width="9.140625" style="47"/>
    <col min="1281" max="1281" width="7" style="47" customWidth="1"/>
    <col min="1282" max="1283" width="9.140625" style="47"/>
    <col min="1284" max="1284" width="4.5703125" style="47" bestFit="1" customWidth="1"/>
    <col min="1285" max="1285" width="5.140625" style="47" bestFit="1" customWidth="1"/>
    <col min="1286" max="1286" width="2" style="47" bestFit="1" customWidth="1"/>
    <col min="1287" max="1287" width="29.28515625" style="47" customWidth="1"/>
    <col min="1288" max="1292" width="0" style="47" hidden="1" customWidth="1"/>
    <col min="1293" max="1299" width="8.7109375" style="47" bestFit="1" customWidth="1"/>
    <col min="1300" max="1536" width="9.140625" style="47"/>
    <col min="1537" max="1537" width="7" style="47" customWidth="1"/>
    <col min="1538" max="1539" width="9.140625" style="47"/>
    <col min="1540" max="1540" width="4.5703125" style="47" bestFit="1" customWidth="1"/>
    <col min="1541" max="1541" width="5.140625" style="47" bestFit="1" customWidth="1"/>
    <col min="1542" max="1542" width="2" style="47" bestFit="1" customWidth="1"/>
    <col min="1543" max="1543" width="29.28515625" style="47" customWidth="1"/>
    <col min="1544" max="1548" width="0" style="47" hidden="1" customWidth="1"/>
    <col min="1549" max="1555" width="8.7109375" style="47" bestFit="1" customWidth="1"/>
    <col min="1556" max="1792" width="9.140625" style="47"/>
    <col min="1793" max="1793" width="7" style="47" customWidth="1"/>
    <col min="1794" max="1795" width="9.140625" style="47"/>
    <col min="1796" max="1796" width="4.5703125" style="47" bestFit="1" customWidth="1"/>
    <col min="1797" max="1797" width="5.140625" style="47" bestFit="1" customWidth="1"/>
    <col min="1798" max="1798" width="2" style="47" bestFit="1" customWidth="1"/>
    <col min="1799" max="1799" width="29.28515625" style="47" customWidth="1"/>
    <col min="1800" max="1804" width="0" style="47" hidden="1" customWidth="1"/>
    <col min="1805" max="1811" width="8.7109375" style="47" bestFit="1" customWidth="1"/>
    <col min="1812" max="2048" width="9.140625" style="47"/>
    <col min="2049" max="2049" width="7" style="47" customWidth="1"/>
    <col min="2050" max="2051" width="9.140625" style="47"/>
    <col min="2052" max="2052" width="4.5703125" style="47" bestFit="1" customWidth="1"/>
    <col min="2053" max="2053" width="5.140625" style="47" bestFit="1" customWidth="1"/>
    <col min="2054" max="2054" width="2" style="47" bestFit="1" customWidth="1"/>
    <col min="2055" max="2055" width="29.28515625" style="47" customWidth="1"/>
    <col min="2056" max="2060" width="0" style="47" hidden="1" customWidth="1"/>
    <col min="2061" max="2067" width="8.7109375" style="47" bestFit="1" customWidth="1"/>
    <col min="2068" max="2304" width="9.140625" style="47"/>
    <col min="2305" max="2305" width="7" style="47" customWidth="1"/>
    <col min="2306" max="2307" width="9.140625" style="47"/>
    <col min="2308" max="2308" width="4.5703125" style="47" bestFit="1" customWidth="1"/>
    <col min="2309" max="2309" width="5.140625" style="47" bestFit="1" customWidth="1"/>
    <col min="2310" max="2310" width="2" style="47" bestFit="1" customWidth="1"/>
    <col min="2311" max="2311" width="29.28515625" style="47" customWidth="1"/>
    <col min="2312" max="2316" width="0" style="47" hidden="1" customWidth="1"/>
    <col min="2317" max="2323" width="8.7109375" style="47" bestFit="1" customWidth="1"/>
    <col min="2324" max="2560" width="9.140625" style="47"/>
    <col min="2561" max="2561" width="7" style="47" customWidth="1"/>
    <col min="2562" max="2563" width="9.140625" style="47"/>
    <col min="2564" max="2564" width="4.5703125" style="47" bestFit="1" customWidth="1"/>
    <col min="2565" max="2565" width="5.140625" style="47" bestFit="1" customWidth="1"/>
    <col min="2566" max="2566" width="2" style="47" bestFit="1" customWidth="1"/>
    <col min="2567" max="2567" width="29.28515625" style="47" customWidth="1"/>
    <col min="2568" max="2572" width="0" style="47" hidden="1" customWidth="1"/>
    <col min="2573" max="2579" width="8.7109375" style="47" bestFit="1" customWidth="1"/>
    <col min="2580" max="2816" width="9.140625" style="47"/>
    <col min="2817" max="2817" width="7" style="47" customWidth="1"/>
    <col min="2818" max="2819" width="9.140625" style="47"/>
    <col min="2820" max="2820" width="4.5703125" style="47" bestFit="1" customWidth="1"/>
    <col min="2821" max="2821" width="5.140625" style="47" bestFit="1" customWidth="1"/>
    <col min="2822" max="2822" width="2" style="47" bestFit="1" customWidth="1"/>
    <col min="2823" max="2823" width="29.28515625" style="47" customWidth="1"/>
    <col min="2824" max="2828" width="0" style="47" hidden="1" customWidth="1"/>
    <col min="2829" max="2835" width="8.7109375" style="47" bestFit="1" customWidth="1"/>
    <col min="2836" max="3072" width="9.140625" style="47"/>
    <col min="3073" max="3073" width="7" style="47" customWidth="1"/>
    <col min="3074" max="3075" width="9.140625" style="47"/>
    <col min="3076" max="3076" width="4.5703125" style="47" bestFit="1" customWidth="1"/>
    <col min="3077" max="3077" width="5.140625" style="47" bestFit="1" customWidth="1"/>
    <col min="3078" max="3078" width="2" style="47" bestFit="1" customWidth="1"/>
    <col min="3079" max="3079" width="29.28515625" style="47" customWidth="1"/>
    <col min="3080" max="3084" width="0" style="47" hidden="1" customWidth="1"/>
    <col min="3085" max="3091" width="8.7109375" style="47" bestFit="1" customWidth="1"/>
    <col min="3092" max="3328" width="9.140625" style="47"/>
    <col min="3329" max="3329" width="7" style="47" customWidth="1"/>
    <col min="3330" max="3331" width="9.140625" style="47"/>
    <col min="3332" max="3332" width="4.5703125" style="47" bestFit="1" customWidth="1"/>
    <col min="3333" max="3333" width="5.140625" style="47" bestFit="1" customWidth="1"/>
    <col min="3334" max="3334" width="2" style="47" bestFit="1" customWidth="1"/>
    <col min="3335" max="3335" width="29.28515625" style="47" customWidth="1"/>
    <col min="3336" max="3340" width="0" style="47" hidden="1" customWidth="1"/>
    <col min="3341" max="3347" width="8.7109375" style="47" bestFit="1" customWidth="1"/>
    <col min="3348" max="3584" width="9.140625" style="47"/>
    <col min="3585" max="3585" width="7" style="47" customWidth="1"/>
    <col min="3586" max="3587" width="9.140625" style="47"/>
    <col min="3588" max="3588" width="4.5703125" style="47" bestFit="1" customWidth="1"/>
    <col min="3589" max="3589" width="5.140625" style="47" bestFit="1" customWidth="1"/>
    <col min="3590" max="3590" width="2" style="47" bestFit="1" customWidth="1"/>
    <col min="3591" max="3591" width="29.28515625" style="47" customWidth="1"/>
    <col min="3592" max="3596" width="0" style="47" hidden="1" customWidth="1"/>
    <col min="3597" max="3603" width="8.7109375" style="47" bestFit="1" customWidth="1"/>
    <col min="3604" max="3840" width="9.140625" style="47"/>
    <col min="3841" max="3841" width="7" style="47" customWidth="1"/>
    <col min="3842" max="3843" width="9.140625" style="47"/>
    <col min="3844" max="3844" width="4.5703125" style="47" bestFit="1" customWidth="1"/>
    <col min="3845" max="3845" width="5.140625" style="47" bestFit="1" customWidth="1"/>
    <col min="3846" max="3846" width="2" style="47" bestFit="1" customWidth="1"/>
    <col min="3847" max="3847" width="29.28515625" style="47" customWidth="1"/>
    <col min="3848" max="3852" width="0" style="47" hidden="1" customWidth="1"/>
    <col min="3853" max="3859" width="8.7109375" style="47" bestFit="1" customWidth="1"/>
    <col min="3860" max="4096" width="9.140625" style="47"/>
    <col min="4097" max="4097" width="7" style="47" customWidth="1"/>
    <col min="4098" max="4099" width="9.140625" style="47"/>
    <col min="4100" max="4100" width="4.5703125" style="47" bestFit="1" customWidth="1"/>
    <col min="4101" max="4101" width="5.140625" style="47" bestFit="1" customWidth="1"/>
    <col min="4102" max="4102" width="2" style="47" bestFit="1" customWidth="1"/>
    <col min="4103" max="4103" width="29.28515625" style="47" customWidth="1"/>
    <col min="4104" max="4108" width="0" style="47" hidden="1" customWidth="1"/>
    <col min="4109" max="4115" width="8.7109375" style="47" bestFit="1" customWidth="1"/>
    <col min="4116" max="4352" width="9.140625" style="47"/>
    <col min="4353" max="4353" width="7" style="47" customWidth="1"/>
    <col min="4354" max="4355" width="9.140625" style="47"/>
    <col min="4356" max="4356" width="4.5703125" style="47" bestFit="1" customWidth="1"/>
    <col min="4357" max="4357" width="5.140625" style="47" bestFit="1" customWidth="1"/>
    <col min="4358" max="4358" width="2" style="47" bestFit="1" customWidth="1"/>
    <col min="4359" max="4359" width="29.28515625" style="47" customWidth="1"/>
    <col min="4360" max="4364" width="0" style="47" hidden="1" customWidth="1"/>
    <col min="4365" max="4371" width="8.7109375" style="47" bestFit="1" customWidth="1"/>
    <col min="4372" max="4608" width="9.140625" style="47"/>
    <col min="4609" max="4609" width="7" style="47" customWidth="1"/>
    <col min="4610" max="4611" width="9.140625" style="47"/>
    <col min="4612" max="4612" width="4.5703125" style="47" bestFit="1" customWidth="1"/>
    <col min="4613" max="4613" width="5.140625" style="47" bestFit="1" customWidth="1"/>
    <col min="4614" max="4614" width="2" style="47" bestFit="1" customWidth="1"/>
    <col min="4615" max="4615" width="29.28515625" style="47" customWidth="1"/>
    <col min="4616" max="4620" width="0" style="47" hidden="1" customWidth="1"/>
    <col min="4621" max="4627" width="8.7109375" style="47" bestFit="1" customWidth="1"/>
    <col min="4628" max="4864" width="9.140625" style="47"/>
    <col min="4865" max="4865" width="7" style="47" customWidth="1"/>
    <col min="4866" max="4867" width="9.140625" style="47"/>
    <col min="4868" max="4868" width="4.5703125" style="47" bestFit="1" customWidth="1"/>
    <col min="4869" max="4869" width="5.140625" style="47" bestFit="1" customWidth="1"/>
    <col min="4870" max="4870" width="2" style="47" bestFit="1" customWidth="1"/>
    <col min="4871" max="4871" width="29.28515625" style="47" customWidth="1"/>
    <col min="4872" max="4876" width="0" style="47" hidden="1" customWidth="1"/>
    <col min="4877" max="4883" width="8.7109375" style="47" bestFit="1" customWidth="1"/>
    <col min="4884" max="5120" width="9.140625" style="47"/>
    <col min="5121" max="5121" width="7" style="47" customWidth="1"/>
    <col min="5122" max="5123" width="9.140625" style="47"/>
    <col min="5124" max="5124" width="4.5703125" style="47" bestFit="1" customWidth="1"/>
    <col min="5125" max="5125" width="5.140625" style="47" bestFit="1" customWidth="1"/>
    <col min="5126" max="5126" width="2" style="47" bestFit="1" customWidth="1"/>
    <col min="5127" max="5127" width="29.28515625" style="47" customWidth="1"/>
    <col min="5128" max="5132" width="0" style="47" hidden="1" customWidth="1"/>
    <col min="5133" max="5139" width="8.7109375" style="47" bestFit="1" customWidth="1"/>
    <col min="5140" max="5376" width="9.140625" style="47"/>
    <col min="5377" max="5377" width="7" style="47" customWidth="1"/>
    <col min="5378" max="5379" width="9.140625" style="47"/>
    <col min="5380" max="5380" width="4.5703125" style="47" bestFit="1" customWidth="1"/>
    <col min="5381" max="5381" width="5.140625" style="47" bestFit="1" customWidth="1"/>
    <col min="5382" max="5382" width="2" style="47" bestFit="1" customWidth="1"/>
    <col min="5383" max="5383" width="29.28515625" style="47" customWidth="1"/>
    <col min="5384" max="5388" width="0" style="47" hidden="1" customWidth="1"/>
    <col min="5389" max="5395" width="8.7109375" style="47" bestFit="1" customWidth="1"/>
    <col min="5396" max="5632" width="9.140625" style="47"/>
    <col min="5633" max="5633" width="7" style="47" customWidth="1"/>
    <col min="5634" max="5635" width="9.140625" style="47"/>
    <col min="5636" max="5636" width="4.5703125" style="47" bestFit="1" customWidth="1"/>
    <col min="5637" max="5637" width="5.140625" style="47" bestFit="1" customWidth="1"/>
    <col min="5638" max="5638" width="2" style="47" bestFit="1" customWidth="1"/>
    <col min="5639" max="5639" width="29.28515625" style="47" customWidth="1"/>
    <col min="5640" max="5644" width="0" style="47" hidden="1" customWidth="1"/>
    <col min="5645" max="5651" width="8.7109375" style="47" bestFit="1" customWidth="1"/>
    <col min="5652" max="5888" width="9.140625" style="47"/>
    <col min="5889" max="5889" width="7" style="47" customWidth="1"/>
    <col min="5890" max="5891" width="9.140625" style="47"/>
    <col min="5892" max="5892" width="4.5703125" style="47" bestFit="1" customWidth="1"/>
    <col min="5893" max="5893" width="5.140625" style="47" bestFit="1" customWidth="1"/>
    <col min="5894" max="5894" width="2" style="47" bestFit="1" customWidth="1"/>
    <col min="5895" max="5895" width="29.28515625" style="47" customWidth="1"/>
    <col min="5896" max="5900" width="0" style="47" hidden="1" customWidth="1"/>
    <col min="5901" max="5907" width="8.7109375" style="47" bestFit="1" customWidth="1"/>
    <col min="5908" max="6144" width="9.140625" style="47"/>
    <col min="6145" max="6145" width="7" style="47" customWidth="1"/>
    <col min="6146" max="6147" width="9.140625" style="47"/>
    <col min="6148" max="6148" width="4.5703125" style="47" bestFit="1" customWidth="1"/>
    <col min="6149" max="6149" width="5.140625" style="47" bestFit="1" customWidth="1"/>
    <col min="6150" max="6150" width="2" style="47" bestFit="1" customWidth="1"/>
    <col min="6151" max="6151" width="29.28515625" style="47" customWidth="1"/>
    <col min="6152" max="6156" width="0" style="47" hidden="1" customWidth="1"/>
    <col min="6157" max="6163" width="8.7109375" style="47" bestFit="1" customWidth="1"/>
    <col min="6164" max="6400" width="9.140625" style="47"/>
    <col min="6401" max="6401" width="7" style="47" customWidth="1"/>
    <col min="6402" max="6403" width="9.140625" style="47"/>
    <col min="6404" max="6404" width="4.5703125" style="47" bestFit="1" customWidth="1"/>
    <col min="6405" max="6405" width="5.140625" style="47" bestFit="1" customWidth="1"/>
    <col min="6406" max="6406" width="2" style="47" bestFit="1" customWidth="1"/>
    <col min="6407" max="6407" width="29.28515625" style="47" customWidth="1"/>
    <col min="6408" max="6412" width="0" style="47" hidden="1" customWidth="1"/>
    <col min="6413" max="6419" width="8.7109375" style="47" bestFit="1" customWidth="1"/>
    <col min="6420" max="6656" width="9.140625" style="47"/>
    <col min="6657" max="6657" width="7" style="47" customWidth="1"/>
    <col min="6658" max="6659" width="9.140625" style="47"/>
    <col min="6660" max="6660" width="4.5703125" style="47" bestFit="1" customWidth="1"/>
    <col min="6661" max="6661" width="5.140625" style="47" bestFit="1" customWidth="1"/>
    <col min="6662" max="6662" width="2" style="47" bestFit="1" customWidth="1"/>
    <col min="6663" max="6663" width="29.28515625" style="47" customWidth="1"/>
    <col min="6664" max="6668" width="0" style="47" hidden="1" customWidth="1"/>
    <col min="6669" max="6675" width="8.7109375" style="47" bestFit="1" customWidth="1"/>
    <col min="6676" max="6912" width="9.140625" style="47"/>
    <col min="6913" max="6913" width="7" style="47" customWidth="1"/>
    <col min="6914" max="6915" width="9.140625" style="47"/>
    <col min="6916" max="6916" width="4.5703125" style="47" bestFit="1" customWidth="1"/>
    <col min="6917" max="6917" width="5.140625" style="47" bestFit="1" customWidth="1"/>
    <col min="6918" max="6918" width="2" style="47" bestFit="1" customWidth="1"/>
    <col min="6919" max="6919" width="29.28515625" style="47" customWidth="1"/>
    <col min="6920" max="6924" width="0" style="47" hidden="1" customWidth="1"/>
    <col min="6925" max="6931" width="8.7109375" style="47" bestFit="1" customWidth="1"/>
    <col min="6932" max="7168" width="9.140625" style="47"/>
    <col min="7169" max="7169" width="7" style="47" customWidth="1"/>
    <col min="7170" max="7171" width="9.140625" style="47"/>
    <col min="7172" max="7172" width="4.5703125" style="47" bestFit="1" customWidth="1"/>
    <col min="7173" max="7173" width="5.140625" style="47" bestFit="1" customWidth="1"/>
    <col min="7174" max="7174" width="2" style="47" bestFit="1" customWidth="1"/>
    <col min="7175" max="7175" width="29.28515625" style="47" customWidth="1"/>
    <col min="7176" max="7180" width="0" style="47" hidden="1" customWidth="1"/>
    <col min="7181" max="7187" width="8.7109375" style="47" bestFit="1" customWidth="1"/>
    <col min="7188" max="7424" width="9.140625" style="47"/>
    <col min="7425" max="7425" width="7" style="47" customWidth="1"/>
    <col min="7426" max="7427" width="9.140625" style="47"/>
    <col min="7428" max="7428" width="4.5703125" style="47" bestFit="1" customWidth="1"/>
    <col min="7429" max="7429" width="5.140625" style="47" bestFit="1" customWidth="1"/>
    <col min="7430" max="7430" width="2" style="47" bestFit="1" customWidth="1"/>
    <col min="7431" max="7431" width="29.28515625" style="47" customWidth="1"/>
    <col min="7432" max="7436" width="0" style="47" hidden="1" customWidth="1"/>
    <col min="7437" max="7443" width="8.7109375" style="47" bestFit="1" customWidth="1"/>
    <col min="7444" max="7680" width="9.140625" style="47"/>
    <col min="7681" max="7681" width="7" style="47" customWidth="1"/>
    <col min="7682" max="7683" width="9.140625" style="47"/>
    <col min="7684" max="7684" width="4.5703125" style="47" bestFit="1" customWidth="1"/>
    <col min="7685" max="7685" width="5.140625" style="47" bestFit="1" customWidth="1"/>
    <col min="7686" max="7686" width="2" style="47" bestFit="1" customWidth="1"/>
    <col min="7687" max="7687" width="29.28515625" style="47" customWidth="1"/>
    <col min="7688" max="7692" width="0" style="47" hidden="1" customWidth="1"/>
    <col min="7693" max="7699" width="8.7109375" style="47" bestFit="1" customWidth="1"/>
    <col min="7700" max="7936" width="9.140625" style="47"/>
    <col min="7937" max="7937" width="7" style="47" customWidth="1"/>
    <col min="7938" max="7939" width="9.140625" style="47"/>
    <col min="7940" max="7940" width="4.5703125" style="47" bestFit="1" customWidth="1"/>
    <col min="7941" max="7941" width="5.140625" style="47" bestFit="1" customWidth="1"/>
    <col min="7942" max="7942" width="2" style="47" bestFit="1" customWidth="1"/>
    <col min="7943" max="7943" width="29.28515625" style="47" customWidth="1"/>
    <col min="7944" max="7948" width="0" style="47" hidden="1" customWidth="1"/>
    <col min="7949" max="7955" width="8.7109375" style="47" bestFit="1" customWidth="1"/>
    <col min="7956" max="8192" width="9.140625" style="47"/>
    <col min="8193" max="8193" width="7" style="47" customWidth="1"/>
    <col min="8194" max="8195" width="9.140625" style="47"/>
    <col min="8196" max="8196" width="4.5703125" style="47" bestFit="1" customWidth="1"/>
    <col min="8197" max="8197" width="5.140625" style="47" bestFit="1" customWidth="1"/>
    <col min="8198" max="8198" width="2" style="47" bestFit="1" customWidth="1"/>
    <col min="8199" max="8199" width="29.28515625" style="47" customWidth="1"/>
    <col min="8200" max="8204" width="0" style="47" hidden="1" customWidth="1"/>
    <col min="8205" max="8211" width="8.7109375" style="47" bestFit="1" customWidth="1"/>
    <col min="8212" max="8448" width="9.140625" style="47"/>
    <col min="8449" max="8449" width="7" style="47" customWidth="1"/>
    <col min="8450" max="8451" width="9.140625" style="47"/>
    <col min="8452" max="8452" width="4.5703125" style="47" bestFit="1" customWidth="1"/>
    <col min="8453" max="8453" width="5.140625" style="47" bestFit="1" customWidth="1"/>
    <col min="8454" max="8454" width="2" style="47" bestFit="1" customWidth="1"/>
    <col min="8455" max="8455" width="29.28515625" style="47" customWidth="1"/>
    <col min="8456" max="8460" width="0" style="47" hidden="1" customWidth="1"/>
    <col min="8461" max="8467" width="8.7109375" style="47" bestFit="1" customWidth="1"/>
    <col min="8468" max="8704" width="9.140625" style="47"/>
    <col min="8705" max="8705" width="7" style="47" customWidth="1"/>
    <col min="8706" max="8707" width="9.140625" style="47"/>
    <col min="8708" max="8708" width="4.5703125" style="47" bestFit="1" customWidth="1"/>
    <col min="8709" max="8709" width="5.140625" style="47" bestFit="1" customWidth="1"/>
    <col min="8710" max="8710" width="2" style="47" bestFit="1" customWidth="1"/>
    <col min="8711" max="8711" width="29.28515625" style="47" customWidth="1"/>
    <col min="8712" max="8716" width="0" style="47" hidden="1" customWidth="1"/>
    <col min="8717" max="8723" width="8.7109375" style="47" bestFit="1" customWidth="1"/>
    <col min="8724" max="8960" width="9.140625" style="47"/>
    <col min="8961" max="8961" width="7" style="47" customWidth="1"/>
    <col min="8962" max="8963" width="9.140625" style="47"/>
    <col min="8964" max="8964" width="4.5703125" style="47" bestFit="1" customWidth="1"/>
    <col min="8965" max="8965" width="5.140625" style="47" bestFit="1" customWidth="1"/>
    <col min="8966" max="8966" width="2" style="47" bestFit="1" customWidth="1"/>
    <col min="8967" max="8967" width="29.28515625" style="47" customWidth="1"/>
    <col min="8968" max="8972" width="0" style="47" hidden="1" customWidth="1"/>
    <col min="8973" max="8979" width="8.7109375" style="47" bestFit="1" customWidth="1"/>
    <col min="8980" max="9216" width="9.140625" style="47"/>
    <col min="9217" max="9217" width="7" style="47" customWidth="1"/>
    <col min="9218" max="9219" width="9.140625" style="47"/>
    <col min="9220" max="9220" width="4.5703125" style="47" bestFit="1" customWidth="1"/>
    <col min="9221" max="9221" width="5.140625" style="47" bestFit="1" customWidth="1"/>
    <col min="9222" max="9222" width="2" style="47" bestFit="1" customWidth="1"/>
    <col min="9223" max="9223" width="29.28515625" style="47" customWidth="1"/>
    <col min="9224" max="9228" width="0" style="47" hidden="1" customWidth="1"/>
    <col min="9229" max="9235" width="8.7109375" style="47" bestFit="1" customWidth="1"/>
    <col min="9236" max="9472" width="9.140625" style="47"/>
    <col min="9473" max="9473" width="7" style="47" customWidth="1"/>
    <col min="9474" max="9475" width="9.140625" style="47"/>
    <col min="9476" max="9476" width="4.5703125" style="47" bestFit="1" customWidth="1"/>
    <col min="9477" max="9477" width="5.140625" style="47" bestFit="1" customWidth="1"/>
    <col min="9478" max="9478" width="2" style="47" bestFit="1" customWidth="1"/>
    <col min="9479" max="9479" width="29.28515625" style="47" customWidth="1"/>
    <col min="9480" max="9484" width="0" style="47" hidden="1" customWidth="1"/>
    <col min="9485" max="9491" width="8.7109375" style="47" bestFit="1" customWidth="1"/>
    <col min="9492" max="9728" width="9.140625" style="47"/>
    <col min="9729" max="9729" width="7" style="47" customWidth="1"/>
    <col min="9730" max="9731" width="9.140625" style="47"/>
    <col min="9732" max="9732" width="4.5703125" style="47" bestFit="1" customWidth="1"/>
    <col min="9733" max="9733" width="5.140625" style="47" bestFit="1" customWidth="1"/>
    <col min="9734" max="9734" width="2" style="47" bestFit="1" customWidth="1"/>
    <col min="9735" max="9735" width="29.28515625" style="47" customWidth="1"/>
    <col min="9736" max="9740" width="0" style="47" hidden="1" customWidth="1"/>
    <col min="9741" max="9747" width="8.7109375" style="47" bestFit="1" customWidth="1"/>
    <col min="9748" max="9984" width="9.140625" style="47"/>
    <col min="9985" max="9985" width="7" style="47" customWidth="1"/>
    <col min="9986" max="9987" width="9.140625" style="47"/>
    <col min="9988" max="9988" width="4.5703125" style="47" bestFit="1" customWidth="1"/>
    <col min="9989" max="9989" width="5.140625" style="47" bestFit="1" customWidth="1"/>
    <col min="9990" max="9990" width="2" style="47" bestFit="1" customWidth="1"/>
    <col min="9991" max="9991" width="29.28515625" style="47" customWidth="1"/>
    <col min="9992" max="9996" width="0" style="47" hidden="1" customWidth="1"/>
    <col min="9997" max="10003" width="8.7109375" style="47" bestFit="1" customWidth="1"/>
    <col min="10004" max="10240" width="9.140625" style="47"/>
    <col min="10241" max="10241" width="7" style="47" customWidth="1"/>
    <col min="10242" max="10243" width="9.140625" style="47"/>
    <col min="10244" max="10244" width="4.5703125" style="47" bestFit="1" customWidth="1"/>
    <col min="10245" max="10245" width="5.140625" style="47" bestFit="1" customWidth="1"/>
    <col min="10246" max="10246" width="2" style="47" bestFit="1" customWidth="1"/>
    <col min="10247" max="10247" width="29.28515625" style="47" customWidth="1"/>
    <col min="10248" max="10252" width="0" style="47" hidden="1" customWidth="1"/>
    <col min="10253" max="10259" width="8.7109375" style="47" bestFit="1" customWidth="1"/>
    <col min="10260" max="10496" width="9.140625" style="47"/>
    <col min="10497" max="10497" width="7" style="47" customWidth="1"/>
    <col min="10498" max="10499" width="9.140625" style="47"/>
    <col min="10500" max="10500" width="4.5703125" style="47" bestFit="1" customWidth="1"/>
    <col min="10501" max="10501" width="5.140625" style="47" bestFit="1" customWidth="1"/>
    <col min="10502" max="10502" width="2" style="47" bestFit="1" customWidth="1"/>
    <col min="10503" max="10503" width="29.28515625" style="47" customWidth="1"/>
    <col min="10504" max="10508" width="0" style="47" hidden="1" customWidth="1"/>
    <col min="10509" max="10515" width="8.7109375" style="47" bestFit="1" customWidth="1"/>
    <col min="10516" max="10752" width="9.140625" style="47"/>
    <col min="10753" max="10753" width="7" style="47" customWidth="1"/>
    <col min="10754" max="10755" width="9.140625" style="47"/>
    <col min="10756" max="10756" width="4.5703125" style="47" bestFit="1" customWidth="1"/>
    <col min="10757" max="10757" width="5.140625" style="47" bestFit="1" customWidth="1"/>
    <col min="10758" max="10758" width="2" style="47" bestFit="1" customWidth="1"/>
    <col min="10759" max="10759" width="29.28515625" style="47" customWidth="1"/>
    <col min="10760" max="10764" width="0" style="47" hidden="1" customWidth="1"/>
    <col min="10765" max="10771" width="8.7109375" style="47" bestFit="1" customWidth="1"/>
    <col min="10772" max="11008" width="9.140625" style="47"/>
    <col min="11009" max="11009" width="7" style="47" customWidth="1"/>
    <col min="11010" max="11011" width="9.140625" style="47"/>
    <col min="11012" max="11012" width="4.5703125" style="47" bestFit="1" customWidth="1"/>
    <col min="11013" max="11013" width="5.140625" style="47" bestFit="1" customWidth="1"/>
    <col min="11014" max="11014" width="2" style="47" bestFit="1" customWidth="1"/>
    <col min="11015" max="11015" width="29.28515625" style="47" customWidth="1"/>
    <col min="11016" max="11020" width="0" style="47" hidden="1" customWidth="1"/>
    <col min="11021" max="11027" width="8.7109375" style="47" bestFit="1" customWidth="1"/>
    <col min="11028" max="11264" width="9.140625" style="47"/>
    <col min="11265" max="11265" width="7" style="47" customWidth="1"/>
    <col min="11266" max="11267" width="9.140625" style="47"/>
    <col min="11268" max="11268" width="4.5703125" style="47" bestFit="1" customWidth="1"/>
    <col min="11269" max="11269" width="5.140625" style="47" bestFit="1" customWidth="1"/>
    <col min="11270" max="11270" width="2" style="47" bestFit="1" customWidth="1"/>
    <col min="11271" max="11271" width="29.28515625" style="47" customWidth="1"/>
    <col min="11272" max="11276" width="0" style="47" hidden="1" customWidth="1"/>
    <col min="11277" max="11283" width="8.7109375" style="47" bestFit="1" customWidth="1"/>
    <col min="11284" max="11520" width="9.140625" style="47"/>
    <col min="11521" max="11521" width="7" style="47" customWidth="1"/>
    <col min="11522" max="11523" width="9.140625" style="47"/>
    <col min="11524" max="11524" width="4.5703125" style="47" bestFit="1" customWidth="1"/>
    <col min="11525" max="11525" width="5.140625" style="47" bestFit="1" customWidth="1"/>
    <col min="11526" max="11526" width="2" style="47" bestFit="1" customWidth="1"/>
    <col min="11527" max="11527" width="29.28515625" style="47" customWidth="1"/>
    <col min="11528" max="11532" width="0" style="47" hidden="1" customWidth="1"/>
    <col min="11533" max="11539" width="8.7109375" style="47" bestFit="1" customWidth="1"/>
    <col min="11540" max="11776" width="9.140625" style="47"/>
    <col min="11777" max="11777" width="7" style="47" customWidth="1"/>
    <col min="11778" max="11779" width="9.140625" style="47"/>
    <col min="11780" max="11780" width="4.5703125" style="47" bestFit="1" customWidth="1"/>
    <col min="11781" max="11781" width="5.140625" style="47" bestFit="1" customWidth="1"/>
    <col min="11782" max="11782" width="2" style="47" bestFit="1" customWidth="1"/>
    <col min="11783" max="11783" width="29.28515625" style="47" customWidth="1"/>
    <col min="11784" max="11788" width="0" style="47" hidden="1" customWidth="1"/>
    <col min="11789" max="11795" width="8.7109375" style="47" bestFit="1" customWidth="1"/>
    <col min="11796" max="12032" width="9.140625" style="47"/>
    <col min="12033" max="12033" width="7" style="47" customWidth="1"/>
    <col min="12034" max="12035" width="9.140625" style="47"/>
    <col min="12036" max="12036" width="4.5703125" style="47" bestFit="1" customWidth="1"/>
    <col min="12037" max="12037" width="5.140625" style="47" bestFit="1" customWidth="1"/>
    <col min="12038" max="12038" width="2" style="47" bestFit="1" customWidth="1"/>
    <col min="12039" max="12039" width="29.28515625" style="47" customWidth="1"/>
    <col min="12040" max="12044" width="0" style="47" hidden="1" customWidth="1"/>
    <col min="12045" max="12051" width="8.7109375" style="47" bestFit="1" customWidth="1"/>
    <col min="12052" max="12288" width="9.140625" style="47"/>
    <col min="12289" max="12289" width="7" style="47" customWidth="1"/>
    <col min="12290" max="12291" width="9.140625" style="47"/>
    <col min="12292" max="12292" width="4.5703125" style="47" bestFit="1" customWidth="1"/>
    <col min="12293" max="12293" width="5.140625" style="47" bestFit="1" customWidth="1"/>
    <col min="12294" max="12294" width="2" style="47" bestFit="1" customWidth="1"/>
    <col min="12295" max="12295" width="29.28515625" style="47" customWidth="1"/>
    <col min="12296" max="12300" width="0" style="47" hidden="1" customWidth="1"/>
    <col min="12301" max="12307" width="8.7109375" style="47" bestFit="1" customWidth="1"/>
    <col min="12308" max="12544" width="9.140625" style="47"/>
    <col min="12545" max="12545" width="7" style="47" customWidth="1"/>
    <col min="12546" max="12547" width="9.140625" style="47"/>
    <col min="12548" max="12548" width="4.5703125" style="47" bestFit="1" customWidth="1"/>
    <col min="12549" max="12549" width="5.140625" style="47" bestFit="1" customWidth="1"/>
    <col min="12550" max="12550" width="2" style="47" bestFit="1" customWidth="1"/>
    <col min="12551" max="12551" width="29.28515625" style="47" customWidth="1"/>
    <col min="12552" max="12556" width="0" style="47" hidden="1" customWidth="1"/>
    <col min="12557" max="12563" width="8.7109375" style="47" bestFit="1" customWidth="1"/>
    <col min="12564" max="12800" width="9.140625" style="47"/>
    <col min="12801" max="12801" width="7" style="47" customWidth="1"/>
    <col min="12802" max="12803" width="9.140625" style="47"/>
    <col min="12804" max="12804" width="4.5703125" style="47" bestFit="1" customWidth="1"/>
    <col min="12805" max="12805" width="5.140625" style="47" bestFit="1" customWidth="1"/>
    <col min="12806" max="12806" width="2" style="47" bestFit="1" customWidth="1"/>
    <col min="12807" max="12807" width="29.28515625" style="47" customWidth="1"/>
    <col min="12808" max="12812" width="0" style="47" hidden="1" customWidth="1"/>
    <col min="12813" max="12819" width="8.7109375" style="47" bestFit="1" customWidth="1"/>
    <col min="12820" max="13056" width="9.140625" style="47"/>
    <col min="13057" max="13057" width="7" style="47" customWidth="1"/>
    <col min="13058" max="13059" width="9.140625" style="47"/>
    <col min="13060" max="13060" width="4.5703125" style="47" bestFit="1" customWidth="1"/>
    <col min="13061" max="13061" width="5.140625" style="47" bestFit="1" customWidth="1"/>
    <col min="13062" max="13062" width="2" style="47" bestFit="1" customWidth="1"/>
    <col min="13063" max="13063" width="29.28515625" style="47" customWidth="1"/>
    <col min="13064" max="13068" width="0" style="47" hidden="1" customWidth="1"/>
    <col min="13069" max="13075" width="8.7109375" style="47" bestFit="1" customWidth="1"/>
    <col min="13076" max="13312" width="9.140625" style="47"/>
    <col min="13313" max="13313" width="7" style="47" customWidth="1"/>
    <col min="13314" max="13315" width="9.140625" style="47"/>
    <col min="13316" max="13316" width="4.5703125" style="47" bestFit="1" customWidth="1"/>
    <col min="13317" max="13317" width="5.140625" style="47" bestFit="1" customWidth="1"/>
    <col min="13318" max="13318" width="2" style="47" bestFit="1" customWidth="1"/>
    <col min="13319" max="13319" width="29.28515625" style="47" customWidth="1"/>
    <col min="13320" max="13324" width="0" style="47" hidden="1" customWidth="1"/>
    <col min="13325" max="13331" width="8.7109375" style="47" bestFit="1" customWidth="1"/>
    <col min="13332" max="13568" width="9.140625" style="47"/>
    <col min="13569" max="13569" width="7" style="47" customWidth="1"/>
    <col min="13570" max="13571" width="9.140625" style="47"/>
    <col min="13572" max="13572" width="4.5703125" style="47" bestFit="1" customWidth="1"/>
    <col min="13573" max="13573" width="5.140625" style="47" bestFit="1" customWidth="1"/>
    <col min="13574" max="13574" width="2" style="47" bestFit="1" customWidth="1"/>
    <col min="13575" max="13575" width="29.28515625" style="47" customWidth="1"/>
    <col min="13576" max="13580" width="0" style="47" hidden="1" customWidth="1"/>
    <col min="13581" max="13587" width="8.7109375" style="47" bestFit="1" customWidth="1"/>
    <col min="13588" max="13824" width="9.140625" style="47"/>
    <col min="13825" max="13825" width="7" style="47" customWidth="1"/>
    <col min="13826" max="13827" width="9.140625" style="47"/>
    <col min="13828" max="13828" width="4.5703125" style="47" bestFit="1" customWidth="1"/>
    <col min="13829" max="13829" width="5.140625" style="47" bestFit="1" customWidth="1"/>
    <col min="13830" max="13830" width="2" style="47" bestFit="1" customWidth="1"/>
    <col min="13831" max="13831" width="29.28515625" style="47" customWidth="1"/>
    <col min="13832" max="13836" width="0" style="47" hidden="1" customWidth="1"/>
    <col min="13837" max="13843" width="8.7109375" style="47" bestFit="1" customWidth="1"/>
    <col min="13844" max="14080" width="9.140625" style="47"/>
    <col min="14081" max="14081" width="7" style="47" customWidth="1"/>
    <col min="14082" max="14083" width="9.140625" style="47"/>
    <col min="14084" max="14084" width="4.5703125" style="47" bestFit="1" customWidth="1"/>
    <col min="14085" max="14085" width="5.140625" style="47" bestFit="1" customWidth="1"/>
    <col min="14086" max="14086" width="2" style="47" bestFit="1" customWidth="1"/>
    <col min="14087" max="14087" width="29.28515625" style="47" customWidth="1"/>
    <col min="14088" max="14092" width="0" style="47" hidden="1" customWidth="1"/>
    <col min="14093" max="14099" width="8.7109375" style="47" bestFit="1" customWidth="1"/>
    <col min="14100" max="14336" width="9.140625" style="47"/>
    <col min="14337" max="14337" width="7" style="47" customWidth="1"/>
    <col min="14338" max="14339" width="9.140625" style="47"/>
    <col min="14340" max="14340" width="4.5703125" style="47" bestFit="1" customWidth="1"/>
    <col min="14341" max="14341" width="5.140625" style="47" bestFit="1" customWidth="1"/>
    <col min="14342" max="14342" width="2" style="47" bestFit="1" customWidth="1"/>
    <col min="14343" max="14343" width="29.28515625" style="47" customWidth="1"/>
    <col min="14344" max="14348" width="0" style="47" hidden="1" customWidth="1"/>
    <col min="14349" max="14355" width="8.7109375" style="47" bestFit="1" customWidth="1"/>
    <col min="14356" max="14592" width="9.140625" style="47"/>
    <col min="14593" max="14593" width="7" style="47" customWidth="1"/>
    <col min="14594" max="14595" width="9.140625" style="47"/>
    <col min="14596" max="14596" width="4.5703125" style="47" bestFit="1" customWidth="1"/>
    <col min="14597" max="14597" width="5.140625" style="47" bestFit="1" customWidth="1"/>
    <col min="14598" max="14598" width="2" style="47" bestFit="1" customWidth="1"/>
    <col min="14599" max="14599" width="29.28515625" style="47" customWidth="1"/>
    <col min="14600" max="14604" width="0" style="47" hidden="1" customWidth="1"/>
    <col min="14605" max="14611" width="8.7109375" style="47" bestFit="1" customWidth="1"/>
    <col min="14612" max="14848" width="9.140625" style="47"/>
    <col min="14849" max="14849" width="7" style="47" customWidth="1"/>
    <col min="14850" max="14851" width="9.140625" style="47"/>
    <col min="14852" max="14852" width="4.5703125" style="47" bestFit="1" customWidth="1"/>
    <col min="14853" max="14853" width="5.140625" style="47" bestFit="1" customWidth="1"/>
    <col min="14854" max="14854" width="2" style="47" bestFit="1" customWidth="1"/>
    <col min="14855" max="14855" width="29.28515625" style="47" customWidth="1"/>
    <col min="14856" max="14860" width="0" style="47" hidden="1" customWidth="1"/>
    <col min="14861" max="14867" width="8.7109375" style="47" bestFit="1" customWidth="1"/>
    <col min="14868" max="15104" width="9.140625" style="47"/>
    <col min="15105" max="15105" width="7" style="47" customWidth="1"/>
    <col min="15106" max="15107" width="9.140625" style="47"/>
    <col min="15108" max="15108" width="4.5703125" style="47" bestFit="1" customWidth="1"/>
    <col min="15109" max="15109" width="5.140625" style="47" bestFit="1" customWidth="1"/>
    <col min="15110" max="15110" width="2" style="47" bestFit="1" customWidth="1"/>
    <col min="15111" max="15111" width="29.28515625" style="47" customWidth="1"/>
    <col min="15112" max="15116" width="0" style="47" hidden="1" customWidth="1"/>
    <col min="15117" max="15123" width="8.7109375" style="47" bestFit="1" customWidth="1"/>
    <col min="15124" max="15360" width="9.140625" style="47"/>
    <col min="15361" max="15361" width="7" style="47" customWidth="1"/>
    <col min="15362" max="15363" width="9.140625" style="47"/>
    <col min="15364" max="15364" width="4.5703125" style="47" bestFit="1" customWidth="1"/>
    <col min="15365" max="15365" width="5.140625" style="47" bestFit="1" customWidth="1"/>
    <col min="15366" max="15366" width="2" style="47" bestFit="1" customWidth="1"/>
    <col min="15367" max="15367" width="29.28515625" style="47" customWidth="1"/>
    <col min="15368" max="15372" width="0" style="47" hidden="1" customWidth="1"/>
    <col min="15373" max="15379" width="8.7109375" style="47" bestFit="1" customWidth="1"/>
    <col min="15380" max="15616" width="9.140625" style="47"/>
    <col min="15617" max="15617" width="7" style="47" customWidth="1"/>
    <col min="15618" max="15619" width="9.140625" style="47"/>
    <col min="15620" max="15620" width="4.5703125" style="47" bestFit="1" customWidth="1"/>
    <col min="15621" max="15621" width="5.140625" style="47" bestFit="1" customWidth="1"/>
    <col min="15622" max="15622" width="2" style="47" bestFit="1" customWidth="1"/>
    <col min="15623" max="15623" width="29.28515625" style="47" customWidth="1"/>
    <col min="15624" max="15628" width="0" style="47" hidden="1" customWidth="1"/>
    <col min="15629" max="15635" width="8.7109375" style="47" bestFit="1" customWidth="1"/>
    <col min="15636" max="15872" width="9.140625" style="47"/>
    <col min="15873" max="15873" width="7" style="47" customWidth="1"/>
    <col min="15874" max="15875" width="9.140625" style="47"/>
    <col min="15876" max="15876" width="4.5703125" style="47" bestFit="1" customWidth="1"/>
    <col min="15877" max="15877" width="5.140625" style="47" bestFit="1" customWidth="1"/>
    <col min="15878" max="15878" width="2" style="47" bestFit="1" customWidth="1"/>
    <col min="15879" max="15879" width="29.28515625" style="47" customWidth="1"/>
    <col min="15880" max="15884" width="0" style="47" hidden="1" customWidth="1"/>
    <col min="15885" max="15891" width="8.7109375" style="47" bestFit="1" customWidth="1"/>
    <col min="15892" max="16128" width="9.140625" style="47"/>
    <col min="16129" max="16129" width="7" style="47" customWidth="1"/>
    <col min="16130" max="16131" width="9.140625" style="47"/>
    <col min="16132" max="16132" width="4.5703125" style="47" bestFit="1" customWidth="1"/>
    <col min="16133" max="16133" width="5.140625" style="47" bestFit="1" customWidth="1"/>
    <col min="16134" max="16134" width="2" style="47" bestFit="1" customWidth="1"/>
    <col min="16135" max="16135" width="29.28515625" style="47" customWidth="1"/>
    <col min="16136" max="16140" width="0" style="47" hidden="1" customWidth="1"/>
    <col min="16141" max="16147" width="8.7109375" style="47" bestFit="1" customWidth="1"/>
    <col min="16148" max="16384" width="9.140625" style="47"/>
  </cols>
  <sheetData>
    <row r="1" spans="1:19" x14ac:dyDescent="0.2">
      <c r="A1" s="1"/>
      <c r="B1" s="2"/>
      <c r="C1" s="3"/>
      <c r="D1" s="3"/>
      <c r="E1" s="1"/>
      <c r="F1" s="1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</row>
    <row r="2" spans="1:19" x14ac:dyDescent="0.2">
      <c r="A2" s="3" t="s">
        <v>0</v>
      </c>
      <c r="B2" s="5" t="s">
        <v>1</v>
      </c>
      <c r="C2" s="3" t="s">
        <v>2</v>
      </c>
      <c r="D2" s="3"/>
      <c r="E2" s="1" t="s">
        <v>3</v>
      </c>
      <c r="F2" s="1"/>
      <c r="G2" s="185" t="s">
        <v>579</v>
      </c>
      <c r="H2" s="50"/>
      <c r="I2" s="51"/>
      <c r="J2" s="51"/>
      <c r="K2" s="50"/>
      <c r="L2" s="52"/>
      <c r="M2" s="71" t="s">
        <v>366</v>
      </c>
      <c r="N2" s="122"/>
      <c r="O2" s="72"/>
      <c r="P2" s="72"/>
      <c r="Q2" s="72"/>
      <c r="R2" s="73"/>
    </row>
    <row r="3" spans="1:19" x14ac:dyDescent="0.2">
      <c r="A3" s="1"/>
      <c r="B3" s="6"/>
      <c r="C3" s="3"/>
      <c r="D3" s="3"/>
      <c r="E3" s="1"/>
      <c r="F3" s="1"/>
      <c r="G3" s="53" t="s">
        <v>4</v>
      </c>
      <c r="H3" s="186">
        <v>40908</v>
      </c>
      <c r="I3" s="186">
        <v>41274</v>
      </c>
      <c r="J3" s="186">
        <v>41639</v>
      </c>
      <c r="K3" s="186">
        <v>42004</v>
      </c>
      <c r="L3" s="54">
        <v>42369</v>
      </c>
      <c r="M3" s="54">
        <v>42735</v>
      </c>
      <c r="N3" s="54">
        <v>43100</v>
      </c>
      <c r="O3" s="54">
        <v>43465</v>
      </c>
      <c r="P3" s="54">
        <v>43830</v>
      </c>
      <c r="Q3" s="54">
        <v>44196</v>
      </c>
      <c r="R3" s="54">
        <v>44561</v>
      </c>
      <c r="S3" s="54">
        <v>44926</v>
      </c>
    </row>
    <row r="4" spans="1:19" x14ac:dyDescent="0.2">
      <c r="A4" s="7"/>
      <c r="B4" s="2" t="s">
        <v>5</v>
      </c>
      <c r="C4" s="3">
        <v>1</v>
      </c>
      <c r="D4" s="3"/>
      <c r="E4" s="5"/>
      <c r="F4" s="7"/>
      <c r="G4" s="55" t="s">
        <v>6</v>
      </c>
      <c r="H4" s="56">
        <f t="shared" ref="H4:S4" si="0">H5+H10</f>
        <v>0</v>
      </c>
      <c r="I4" s="56">
        <f t="shared" si="0"/>
        <v>0</v>
      </c>
      <c r="J4" s="56">
        <f t="shared" si="0"/>
        <v>1220.9749999999999</v>
      </c>
      <c r="K4" s="56">
        <f t="shared" si="0"/>
        <v>1170.0449999999998</v>
      </c>
      <c r="L4" s="56">
        <f t="shared" si="0"/>
        <v>1276.0529999999999</v>
      </c>
      <c r="M4" s="56">
        <f t="shared" si="0"/>
        <v>2316</v>
      </c>
      <c r="N4" s="56">
        <f t="shared" si="0"/>
        <v>2344</v>
      </c>
      <c r="O4" s="56">
        <f t="shared" si="0"/>
        <v>4917</v>
      </c>
      <c r="P4" s="56">
        <f t="shared" si="0"/>
        <v>6084</v>
      </c>
      <c r="Q4" s="56">
        <f t="shared" si="0"/>
        <v>5705</v>
      </c>
      <c r="R4" s="56">
        <f t="shared" si="0"/>
        <v>5334</v>
      </c>
      <c r="S4" s="56">
        <f t="shared" si="0"/>
        <v>4993</v>
      </c>
    </row>
    <row r="5" spans="1:19" x14ac:dyDescent="0.2">
      <c r="A5" s="8"/>
      <c r="B5" s="2" t="s">
        <v>7</v>
      </c>
      <c r="C5" s="3">
        <v>10</v>
      </c>
      <c r="D5" s="3"/>
      <c r="E5" s="9"/>
      <c r="G5" s="57" t="s">
        <v>8</v>
      </c>
      <c r="H5" s="56">
        <f t="shared" ref="H5:R5" si="1">SUM(H6:H9)</f>
        <v>0</v>
      </c>
      <c r="I5" s="56">
        <f t="shared" si="1"/>
        <v>0</v>
      </c>
      <c r="J5" s="56">
        <f t="shared" si="1"/>
        <v>83.557000000000002</v>
      </c>
      <c r="K5" s="56">
        <f t="shared" si="1"/>
        <v>32.548999999999999</v>
      </c>
      <c r="L5" s="56">
        <f t="shared" si="1"/>
        <v>69.62</v>
      </c>
      <c r="M5" s="56">
        <f t="shared" si="1"/>
        <v>186</v>
      </c>
      <c r="N5" s="56">
        <f t="shared" si="1"/>
        <v>111</v>
      </c>
      <c r="O5" s="56">
        <f t="shared" si="1"/>
        <v>116</v>
      </c>
      <c r="P5" s="56">
        <f t="shared" si="1"/>
        <v>204</v>
      </c>
      <c r="Q5" s="56">
        <f t="shared" si="1"/>
        <v>195</v>
      </c>
      <c r="R5" s="56">
        <f t="shared" si="1"/>
        <v>195</v>
      </c>
      <c r="S5" s="56">
        <f>SUM(S6:S9)</f>
        <v>227</v>
      </c>
    </row>
    <row r="6" spans="1:19" ht="12" x14ac:dyDescent="0.2">
      <c r="A6" s="8"/>
      <c r="B6" s="2" t="s">
        <v>9</v>
      </c>
      <c r="C6" s="10" t="s">
        <v>10</v>
      </c>
      <c r="D6" s="10"/>
      <c r="E6" s="11" t="s">
        <v>11</v>
      </c>
      <c r="G6" s="57" t="s">
        <v>12</v>
      </c>
      <c r="H6" s="58">
        <v>0</v>
      </c>
      <c r="I6" s="58">
        <v>0</v>
      </c>
      <c r="J6" s="58">
        <v>41.767000000000003</v>
      </c>
      <c r="K6" s="58">
        <v>7.2930000000000001</v>
      </c>
      <c r="L6" s="58">
        <v>36.427</v>
      </c>
      <c r="M6" s="58">
        <v>179</v>
      </c>
      <c r="N6" s="76">
        <v>23</v>
      </c>
      <c r="O6" s="76">
        <v>82</v>
      </c>
      <c r="P6" s="76">
        <v>144</v>
      </c>
      <c r="Q6" s="76">
        <v>129</v>
      </c>
      <c r="R6" s="76">
        <v>125</v>
      </c>
      <c r="S6" s="58">
        <v>149</v>
      </c>
    </row>
    <row r="7" spans="1:19" ht="12" x14ac:dyDescent="0.2">
      <c r="A7" s="8"/>
      <c r="B7" s="2" t="s">
        <v>13</v>
      </c>
      <c r="C7" s="10" t="s">
        <v>14</v>
      </c>
      <c r="D7" s="10"/>
      <c r="E7" s="11" t="s">
        <v>11</v>
      </c>
      <c r="G7" s="57" t="s">
        <v>15</v>
      </c>
      <c r="H7" s="58">
        <v>0</v>
      </c>
      <c r="I7" s="58">
        <v>0</v>
      </c>
      <c r="J7" s="58">
        <v>33.57</v>
      </c>
      <c r="K7" s="58">
        <v>20.48</v>
      </c>
      <c r="L7" s="58">
        <v>23.193000000000001</v>
      </c>
      <c r="M7" s="58">
        <v>7</v>
      </c>
      <c r="N7" s="76">
        <v>88</v>
      </c>
      <c r="O7" s="76">
        <f>27+7</f>
        <v>34</v>
      </c>
      <c r="P7" s="76">
        <f>40+20</f>
        <v>60</v>
      </c>
      <c r="Q7" s="76">
        <f>46+20</f>
        <v>66</v>
      </c>
      <c r="R7" s="76">
        <f>50+20</f>
        <v>70</v>
      </c>
      <c r="S7" s="58">
        <f>53+20+5</f>
        <v>78</v>
      </c>
    </row>
    <row r="8" spans="1:19" ht="12" x14ac:dyDescent="0.2">
      <c r="A8" s="8"/>
      <c r="B8" s="2" t="s">
        <v>16</v>
      </c>
      <c r="C8" s="10" t="s">
        <v>17</v>
      </c>
      <c r="D8" s="10"/>
      <c r="E8" s="11" t="s">
        <v>11</v>
      </c>
      <c r="G8" s="57" t="s">
        <v>18</v>
      </c>
      <c r="H8" s="58">
        <v>0</v>
      </c>
      <c r="I8" s="58">
        <v>0</v>
      </c>
      <c r="J8" s="58">
        <v>0</v>
      </c>
      <c r="K8" s="58">
        <v>0</v>
      </c>
      <c r="L8" s="58">
        <v>0</v>
      </c>
      <c r="M8" s="58">
        <v>0</v>
      </c>
      <c r="N8" s="76">
        <v>0</v>
      </c>
      <c r="O8" s="76">
        <v>0</v>
      </c>
      <c r="P8" s="76">
        <v>0</v>
      </c>
      <c r="Q8" s="76">
        <v>0</v>
      </c>
      <c r="R8" s="76">
        <v>0</v>
      </c>
      <c r="S8" s="58">
        <v>0</v>
      </c>
    </row>
    <row r="9" spans="1:19" x14ac:dyDescent="0.2">
      <c r="A9" s="8"/>
      <c r="B9" s="2" t="s">
        <v>19</v>
      </c>
      <c r="C9" s="10">
        <v>108</v>
      </c>
      <c r="D9" s="10"/>
      <c r="E9" s="12"/>
      <c r="G9" s="57" t="s">
        <v>20</v>
      </c>
      <c r="H9" s="58">
        <v>0</v>
      </c>
      <c r="I9" s="58">
        <v>0</v>
      </c>
      <c r="J9" s="58">
        <v>8.2200000000000006</v>
      </c>
      <c r="K9" s="58">
        <v>4.7759999999999998</v>
      </c>
      <c r="L9" s="58">
        <v>10</v>
      </c>
      <c r="M9" s="58">
        <v>0</v>
      </c>
      <c r="N9" s="76">
        <v>0</v>
      </c>
      <c r="O9" s="76">
        <v>0</v>
      </c>
      <c r="P9" s="76">
        <v>0</v>
      </c>
      <c r="Q9" s="76">
        <v>0</v>
      </c>
      <c r="R9" s="76">
        <v>0</v>
      </c>
      <c r="S9" s="58">
        <v>0</v>
      </c>
    </row>
    <row r="10" spans="1:19" x14ac:dyDescent="0.2">
      <c r="A10" s="13"/>
      <c r="B10" s="2" t="s">
        <v>21</v>
      </c>
      <c r="C10" s="14">
        <v>15</v>
      </c>
      <c r="D10" s="14"/>
      <c r="E10" s="12"/>
      <c r="F10" s="13"/>
      <c r="G10" s="57" t="s">
        <v>22</v>
      </c>
      <c r="H10" s="56">
        <f t="shared" ref="H10:S10" si="2">SUM(H11:H16)</f>
        <v>0</v>
      </c>
      <c r="I10" s="56">
        <f t="shared" si="2"/>
        <v>0</v>
      </c>
      <c r="J10" s="56">
        <f t="shared" si="2"/>
        <v>1137.4179999999999</v>
      </c>
      <c r="K10" s="56">
        <f t="shared" si="2"/>
        <v>1137.4959999999999</v>
      </c>
      <c r="L10" s="56">
        <f t="shared" si="2"/>
        <v>1206.433</v>
      </c>
      <c r="M10" s="56">
        <f t="shared" si="2"/>
        <v>2130</v>
      </c>
      <c r="N10" s="77">
        <f t="shared" si="2"/>
        <v>2233</v>
      </c>
      <c r="O10" s="77">
        <f t="shared" si="2"/>
        <v>4801</v>
      </c>
      <c r="P10" s="77">
        <f t="shared" si="2"/>
        <v>5880</v>
      </c>
      <c r="Q10" s="77">
        <f t="shared" si="2"/>
        <v>5510</v>
      </c>
      <c r="R10" s="77">
        <f t="shared" si="2"/>
        <v>5139</v>
      </c>
      <c r="S10" s="56">
        <f t="shared" si="2"/>
        <v>4766</v>
      </c>
    </row>
    <row r="11" spans="1:19" ht="12" x14ac:dyDescent="0.2">
      <c r="A11" s="13"/>
      <c r="B11" s="2" t="s">
        <v>23</v>
      </c>
      <c r="C11" s="14">
        <v>150</v>
      </c>
      <c r="D11" s="14"/>
      <c r="E11" s="11" t="s">
        <v>11</v>
      </c>
      <c r="F11" s="13"/>
      <c r="G11" s="57" t="s">
        <v>24</v>
      </c>
      <c r="H11" s="58">
        <v>0</v>
      </c>
      <c r="I11" s="58">
        <v>0</v>
      </c>
      <c r="J11" s="58">
        <v>0</v>
      </c>
      <c r="K11" s="58">
        <v>0</v>
      </c>
      <c r="L11" s="58">
        <v>0</v>
      </c>
      <c r="M11" s="58">
        <v>0</v>
      </c>
      <c r="N11" s="76">
        <v>0</v>
      </c>
      <c r="O11" s="76">
        <v>0</v>
      </c>
      <c r="P11" s="76">
        <v>0</v>
      </c>
      <c r="Q11" s="76">
        <v>0</v>
      </c>
      <c r="R11" s="76">
        <v>0</v>
      </c>
      <c r="S11" s="58">
        <v>0</v>
      </c>
    </row>
    <row r="12" spans="1:19" ht="12" x14ac:dyDescent="0.2">
      <c r="A12" s="13"/>
      <c r="B12" s="2" t="s">
        <v>25</v>
      </c>
      <c r="C12" s="14">
        <v>151</v>
      </c>
      <c r="D12" s="14"/>
      <c r="E12" s="11" t="s">
        <v>11</v>
      </c>
      <c r="F12" s="13"/>
      <c r="G12" s="57" t="s">
        <v>26</v>
      </c>
      <c r="H12" s="58">
        <v>0</v>
      </c>
      <c r="I12" s="58">
        <v>0</v>
      </c>
      <c r="J12" s="58">
        <v>0</v>
      </c>
      <c r="K12" s="58">
        <v>0</v>
      </c>
      <c r="L12" s="58">
        <v>0</v>
      </c>
      <c r="M12" s="58">
        <v>0</v>
      </c>
      <c r="N12" s="76">
        <v>0</v>
      </c>
      <c r="O12" s="76">
        <v>0</v>
      </c>
      <c r="P12" s="76">
        <v>0</v>
      </c>
      <c r="Q12" s="76">
        <v>0</v>
      </c>
      <c r="R12" s="76">
        <v>0</v>
      </c>
      <c r="S12" s="58">
        <v>0</v>
      </c>
    </row>
    <row r="13" spans="1:19" ht="12" x14ac:dyDescent="0.2">
      <c r="A13" s="8"/>
      <c r="B13" s="2" t="s">
        <v>27</v>
      </c>
      <c r="C13" s="10" t="s">
        <v>28</v>
      </c>
      <c r="D13" s="10"/>
      <c r="E13" s="11" t="s">
        <v>11</v>
      </c>
      <c r="G13" s="57" t="s">
        <v>29</v>
      </c>
      <c r="H13" s="58">
        <v>0</v>
      </c>
      <c r="I13" s="58">
        <v>0</v>
      </c>
      <c r="J13" s="58">
        <v>0</v>
      </c>
      <c r="K13" s="58">
        <v>2.1</v>
      </c>
      <c r="L13" s="58">
        <v>0</v>
      </c>
      <c r="M13" s="58">
        <v>0</v>
      </c>
      <c r="N13" s="76">
        <v>0</v>
      </c>
      <c r="O13" s="76">
        <v>0</v>
      </c>
      <c r="P13" s="76">
        <v>0</v>
      </c>
      <c r="Q13" s="76">
        <v>0</v>
      </c>
      <c r="R13" s="76">
        <v>0</v>
      </c>
      <c r="S13" s="58">
        <v>0</v>
      </c>
    </row>
    <row r="14" spans="1:19" ht="12" x14ac:dyDescent="0.2">
      <c r="A14" s="8"/>
      <c r="B14" s="2" t="s">
        <v>30</v>
      </c>
      <c r="C14" s="10">
        <v>154</v>
      </c>
      <c r="D14" s="10"/>
      <c r="E14" s="11" t="s">
        <v>11</v>
      </c>
      <c r="G14" s="57" t="s">
        <v>31</v>
      </c>
      <c r="H14" s="58">
        <v>0</v>
      </c>
      <c r="I14" s="58">
        <v>0</v>
      </c>
      <c r="J14" s="58">
        <v>0</v>
      </c>
      <c r="K14" s="58">
        <v>0</v>
      </c>
      <c r="L14" s="58">
        <v>0</v>
      </c>
      <c r="M14" s="58">
        <v>0</v>
      </c>
      <c r="N14" s="76">
        <v>0</v>
      </c>
      <c r="O14" s="76">
        <v>0</v>
      </c>
      <c r="P14" s="76">
        <v>0</v>
      </c>
      <c r="Q14" s="76">
        <v>0</v>
      </c>
      <c r="R14" s="76">
        <v>0</v>
      </c>
      <c r="S14" s="58">
        <v>0</v>
      </c>
    </row>
    <row r="15" spans="1:19" ht="12" x14ac:dyDescent="0.2">
      <c r="A15" s="8"/>
      <c r="B15" s="2" t="s">
        <v>32</v>
      </c>
      <c r="C15" s="10" t="s">
        <v>33</v>
      </c>
      <c r="D15" s="10"/>
      <c r="E15" s="11" t="s">
        <v>11</v>
      </c>
      <c r="G15" s="57" t="s">
        <v>34</v>
      </c>
      <c r="H15" s="58">
        <v>0</v>
      </c>
      <c r="I15" s="58">
        <v>0</v>
      </c>
      <c r="J15" s="58">
        <v>1137.4179999999999</v>
      </c>
      <c r="K15" s="58">
        <v>1135.396</v>
      </c>
      <c r="L15" s="58">
        <v>1206.433</v>
      </c>
      <c r="M15" s="58">
        <v>2130</v>
      </c>
      <c r="N15" s="76">
        <v>2233</v>
      </c>
      <c r="O15" s="76">
        <v>4801</v>
      </c>
      <c r="P15" s="76">
        <v>5880</v>
      </c>
      <c r="Q15" s="76">
        <v>5510</v>
      </c>
      <c r="R15" s="76">
        <v>5139</v>
      </c>
      <c r="S15" s="58">
        <v>4766</v>
      </c>
    </row>
    <row r="16" spans="1:19" ht="12" x14ac:dyDescent="0.2">
      <c r="A16" s="8"/>
      <c r="B16" s="2" t="s">
        <v>35</v>
      </c>
      <c r="C16" s="10">
        <v>157</v>
      </c>
      <c r="D16" s="10"/>
      <c r="E16" s="11" t="s">
        <v>11</v>
      </c>
      <c r="G16" s="57" t="s">
        <v>36</v>
      </c>
      <c r="H16" s="58">
        <v>0</v>
      </c>
      <c r="I16" s="58">
        <v>0</v>
      </c>
      <c r="J16" s="58">
        <v>0</v>
      </c>
      <c r="K16" s="58">
        <v>0</v>
      </c>
      <c r="L16" s="58">
        <v>0</v>
      </c>
      <c r="M16" s="58">
        <v>0</v>
      </c>
      <c r="N16" s="76">
        <v>0</v>
      </c>
      <c r="O16" s="76">
        <v>0</v>
      </c>
      <c r="P16" s="76">
        <v>0</v>
      </c>
      <c r="Q16" s="76">
        <v>0</v>
      </c>
      <c r="R16" s="76">
        <v>0</v>
      </c>
      <c r="S16" s="58">
        <v>0</v>
      </c>
    </row>
    <row r="17" spans="1:19" ht="12" x14ac:dyDescent="0.2">
      <c r="A17" s="15"/>
      <c r="B17" s="2" t="s">
        <v>37</v>
      </c>
      <c r="C17" s="78" t="s">
        <v>38</v>
      </c>
      <c r="D17" s="15"/>
      <c r="E17" s="11" t="s">
        <v>11</v>
      </c>
      <c r="F17" s="16"/>
      <c r="G17" s="59" t="s">
        <v>39</v>
      </c>
      <c r="H17" s="60">
        <v>0</v>
      </c>
      <c r="I17" s="60">
        <v>0</v>
      </c>
      <c r="J17" s="60">
        <v>0</v>
      </c>
      <c r="K17" s="60">
        <v>0</v>
      </c>
      <c r="L17" s="60">
        <v>0</v>
      </c>
      <c r="M17" s="60">
        <v>0</v>
      </c>
      <c r="N17" s="80">
        <v>0</v>
      </c>
      <c r="O17" s="80">
        <v>0</v>
      </c>
      <c r="P17" s="80">
        <v>0</v>
      </c>
      <c r="Q17" s="80">
        <v>0</v>
      </c>
      <c r="R17" s="80">
        <v>0</v>
      </c>
      <c r="S17" s="60">
        <v>0</v>
      </c>
    </row>
    <row r="18" spans="1:19" x14ac:dyDescent="0.2">
      <c r="A18" s="8"/>
      <c r="B18" s="2" t="s">
        <v>40</v>
      </c>
      <c r="C18" s="10">
        <v>2</v>
      </c>
      <c r="D18" s="10"/>
      <c r="E18" s="12"/>
      <c r="G18" s="57" t="s">
        <v>41</v>
      </c>
      <c r="H18" s="56">
        <f t="shared" ref="H18:S18" si="3">H19+H27</f>
        <v>0</v>
      </c>
      <c r="I18" s="56">
        <f t="shared" si="3"/>
        <v>0</v>
      </c>
      <c r="J18" s="56">
        <f t="shared" si="3"/>
        <v>1220.9760000000001</v>
      </c>
      <c r="K18" s="56">
        <f t="shared" si="3"/>
        <v>1170.046</v>
      </c>
      <c r="L18" s="56">
        <f t="shared" si="3"/>
        <v>1276.03</v>
      </c>
      <c r="M18" s="56">
        <f t="shared" si="3"/>
        <v>2316.4929999999999</v>
      </c>
      <c r="N18" s="77">
        <f t="shared" si="3"/>
        <v>2343.598</v>
      </c>
      <c r="O18" s="77">
        <f t="shared" si="3"/>
        <v>4916.598</v>
      </c>
      <c r="P18" s="77">
        <f t="shared" si="3"/>
        <v>6083.598</v>
      </c>
      <c r="Q18" s="77">
        <f t="shared" si="3"/>
        <v>5704.598</v>
      </c>
      <c r="R18" s="77">
        <f t="shared" si="3"/>
        <v>5333.598</v>
      </c>
      <c r="S18" s="56">
        <f t="shared" si="3"/>
        <v>4992.598</v>
      </c>
    </row>
    <row r="19" spans="1:19" x14ac:dyDescent="0.2">
      <c r="A19" s="8"/>
      <c r="B19" s="2" t="s">
        <v>42</v>
      </c>
      <c r="C19" s="10" t="s">
        <v>43</v>
      </c>
      <c r="D19" s="10"/>
      <c r="E19" s="12"/>
      <c r="G19" s="57" t="s">
        <v>44</v>
      </c>
      <c r="H19" s="56">
        <f t="shared" ref="H19:S19" si="4">SUM(H21:H26)</f>
        <v>0</v>
      </c>
      <c r="I19" s="56">
        <f t="shared" si="4"/>
        <v>0</v>
      </c>
      <c r="J19" s="56">
        <f t="shared" si="4"/>
        <v>46.401000000000003</v>
      </c>
      <c r="K19" s="56">
        <f t="shared" si="4"/>
        <v>50.357999999999997</v>
      </c>
      <c r="L19" s="56">
        <f t="shared" si="4"/>
        <v>147.5</v>
      </c>
      <c r="M19" s="56">
        <f t="shared" si="4"/>
        <v>258.41000000000003</v>
      </c>
      <c r="N19" s="77">
        <f t="shared" si="4"/>
        <v>166</v>
      </c>
      <c r="O19" s="77">
        <f t="shared" si="4"/>
        <v>191</v>
      </c>
      <c r="P19" s="77">
        <f t="shared" si="4"/>
        <v>44</v>
      </c>
      <c r="Q19" s="77">
        <f t="shared" si="4"/>
        <v>35</v>
      </c>
      <c r="R19" s="77">
        <f t="shared" si="4"/>
        <v>35</v>
      </c>
      <c r="S19" s="56">
        <f t="shared" si="4"/>
        <v>40</v>
      </c>
    </row>
    <row r="20" spans="1:19" ht="12" x14ac:dyDescent="0.2">
      <c r="A20" s="17"/>
      <c r="B20" s="2" t="s">
        <v>45</v>
      </c>
      <c r="C20" s="78" t="s">
        <v>46</v>
      </c>
      <c r="D20" s="15"/>
      <c r="E20" s="11" t="s">
        <v>11</v>
      </c>
      <c r="F20" s="17"/>
      <c r="G20" s="59" t="s">
        <v>47</v>
      </c>
      <c r="H20" s="61">
        <v>0</v>
      </c>
      <c r="I20" s="61">
        <v>0</v>
      </c>
      <c r="J20" s="61">
        <v>46.401000000000003</v>
      </c>
      <c r="K20" s="61">
        <v>50.357999999999997</v>
      </c>
      <c r="L20" s="61">
        <v>124.113</v>
      </c>
      <c r="M20" s="61">
        <f>M21</f>
        <v>245</v>
      </c>
      <c r="N20" s="61">
        <f t="shared" ref="N20:S20" si="5">N21</f>
        <v>156</v>
      </c>
      <c r="O20" s="61">
        <f t="shared" si="5"/>
        <v>184</v>
      </c>
      <c r="P20" s="61">
        <f t="shared" si="5"/>
        <v>40</v>
      </c>
      <c r="Q20" s="61">
        <f t="shared" si="5"/>
        <v>35</v>
      </c>
      <c r="R20" s="61">
        <f t="shared" si="5"/>
        <v>35</v>
      </c>
      <c r="S20" s="61">
        <f t="shared" si="5"/>
        <v>40</v>
      </c>
    </row>
    <row r="21" spans="1:19" ht="12" x14ac:dyDescent="0.2">
      <c r="A21" s="8"/>
      <c r="B21" s="2" t="s">
        <v>48</v>
      </c>
      <c r="C21" s="18" t="s">
        <v>49</v>
      </c>
      <c r="D21" s="18"/>
      <c r="E21" s="11" t="s">
        <v>11</v>
      </c>
      <c r="G21" s="57" t="s">
        <v>50</v>
      </c>
      <c r="H21" s="58">
        <v>0</v>
      </c>
      <c r="I21" s="58">
        <v>0</v>
      </c>
      <c r="J21" s="58">
        <v>46.401000000000003</v>
      </c>
      <c r="K21" s="58">
        <v>50.357999999999997</v>
      </c>
      <c r="L21" s="58">
        <v>131</v>
      </c>
      <c r="M21" s="58">
        <v>245</v>
      </c>
      <c r="N21" s="76">
        <v>156</v>
      </c>
      <c r="O21" s="76">
        <f>136+48</f>
        <v>184</v>
      </c>
      <c r="P21" s="76">
        <v>40</v>
      </c>
      <c r="Q21" s="76">
        <v>35</v>
      </c>
      <c r="R21" s="76">
        <v>35</v>
      </c>
      <c r="S21" s="58">
        <v>40</v>
      </c>
    </row>
    <row r="22" spans="1:19" ht="12" x14ac:dyDescent="0.2">
      <c r="A22" s="8"/>
      <c r="B22" s="2" t="s">
        <v>51</v>
      </c>
      <c r="C22" s="10" t="s">
        <v>52</v>
      </c>
      <c r="D22" s="10"/>
      <c r="E22" s="11" t="s">
        <v>11</v>
      </c>
      <c r="G22" s="57" t="s">
        <v>53</v>
      </c>
      <c r="H22" s="58">
        <v>0</v>
      </c>
      <c r="I22" s="58">
        <v>0</v>
      </c>
      <c r="J22" s="58">
        <v>0</v>
      </c>
      <c r="K22" s="58">
        <v>0</v>
      </c>
      <c r="L22" s="58">
        <v>0</v>
      </c>
      <c r="M22" s="58">
        <v>0</v>
      </c>
      <c r="N22" s="76">
        <v>0</v>
      </c>
      <c r="O22" s="76">
        <v>0</v>
      </c>
      <c r="P22" s="76">
        <v>0</v>
      </c>
      <c r="Q22" s="76">
        <v>0</v>
      </c>
      <c r="R22" s="76">
        <v>0</v>
      </c>
      <c r="S22" s="58">
        <v>0</v>
      </c>
    </row>
    <row r="23" spans="1:19" ht="12" x14ac:dyDescent="0.2">
      <c r="A23" s="8"/>
      <c r="B23" s="2" t="s">
        <v>54</v>
      </c>
      <c r="C23" s="10">
        <v>257</v>
      </c>
      <c r="D23" s="10"/>
      <c r="E23" s="11" t="s">
        <v>11</v>
      </c>
      <c r="G23" s="57" t="s">
        <v>55</v>
      </c>
      <c r="H23" s="58">
        <v>0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76">
        <v>0</v>
      </c>
      <c r="O23" s="76">
        <v>0</v>
      </c>
      <c r="P23" s="76">
        <v>0</v>
      </c>
      <c r="Q23" s="76">
        <v>0</v>
      </c>
      <c r="R23" s="76">
        <v>0</v>
      </c>
      <c r="S23" s="58">
        <v>0</v>
      </c>
    </row>
    <row r="24" spans="1:19" ht="12" x14ac:dyDescent="0.2">
      <c r="A24" s="19"/>
      <c r="B24" s="2" t="s">
        <v>56</v>
      </c>
      <c r="C24" s="10" t="s">
        <v>57</v>
      </c>
      <c r="D24" s="10"/>
      <c r="E24" s="11" t="s">
        <v>11</v>
      </c>
      <c r="F24" s="19"/>
      <c r="G24" s="57" t="s">
        <v>58</v>
      </c>
      <c r="H24" s="58">
        <v>0</v>
      </c>
      <c r="I24" s="58">
        <v>0</v>
      </c>
      <c r="J24" s="58">
        <v>0</v>
      </c>
      <c r="K24" s="58">
        <v>0</v>
      </c>
      <c r="L24" s="58">
        <f>3.089+13.411</f>
        <v>16.5</v>
      </c>
      <c r="M24" s="58">
        <f>3.191+10.219</f>
        <v>13.41</v>
      </c>
      <c r="N24" s="76">
        <v>10</v>
      </c>
      <c r="O24" s="76">
        <v>7</v>
      </c>
      <c r="P24" s="76">
        <v>4</v>
      </c>
      <c r="Q24" s="76">
        <v>0</v>
      </c>
      <c r="R24" s="76">
        <v>0</v>
      </c>
      <c r="S24" s="58">
        <v>0</v>
      </c>
    </row>
    <row r="25" spans="1:19" ht="12" x14ac:dyDescent="0.2">
      <c r="A25" s="19"/>
      <c r="B25" s="2" t="s">
        <v>59</v>
      </c>
      <c r="C25" s="10" t="s">
        <v>60</v>
      </c>
      <c r="D25" s="10"/>
      <c r="E25" s="11" t="s">
        <v>11</v>
      </c>
      <c r="F25" s="19"/>
      <c r="G25" s="57" t="s">
        <v>61</v>
      </c>
      <c r="H25" s="58">
        <v>0</v>
      </c>
      <c r="I25" s="58">
        <v>0</v>
      </c>
      <c r="J25" s="58">
        <v>0</v>
      </c>
      <c r="K25" s="58">
        <v>0</v>
      </c>
      <c r="L25" s="58">
        <v>0</v>
      </c>
      <c r="M25" s="58">
        <v>0</v>
      </c>
      <c r="N25" s="76">
        <v>0</v>
      </c>
      <c r="O25" s="76">
        <v>0</v>
      </c>
      <c r="P25" s="76">
        <v>0</v>
      </c>
      <c r="Q25" s="76">
        <v>0</v>
      </c>
      <c r="R25" s="76">
        <v>0</v>
      </c>
      <c r="S25" s="58">
        <v>0</v>
      </c>
    </row>
    <row r="26" spans="1:19" ht="12" x14ac:dyDescent="0.2">
      <c r="A26" s="8"/>
      <c r="B26" s="2" t="s">
        <v>62</v>
      </c>
      <c r="C26" s="10">
        <v>28</v>
      </c>
      <c r="D26" s="10"/>
      <c r="E26" s="11" t="s">
        <v>11</v>
      </c>
      <c r="G26" s="57" t="s">
        <v>63</v>
      </c>
      <c r="H26" s="58">
        <v>0</v>
      </c>
      <c r="I26" s="58">
        <v>0</v>
      </c>
      <c r="J26" s="58">
        <v>0</v>
      </c>
      <c r="K26" s="58">
        <v>0</v>
      </c>
      <c r="L26" s="58">
        <v>0</v>
      </c>
      <c r="M26" s="58">
        <v>0</v>
      </c>
      <c r="N26" s="76">
        <v>0</v>
      </c>
      <c r="O26" s="76">
        <v>0</v>
      </c>
      <c r="P26" s="76">
        <v>0</v>
      </c>
      <c r="Q26" s="76">
        <v>0</v>
      </c>
      <c r="R26" s="76">
        <v>0</v>
      </c>
      <c r="S26" s="58">
        <v>0</v>
      </c>
    </row>
    <row r="27" spans="1:19" x14ac:dyDescent="0.2">
      <c r="A27" s="8"/>
      <c r="B27" s="2" t="s">
        <v>64</v>
      </c>
      <c r="C27" s="10">
        <v>29</v>
      </c>
      <c r="D27" s="10"/>
      <c r="E27" s="12"/>
      <c r="G27" s="57" t="s">
        <v>65</v>
      </c>
      <c r="H27" s="56">
        <f t="shared" ref="H27:M27" si="6">SUM(H28:H30)</f>
        <v>0</v>
      </c>
      <c r="I27" s="56">
        <f t="shared" si="6"/>
        <v>0</v>
      </c>
      <c r="J27" s="56">
        <f t="shared" si="6"/>
        <v>1174.575</v>
      </c>
      <c r="K27" s="56">
        <f t="shared" si="6"/>
        <v>1119.6880000000001</v>
      </c>
      <c r="L27" s="56">
        <f t="shared" si="6"/>
        <v>1128.53</v>
      </c>
      <c r="M27" s="56">
        <f t="shared" si="6"/>
        <v>2058.0830000000001</v>
      </c>
      <c r="N27" s="77">
        <f t="shared" ref="N27:S27" si="7">SUM(N28:N30)</f>
        <v>2177.598</v>
      </c>
      <c r="O27" s="77">
        <f t="shared" si="7"/>
        <v>4725.598</v>
      </c>
      <c r="P27" s="77">
        <f t="shared" si="7"/>
        <v>6039.598</v>
      </c>
      <c r="Q27" s="77">
        <f t="shared" si="7"/>
        <v>5669.598</v>
      </c>
      <c r="R27" s="77">
        <f t="shared" si="7"/>
        <v>5298.598</v>
      </c>
      <c r="S27" s="56">
        <f t="shared" si="7"/>
        <v>4952.598</v>
      </c>
    </row>
    <row r="28" spans="1:19" ht="12" x14ac:dyDescent="0.2">
      <c r="A28" s="8"/>
      <c r="B28" s="2" t="s">
        <v>66</v>
      </c>
      <c r="C28" s="8" t="s">
        <v>67</v>
      </c>
      <c r="D28" s="8"/>
      <c r="E28" s="11" t="s">
        <v>11</v>
      </c>
      <c r="G28" s="57" t="s">
        <v>68</v>
      </c>
      <c r="H28" s="58">
        <v>0</v>
      </c>
      <c r="I28" s="58">
        <v>0</v>
      </c>
      <c r="J28" s="58">
        <v>1064.598</v>
      </c>
      <c r="K28" s="58">
        <v>1064.598</v>
      </c>
      <c r="L28" s="58">
        <v>1064.598</v>
      </c>
      <c r="M28" s="58">
        <v>1065</v>
      </c>
      <c r="N28" s="58">
        <v>1064.598</v>
      </c>
      <c r="O28" s="58">
        <v>1064.598</v>
      </c>
      <c r="P28" s="58">
        <v>1064.598</v>
      </c>
      <c r="Q28" s="58">
        <v>1064.598</v>
      </c>
      <c r="R28" s="58">
        <v>1064.598</v>
      </c>
      <c r="S28" s="58">
        <v>1064.598</v>
      </c>
    </row>
    <row r="29" spans="1:19" ht="12" x14ac:dyDescent="0.2">
      <c r="A29" s="8"/>
      <c r="B29" s="2" t="s">
        <v>69</v>
      </c>
      <c r="C29" s="10">
        <v>298</v>
      </c>
      <c r="D29" s="10"/>
      <c r="E29" s="11" t="s">
        <v>11</v>
      </c>
      <c r="G29" s="57" t="s">
        <v>70</v>
      </c>
      <c r="H29" s="58">
        <v>0</v>
      </c>
      <c r="I29" s="58">
        <v>0</v>
      </c>
      <c r="J29" s="58">
        <v>0</v>
      </c>
      <c r="K29" s="58">
        <f>J29+J30</f>
        <v>109.977</v>
      </c>
      <c r="L29" s="58">
        <f>K29+K30</f>
        <v>55.09</v>
      </c>
      <c r="M29" s="58">
        <v>64</v>
      </c>
      <c r="N29" s="76">
        <v>993</v>
      </c>
      <c r="O29" s="76">
        <f>N29+N30</f>
        <v>1113</v>
      </c>
      <c r="P29" s="76">
        <f>O29+O30</f>
        <v>3661</v>
      </c>
      <c r="Q29" s="76">
        <f>P29+P30</f>
        <v>4975</v>
      </c>
      <c r="R29" s="76">
        <f>Q29+Q30</f>
        <v>4605</v>
      </c>
      <c r="S29" s="58">
        <f>R29+R30</f>
        <v>4234</v>
      </c>
    </row>
    <row r="30" spans="1:19" ht="12" x14ac:dyDescent="0.2">
      <c r="A30" s="8"/>
      <c r="B30" s="2" t="s">
        <v>71</v>
      </c>
      <c r="C30" s="10">
        <v>299</v>
      </c>
      <c r="D30" s="10"/>
      <c r="E30" s="11" t="s">
        <v>72</v>
      </c>
      <c r="G30" s="57" t="s">
        <v>73</v>
      </c>
      <c r="H30" s="58">
        <v>0</v>
      </c>
      <c r="I30" s="58">
        <v>0</v>
      </c>
      <c r="J30" s="58">
        <v>109.977</v>
      </c>
      <c r="K30" s="58">
        <v>-54.887</v>
      </c>
      <c r="L30" s="58">
        <v>8.8420000000000005</v>
      </c>
      <c r="M30" s="58">
        <v>929.08299999999997</v>
      </c>
      <c r="N30" s="76">
        <v>120</v>
      </c>
      <c r="O30" s="76">
        <f>O51</f>
        <v>2548</v>
      </c>
      <c r="P30" s="76">
        <f>P51</f>
        <v>1314</v>
      </c>
      <c r="Q30" s="76">
        <f>Q51</f>
        <v>-370</v>
      </c>
      <c r="R30" s="76">
        <f>R51</f>
        <v>-371</v>
      </c>
      <c r="S30" s="76">
        <f>S51</f>
        <v>-346</v>
      </c>
    </row>
    <row r="31" spans="1:19" x14ac:dyDescent="0.2">
      <c r="A31" s="20"/>
      <c r="B31" s="2" t="s">
        <v>368</v>
      </c>
      <c r="C31" s="83" t="s">
        <v>369</v>
      </c>
      <c r="D31" s="21"/>
      <c r="E31" s="22"/>
      <c r="F31" s="20"/>
      <c r="G31" s="62" t="s">
        <v>74</v>
      </c>
      <c r="H31" s="63">
        <f t="shared" ref="H31:S31" si="8">H4-H18</f>
        <v>0</v>
      </c>
      <c r="I31" s="63">
        <f t="shared" si="8"/>
        <v>0</v>
      </c>
      <c r="J31" s="63">
        <f t="shared" si="8"/>
        <v>-1.0000000002037268E-3</v>
      </c>
      <c r="K31" s="63">
        <f t="shared" si="8"/>
        <v>-1.0000000002037268E-3</v>
      </c>
      <c r="L31" s="63">
        <f t="shared" si="8"/>
        <v>2.299999999991087E-2</v>
      </c>
      <c r="M31" s="63">
        <f t="shared" si="8"/>
        <v>-0.49299999999993815</v>
      </c>
      <c r="N31" s="85">
        <f t="shared" si="8"/>
        <v>0.40200000000004366</v>
      </c>
      <c r="O31" s="92">
        <f t="shared" si="8"/>
        <v>0.40200000000004366</v>
      </c>
      <c r="P31" s="92">
        <f t="shared" si="8"/>
        <v>0.40200000000004366</v>
      </c>
      <c r="Q31" s="92">
        <f t="shared" si="8"/>
        <v>0.40200000000004366</v>
      </c>
      <c r="R31" s="92">
        <f t="shared" si="8"/>
        <v>0.40200000000004366</v>
      </c>
      <c r="S31" s="92">
        <f t="shared" si="8"/>
        <v>0.40200000000004366</v>
      </c>
    </row>
    <row r="32" spans="1:19" x14ac:dyDescent="0.2">
      <c r="A32" s="8"/>
      <c r="B32" s="2"/>
      <c r="C32" s="10"/>
      <c r="D32" s="10"/>
      <c r="E32" s="9"/>
      <c r="G32" s="53" t="s">
        <v>75</v>
      </c>
      <c r="H32" s="64">
        <v>2011</v>
      </c>
      <c r="I32" s="64">
        <f t="shared" ref="I32:S32" si="9">H32+1</f>
        <v>2012</v>
      </c>
      <c r="J32" s="64">
        <f t="shared" si="9"/>
        <v>2013</v>
      </c>
      <c r="K32" s="64">
        <f t="shared" si="9"/>
        <v>2014</v>
      </c>
      <c r="L32" s="64">
        <f t="shared" si="9"/>
        <v>2015</v>
      </c>
      <c r="M32" s="64">
        <f t="shared" si="9"/>
        <v>2016</v>
      </c>
      <c r="N32" s="87">
        <f t="shared" si="9"/>
        <v>2017</v>
      </c>
      <c r="O32" s="87">
        <f t="shared" si="9"/>
        <v>2018</v>
      </c>
      <c r="P32" s="87">
        <f t="shared" si="9"/>
        <v>2019</v>
      </c>
      <c r="Q32" s="87">
        <f t="shared" si="9"/>
        <v>2020</v>
      </c>
      <c r="R32" s="87">
        <f t="shared" si="9"/>
        <v>2021</v>
      </c>
      <c r="S32" s="64">
        <f t="shared" si="9"/>
        <v>2022</v>
      </c>
    </row>
    <row r="33" spans="1:19" x14ac:dyDescent="0.2">
      <c r="A33" s="8"/>
      <c r="B33" s="2" t="s">
        <v>76</v>
      </c>
      <c r="C33" s="10">
        <v>3</v>
      </c>
      <c r="D33" s="10"/>
      <c r="E33" s="9"/>
      <c r="G33" s="55" t="s">
        <v>77</v>
      </c>
      <c r="H33" s="56">
        <f t="shared" ref="H33:S33" si="10">SUM(H34:H37)</f>
        <v>0</v>
      </c>
      <c r="I33" s="56">
        <f t="shared" si="10"/>
        <v>0</v>
      </c>
      <c r="J33" s="56">
        <f t="shared" si="10"/>
        <v>367.69200000000001</v>
      </c>
      <c r="K33" s="56">
        <f t="shared" si="10"/>
        <v>777.005</v>
      </c>
      <c r="L33" s="56">
        <f t="shared" si="10"/>
        <v>841.80799999999999</v>
      </c>
      <c r="M33" s="56">
        <f t="shared" si="10"/>
        <v>1979</v>
      </c>
      <c r="N33" s="77">
        <f t="shared" si="10"/>
        <v>1086</v>
      </c>
      <c r="O33" s="77">
        <f t="shared" si="10"/>
        <v>3488</v>
      </c>
      <c r="P33" s="77">
        <f t="shared" si="10"/>
        <v>2711</v>
      </c>
      <c r="Q33" s="77">
        <f t="shared" si="10"/>
        <v>1234</v>
      </c>
      <c r="R33" s="77">
        <f t="shared" si="10"/>
        <v>1298</v>
      </c>
      <c r="S33" s="56">
        <f t="shared" si="10"/>
        <v>1356</v>
      </c>
    </row>
    <row r="34" spans="1:19" ht="12" x14ac:dyDescent="0.2">
      <c r="A34" s="8"/>
      <c r="B34" s="2" t="s">
        <v>78</v>
      </c>
      <c r="C34" s="10">
        <v>30</v>
      </c>
      <c r="D34" s="10"/>
      <c r="E34" s="11" t="s">
        <v>11</v>
      </c>
      <c r="G34" s="57" t="s">
        <v>79</v>
      </c>
      <c r="H34" s="58">
        <v>0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76">
        <v>0</v>
      </c>
      <c r="O34" s="76">
        <v>0</v>
      </c>
      <c r="P34" s="76">
        <v>0</v>
      </c>
      <c r="Q34" s="76">
        <v>0</v>
      </c>
      <c r="R34" s="76">
        <v>0</v>
      </c>
      <c r="S34" s="58">
        <v>0</v>
      </c>
    </row>
    <row r="35" spans="1:19" ht="12" x14ac:dyDescent="0.2">
      <c r="A35" s="8"/>
      <c r="B35" s="2" t="s">
        <v>80</v>
      </c>
      <c r="C35" s="10">
        <v>32</v>
      </c>
      <c r="D35" s="10"/>
      <c r="E35" s="11" t="s">
        <v>11</v>
      </c>
      <c r="G35" s="57" t="s">
        <v>81</v>
      </c>
      <c r="H35" s="58">
        <v>0</v>
      </c>
      <c r="I35" s="58">
        <v>0</v>
      </c>
      <c r="J35" s="58">
        <v>24.402999999999999</v>
      </c>
      <c r="K35" s="58">
        <v>227.7</v>
      </c>
      <c r="L35" s="58">
        <v>287.25700000000001</v>
      </c>
      <c r="M35" s="58">
        <v>329</v>
      </c>
      <c r="N35" s="76">
        <v>325</v>
      </c>
      <c r="O35" s="76">
        <v>183</v>
      </c>
      <c r="P35" s="76">
        <v>665</v>
      </c>
      <c r="Q35" s="76">
        <v>772</v>
      </c>
      <c r="R35" s="76">
        <v>836</v>
      </c>
      <c r="S35" s="58">
        <v>894</v>
      </c>
    </row>
    <row r="36" spans="1:19" ht="12" x14ac:dyDescent="0.2">
      <c r="A36" s="13"/>
      <c r="B36" s="2" t="s">
        <v>82</v>
      </c>
      <c r="C36" s="10">
        <v>35</v>
      </c>
      <c r="D36" s="10"/>
      <c r="E36" s="11" t="s">
        <v>11</v>
      </c>
      <c r="F36" s="13"/>
      <c r="G36" s="57" t="s">
        <v>83</v>
      </c>
      <c r="H36" s="58">
        <v>0</v>
      </c>
      <c r="I36" s="58">
        <v>0</v>
      </c>
      <c r="J36" s="58">
        <v>343.28899999999999</v>
      </c>
      <c r="K36" s="58">
        <v>549.048</v>
      </c>
      <c r="L36" s="58">
        <v>554.55100000000004</v>
      </c>
      <c r="M36" s="58">
        <v>1650</v>
      </c>
      <c r="N36" s="76">
        <v>761</v>
      </c>
      <c r="O36" s="76">
        <v>3305</v>
      </c>
      <c r="P36" s="76">
        <v>2046</v>
      </c>
      <c r="Q36" s="76">
        <v>462</v>
      </c>
      <c r="R36" s="76">
        <v>462</v>
      </c>
      <c r="S36" s="58">
        <v>462</v>
      </c>
    </row>
    <row r="37" spans="1:19" ht="12" x14ac:dyDescent="0.2">
      <c r="A37" s="8"/>
      <c r="B37" s="2" t="s">
        <v>84</v>
      </c>
      <c r="C37" s="10">
        <v>38</v>
      </c>
      <c r="D37" s="10"/>
      <c r="E37" s="11" t="s">
        <v>72</v>
      </c>
      <c r="G37" s="57" t="s">
        <v>85</v>
      </c>
      <c r="H37" s="58">
        <v>0</v>
      </c>
      <c r="I37" s="58">
        <v>0</v>
      </c>
      <c r="J37" s="58">
        <v>0</v>
      </c>
      <c r="K37" s="58">
        <v>0.25700000000000001</v>
      </c>
      <c r="L37" s="58">
        <v>0</v>
      </c>
      <c r="M37" s="58">
        <v>0</v>
      </c>
      <c r="N37" s="76">
        <v>0</v>
      </c>
      <c r="O37" s="76">
        <v>0</v>
      </c>
      <c r="P37" s="76">
        <v>0</v>
      </c>
      <c r="Q37" s="76">
        <v>0</v>
      </c>
      <c r="R37" s="76">
        <v>0</v>
      </c>
      <c r="S37" s="58">
        <v>0</v>
      </c>
    </row>
    <row r="38" spans="1:19" x14ac:dyDescent="0.2">
      <c r="A38" s="8"/>
      <c r="B38" s="2" t="s">
        <v>86</v>
      </c>
      <c r="C38" s="10">
        <v>4</v>
      </c>
      <c r="D38" s="10"/>
      <c r="E38" s="23"/>
      <c r="G38" s="57" t="s">
        <v>87</v>
      </c>
      <c r="H38" s="56">
        <f t="shared" ref="H38:S38" si="11">H39+H40</f>
        <v>0</v>
      </c>
      <c r="I38" s="56">
        <f t="shared" si="11"/>
        <v>0</v>
      </c>
      <c r="J38" s="56">
        <f t="shared" si="11"/>
        <v>-3.1859999999999999</v>
      </c>
      <c r="K38" s="56">
        <f t="shared" si="11"/>
        <v>0</v>
      </c>
      <c r="L38" s="56">
        <f t="shared" si="11"/>
        <v>-1.25</v>
      </c>
      <c r="M38" s="56">
        <f t="shared" si="11"/>
        <v>-14</v>
      </c>
      <c r="N38" s="77">
        <f t="shared" si="11"/>
        <v>-1</v>
      </c>
      <c r="O38" s="77">
        <f t="shared" si="11"/>
        <v>0</v>
      </c>
      <c r="P38" s="77">
        <f t="shared" si="11"/>
        <v>0</v>
      </c>
      <c r="Q38" s="77">
        <f t="shared" si="11"/>
        <v>0</v>
      </c>
      <c r="R38" s="77">
        <f t="shared" si="11"/>
        <v>0</v>
      </c>
      <c r="S38" s="56">
        <f t="shared" si="11"/>
        <v>0</v>
      </c>
    </row>
    <row r="39" spans="1:19" ht="12" x14ac:dyDescent="0.2">
      <c r="A39" s="8"/>
      <c r="B39" s="2" t="s">
        <v>88</v>
      </c>
      <c r="C39" s="10">
        <v>41</v>
      </c>
      <c r="D39" s="10"/>
      <c r="E39" s="11" t="s">
        <v>89</v>
      </c>
      <c r="G39" s="57" t="s">
        <v>90</v>
      </c>
      <c r="H39" s="58">
        <v>0</v>
      </c>
      <c r="I39" s="58">
        <v>0</v>
      </c>
      <c r="J39" s="58">
        <v>0</v>
      </c>
      <c r="K39" s="58">
        <v>0</v>
      </c>
      <c r="L39" s="58">
        <v>-1.25</v>
      </c>
      <c r="M39" s="58">
        <v>-1</v>
      </c>
      <c r="N39" s="76">
        <v>-1</v>
      </c>
      <c r="O39" s="76">
        <v>0</v>
      </c>
      <c r="P39" s="76">
        <v>0</v>
      </c>
      <c r="Q39" s="76">
        <v>0</v>
      </c>
      <c r="R39" s="76">
        <v>0</v>
      </c>
      <c r="S39" s="58">
        <v>0</v>
      </c>
    </row>
    <row r="40" spans="1:19" ht="12" x14ac:dyDescent="0.2">
      <c r="A40" s="8"/>
      <c r="B40" s="2" t="s">
        <v>91</v>
      </c>
      <c r="C40" s="10">
        <v>45</v>
      </c>
      <c r="D40" s="10"/>
      <c r="E40" s="11" t="s">
        <v>89</v>
      </c>
      <c r="G40" s="57" t="s">
        <v>92</v>
      </c>
      <c r="H40" s="58">
        <v>0</v>
      </c>
      <c r="I40" s="58">
        <v>0</v>
      </c>
      <c r="J40" s="58">
        <v>-3.1859999999999999</v>
      </c>
      <c r="K40" s="58">
        <v>0</v>
      </c>
      <c r="L40" s="58">
        <v>0</v>
      </c>
      <c r="M40" s="58">
        <v>-13</v>
      </c>
      <c r="N40" s="76">
        <v>0</v>
      </c>
      <c r="O40" s="76">
        <v>0</v>
      </c>
      <c r="P40" s="76">
        <v>0</v>
      </c>
      <c r="Q40" s="76">
        <v>0</v>
      </c>
      <c r="R40" s="76">
        <v>0</v>
      </c>
      <c r="S40" s="58">
        <v>0</v>
      </c>
    </row>
    <row r="41" spans="1:19" x14ac:dyDescent="0.2">
      <c r="A41" s="13"/>
      <c r="B41" s="2" t="s">
        <v>93</v>
      </c>
      <c r="C41" s="10" t="s">
        <v>94</v>
      </c>
      <c r="D41" s="10"/>
      <c r="E41" s="23"/>
      <c r="F41" s="13"/>
      <c r="G41" s="57" t="s">
        <v>95</v>
      </c>
      <c r="H41" s="56">
        <f t="shared" ref="H41:S41" si="12">SUM(H42:H45)</f>
        <v>0</v>
      </c>
      <c r="I41" s="56">
        <f t="shared" si="12"/>
        <v>0</v>
      </c>
      <c r="J41" s="56">
        <f t="shared" si="12"/>
        <v>-254.53</v>
      </c>
      <c r="K41" s="56">
        <f t="shared" si="12"/>
        <v>-831.89100000000008</v>
      </c>
      <c r="L41" s="56">
        <f t="shared" si="12"/>
        <v>-831.87300000000005</v>
      </c>
      <c r="M41" s="56">
        <f t="shared" si="12"/>
        <v>-1036</v>
      </c>
      <c r="N41" s="77">
        <f t="shared" si="12"/>
        <v>-965</v>
      </c>
      <c r="O41" s="77">
        <f t="shared" si="12"/>
        <v>-940</v>
      </c>
      <c r="P41" s="77">
        <f t="shared" si="12"/>
        <v>-1397</v>
      </c>
      <c r="Q41" s="77">
        <f t="shared" si="12"/>
        <v>-1604</v>
      </c>
      <c r="R41" s="77">
        <f t="shared" si="12"/>
        <v>-1669</v>
      </c>
      <c r="S41" s="56">
        <f t="shared" si="12"/>
        <v>-1702</v>
      </c>
    </row>
    <row r="42" spans="1:19" ht="12" x14ac:dyDescent="0.2">
      <c r="A42" s="8"/>
      <c r="B42" s="2" t="s">
        <v>96</v>
      </c>
      <c r="C42" s="10">
        <v>50</v>
      </c>
      <c r="D42" s="10"/>
      <c r="E42" s="11" t="s">
        <v>89</v>
      </c>
      <c r="G42" s="57" t="s">
        <v>97</v>
      </c>
      <c r="H42" s="58">
        <v>0</v>
      </c>
      <c r="I42" s="58">
        <v>0</v>
      </c>
      <c r="J42" s="58">
        <v>-140.65899999999999</v>
      </c>
      <c r="K42" s="58">
        <v>-419.05700000000002</v>
      </c>
      <c r="L42" s="58">
        <v>-461.25299999999999</v>
      </c>
      <c r="M42" s="58">
        <v>-483</v>
      </c>
      <c r="N42" s="76">
        <v>-460</v>
      </c>
      <c r="O42" s="76">
        <v>-543</v>
      </c>
      <c r="P42" s="76">
        <v>-792</v>
      </c>
      <c r="Q42" s="76">
        <v>-829</v>
      </c>
      <c r="R42" s="76">
        <v>-869</v>
      </c>
      <c r="S42" s="58">
        <v>-869</v>
      </c>
    </row>
    <row r="43" spans="1:19" ht="12" x14ac:dyDescent="0.2">
      <c r="A43" s="8"/>
      <c r="B43" s="2" t="s">
        <v>98</v>
      </c>
      <c r="C43" s="10">
        <v>55</v>
      </c>
      <c r="D43" s="10"/>
      <c r="E43" s="11" t="s">
        <v>89</v>
      </c>
      <c r="G43" s="57" t="s">
        <v>99</v>
      </c>
      <c r="H43" s="58">
        <v>0</v>
      </c>
      <c r="I43" s="58">
        <v>0</v>
      </c>
      <c r="J43" s="58">
        <v>-78.021000000000001</v>
      </c>
      <c r="K43" s="58">
        <v>-319.93299999999999</v>
      </c>
      <c r="L43" s="58">
        <v>-292.02499999999998</v>
      </c>
      <c r="M43" s="58">
        <v>-358</v>
      </c>
      <c r="N43" s="76">
        <v>-337</v>
      </c>
      <c r="O43" s="76">
        <v>-230</v>
      </c>
      <c r="P43" s="76">
        <v>-340</v>
      </c>
      <c r="Q43" s="76">
        <v>-405</v>
      </c>
      <c r="R43" s="76">
        <v>-429</v>
      </c>
      <c r="S43" s="58">
        <v>-460</v>
      </c>
    </row>
    <row r="44" spans="1:19" ht="12" x14ac:dyDescent="0.2">
      <c r="A44" s="13"/>
      <c r="B44" s="2" t="s">
        <v>100</v>
      </c>
      <c r="C44" s="10">
        <v>60</v>
      </c>
      <c r="D44" s="10"/>
      <c r="E44" s="11" t="s">
        <v>89</v>
      </c>
      <c r="F44" s="13"/>
      <c r="G44" s="57" t="s">
        <v>101</v>
      </c>
      <c r="H44" s="58">
        <v>0</v>
      </c>
      <c r="I44" s="58">
        <v>0</v>
      </c>
      <c r="J44" s="58">
        <v>-0.61699999999999999</v>
      </c>
      <c r="K44" s="58">
        <v>-3.7450000000000001</v>
      </c>
      <c r="L44" s="58">
        <v>-4.633</v>
      </c>
      <c r="M44" s="58">
        <v>-4</v>
      </c>
      <c r="N44" s="76">
        <v>-3</v>
      </c>
      <c r="O44" s="76">
        <v>0</v>
      </c>
      <c r="P44" s="76">
        <v>0</v>
      </c>
      <c r="Q44" s="76">
        <v>0</v>
      </c>
      <c r="R44" s="76">
        <v>0</v>
      </c>
      <c r="S44" s="58">
        <v>0</v>
      </c>
    </row>
    <row r="45" spans="1:19" ht="12" x14ac:dyDescent="0.2">
      <c r="A45" s="8"/>
      <c r="B45" s="2" t="s">
        <v>102</v>
      </c>
      <c r="C45" s="10">
        <v>61</v>
      </c>
      <c r="D45" s="10"/>
      <c r="E45" s="11" t="s">
        <v>89</v>
      </c>
      <c r="G45" s="57" t="s">
        <v>103</v>
      </c>
      <c r="H45" s="58">
        <v>0</v>
      </c>
      <c r="I45" s="58">
        <v>0</v>
      </c>
      <c r="J45" s="58">
        <v>-35.232999999999997</v>
      </c>
      <c r="K45" s="58">
        <v>-89.156000000000006</v>
      </c>
      <c r="L45" s="58">
        <v>-73.962000000000003</v>
      </c>
      <c r="M45" s="58">
        <v>-191</v>
      </c>
      <c r="N45" s="76">
        <v>-165</v>
      </c>
      <c r="O45" s="76">
        <v>-167</v>
      </c>
      <c r="P45" s="76">
        <v>-265</v>
      </c>
      <c r="Q45" s="76">
        <v>-370</v>
      </c>
      <c r="R45" s="76">
        <v>-371</v>
      </c>
      <c r="S45" s="58">
        <v>-373</v>
      </c>
    </row>
    <row r="46" spans="1:19" x14ac:dyDescent="0.2">
      <c r="A46" s="8"/>
      <c r="B46" s="2" t="s">
        <v>104</v>
      </c>
      <c r="C46" s="10"/>
      <c r="D46" s="10"/>
      <c r="E46" s="9"/>
      <c r="G46" s="57" t="s">
        <v>105</v>
      </c>
      <c r="H46" s="56">
        <f t="shared" ref="H46:S46" si="13">H33+H38+H41</f>
        <v>0</v>
      </c>
      <c r="I46" s="56">
        <f t="shared" si="13"/>
        <v>0</v>
      </c>
      <c r="J46" s="56">
        <f t="shared" si="13"/>
        <v>109.97600000000003</v>
      </c>
      <c r="K46" s="56">
        <f t="shared" si="13"/>
        <v>-54.886000000000081</v>
      </c>
      <c r="L46" s="56">
        <f t="shared" si="13"/>
        <v>8.6849999999999454</v>
      </c>
      <c r="M46" s="56">
        <f t="shared" si="13"/>
        <v>929</v>
      </c>
      <c r="N46" s="77">
        <f t="shared" si="13"/>
        <v>120</v>
      </c>
      <c r="O46" s="77">
        <f t="shared" si="13"/>
        <v>2548</v>
      </c>
      <c r="P46" s="77">
        <f t="shared" si="13"/>
        <v>1314</v>
      </c>
      <c r="Q46" s="77">
        <f t="shared" si="13"/>
        <v>-370</v>
      </c>
      <c r="R46" s="77">
        <f t="shared" si="13"/>
        <v>-371</v>
      </c>
      <c r="S46" s="56">
        <f t="shared" si="13"/>
        <v>-346</v>
      </c>
    </row>
    <row r="47" spans="1:19" ht="12" x14ac:dyDescent="0.2">
      <c r="A47" s="8"/>
      <c r="B47" s="2" t="s">
        <v>106</v>
      </c>
      <c r="C47" s="10">
        <v>65</v>
      </c>
      <c r="D47" s="10"/>
      <c r="E47" s="11" t="s">
        <v>72</v>
      </c>
      <c r="G47" s="57" t="s">
        <v>107</v>
      </c>
      <c r="H47" s="58">
        <v>0</v>
      </c>
      <c r="I47" s="58">
        <v>0</v>
      </c>
      <c r="J47" s="58">
        <v>0</v>
      </c>
      <c r="K47" s="58">
        <v>0</v>
      </c>
      <c r="L47" s="58">
        <v>0.156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</row>
    <row r="48" spans="1:19" x14ac:dyDescent="0.2">
      <c r="A48" s="8"/>
      <c r="B48" s="2" t="s">
        <v>108</v>
      </c>
      <c r="C48" s="10"/>
      <c r="D48" s="10"/>
      <c r="E48" s="9"/>
      <c r="G48" s="57" t="s">
        <v>109</v>
      </c>
      <c r="H48" s="56">
        <f t="shared" ref="H48:S48" si="14">H46+H47</f>
        <v>0</v>
      </c>
      <c r="I48" s="56">
        <f t="shared" si="14"/>
        <v>0</v>
      </c>
      <c r="J48" s="56">
        <f t="shared" si="14"/>
        <v>109.97600000000003</v>
      </c>
      <c r="K48" s="56">
        <f t="shared" si="14"/>
        <v>-54.886000000000081</v>
      </c>
      <c r="L48" s="56">
        <f t="shared" si="14"/>
        <v>8.840999999999946</v>
      </c>
      <c r="M48" s="56">
        <f t="shared" si="14"/>
        <v>929</v>
      </c>
      <c r="N48" s="77">
        <f t="shared" si="14"/>
        <v>120</v>
      </c>
      <c r="O48" s="77">
        <f t="shared" si="14"/>
        <v>2548</v>
      </c>
      <c r="P48" s="77">
        <f t="shared" si="14"/>
        <v>1314</v>
      </c>
      <c r="Q48" s="77">
        <f t="shared" si="14"/>
        <v>-370</v>
      </c>
      <c r="R48" s="77">
        <f t="shared" si="14"/>
        <v>-371</v>
      </c>
      <c r="S48" s="56">
        <f t="shared" si="14"/>
        <v>-346</v>
      </c>
    </row>
    <row r="49" spans="1:19" ht="12" x14ac:dyDescent="0.2">
      <c r="A49" s="8"/>
      <c r="B49" s="2" t="s">
        <v>110</v>
      </c>
      <c r="C49" s="10">
        <v>68</v>
      </c>
      <c r="D49" s="10"/>
      <c r="E49" s="11" t="s">
        <v>89</v>
      </c>
      <c r="G49" s="57" t="s">
        <v>111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76">
        <v>0</v>
      </c>
      <c r="O49" s="76">
        <v>0</v>
      </c>
      <c r="P49" s="76">
        <v>0</v>
      </c>
      <c r="Q49" s="76">
        <v>0</v>
      </c>
      <c r="R49" s="76">
        <v>0</v>
      </c>
      <c r="S49" s="58">
        <v>0</v>
      </c>
    </row>
    <row r="50" spans="1:19" ht="12" x14ac:dyDescent="0.2">
      <c r="A50" s="8"/>
      <c r="B50" s="2" t="s">
        <v>112</v>
      </c>
      <c r="C50" s="10">
        <v>69</v>
      </c>
      <c r="D50" s="10"/>
      <c r="E50" s="11" t="s">
        <v>11</v>
      </c>
      <c r="G50" s="57" t="s">
        <v>113</v>
      </c>
      <c r="H50" s="58">
        <v>0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76">
        <v>0</v>
      </c>
      <c r="O50" s="76">
        <v>0</v>
      </c>
      <c r="P50" s="76">
        <v>0</v>
      </c>
      <c r="Q50" s="76">
        <v>0</v>
      </c>
      <c r="R50" s="76">
        <v>0</v>
      </c>
      <c r="S50" s="58">
        <v>0</v>
      </c>
    </row>
    <row r="51" spans="1:19" x14ac:dyDescent="0.2">
      <c r="A51" s="8"/>
      <c r="B51" s="2" t="s">
        <v>114</v>
      </c>
      <c r="C51" s="10"/>
      <c r="D51" s="10"/>
      <c r="E51" s="9"/>
      <c r="G51" s="57" t="s">
        <v>115</v>
      </c>
      <c r="H51" s="56">
        <f t="shared" ref="H51:S51" si="15">H48+H49+H50</f>
        <v>0</v>
      </c>
      <c r="I51" s="56">
        <f t="shared" si="15"/>
        <v>0</v>
      </c>
      <c r="J51" s="56">
        <f t="shared" si="15"/>
        <v>109.97600000000003</v>
      </c>
      <c r="K51" s="56">
        <f t="shared" si="15"/>
        <v>-54.886000000000081</v>
      </c>
      <c r="L51" s="56">
        <f t="shared" si="15"/>
        <v>8.840999999999946</v>
      </c>
      <c r="M51" s="56">
        <f t="shared" si="15"/>
        <v>929</v>
      </c>
      <c r="N51" s="77">
        <f t="shared" si="15"/>
        <v>120</v>
      </c>
      <c r="O51" s="77">
        <f t="shared" si="15"/>
        <v>2548</v>
      </c>
      <c r="P51" s="77">
        <f t="shared" si="15"/>
        <v>1314</v>
      </c>
      <c r="Q51" s="77">
        <f t="shared" si="15"/>
        <v>-370</v>
      </c>
      <c r="R51" s="77">
        <f t="shared" si="15"/>
        <v>-371</v>
      </c>
      <c r="S51" s="56">
        <f t="shared" si="15"/>
        <v>-346</v>
      </c>
    </row>
    <row r="52" spans="1:19" x14ac:dyDescent="0.2">
      <c r="A52" s="24"/>
      <c r="B52" s="2" t="s">
        <v>370</v>
      </c>
      <c r="C52" s="83" t="s">
        <v>371</v>
      </c>
      <c r="D52" s="25"/>
      <c r="E52" s="26"/>
      <c r="F52" s="24"/>
      <c r="G52" s="62" t="s">
        <v>116</v>
      </c>
      <c r="H52" s="63">
        <f t="shared" ref="H52:S52" si="16">H30-H51</f>
        <v>0</v>
      </c>
      <c r="I52" s="63">
        <f t="shared" si="16"/>
        <v>0</v>
      </c>
      <c r="J52" s="63">
        <f t="shared" si="16"/>
        <v>9.9999999997635314E-4</v>
      </c>
      <c r="K52" s="63">
        <f t="shared" si="16"/>
        <v>-9.9999999991950972E-4</v>
      </c>
      <c r="L52" s="63">
        <f t="shared" si="16"/>
        <v>1.0000000000545128E-3</v>
      </c>
      <c r="M52" s="63">
        <f t="shared" si="16"/>
        <v>8.2999999999969987E-2</v>
      </c>
      <c r="N52" s="85">
        <f t="shared" si="16"/>
        <v>0</v>
      </c>
      <c r="O52" s="85">
        <f t="shared" si="16"/>
        <v>0</v>
      </c>
      <c r="P52" s="85">
        <f t="shared" si="16"/>
        <v>0</v>
      </c>
      <c r="Q52" s="85">
        <f t="shared" si="16"/>
        <v>0</v>
      </c>
      <c r="R52" s="85">
        <f t="shared" si="16"/>
        <v>0</v>
      </c>
      <c r="S52" s="63">
        <f t="shared" si="16"/>
        <v>0</v>
      </c>
    </row>
    <row r="53" spans="1:19" x14ac:dyDescent="0.2">
      <c r="A53" s="8"/>
      <c r="B53" s="2"/>
      <c r="C53" s="10"/>
      <c r="D53" s="10"/>
      <c r="E53" s="9"/>
      <c r="G53" s="65" t="s">
        <v>117</v>
      </c>
      <c r="H53" s="48"/>
      <c r="I53" s="48"/>
      <c r="J53" s="48"/>
      <c r="K53" s="48"/>
      <c r="L53" s="48"/>
      <c r="M53" s="48"/>
      <c r="N53" s="4"/>
      <c r="O53" s="4"/>
      <c r="P53" s="4"/>
      <c r="Q53" s="4"/>
      <c r="R53" s="4"/>
      <c r="S53" s="48"/>
    </row>
    <row r="54" spans="1:19" ht="12" x14ac:dyDescent="0.2">
      <c r="A54" s="8"/>
      <c r="B54" s="2"/>
      <c r="C54" s="10">
        <v>90</v>
      </c>
      <c r="D54" s="10"/>
      <c r="E54" s="11" t="s">
        <v>11</v>
      </c>
      <c r="G54" s="65" t="s">
        <v>118</v>
      </c>
      <c r="H54" s="58">
        <v>0</v>
      </c>
      <c r="I54" s="58">
        <v>0</v>
      </c>
      <c r="J54" s="58">
        <v>21</v>
      </c>
      <c r="K54" s="58">
        <v>25</v>
      </c>
      <c r="L54" s="58">
        <v>23</v>
      </c>
      <c r="M54" s="58">
        <v>24</v>
      </c>
      <c r="N54" s="76">
        <v>24</v>
      </c>
      <c r="O54" s="76">
        <v>25</v>
      </c>
      <c r="P54" s="76">
        <v>34</v>
      </c>
      <c r="Q54" s="76">
        <v>36</v>
      </c>
      <c r="R54" s="76">
        <v>37</v>
      </c>
      <c r="S54" s="58">
        <v>37</v>
      </c>
    </row>
    <row r="55" spans="1:19" ht="12" x14ac:dyDescent="0.2">
      <c r="A55" s="8"/>
      <c r="B55" s="2"/>
      <c r="C55" s="10"/>
      <c r="D55" s="10"/>
      <c r="E55" s="11" t="s">
        <v>11</v>
      </c>
      <c r="G55" s="65" t="s">
        <v>119</v>
      </c>
      <c r="H55" s="58"/>
      <c r="I55" s="58"/>
      <c r="J55" s="58"/>
      <c r="K55" s="58"/>
      <c r="L55" s="66"/>
      <c r="M55" s="66"/>
      <c r="N55" s="88"/>
      <c r="O55" s="88"/>
      <c r="P55" s="88"/>
      <c r="Q55" s="88"/>
      <c r="R55" s="88"/>
      <c r="S55" s="66"/>
    </row>
    <row r="56" spans="1:19" x14ac:dyDescent="0.2">
      <c r="A56" s="8"/>
      <c r="B56" s="2"/>
      <c r="C56" s="10"/>
      <c r="D56" s="10"/>
      <c r="E56" s="9"/>
      <c r="G56" s="67"/>
      <c r="H56" s="48"/>
      <c r="I56" s="48"/>
      <c r="J56" s="48"/>
      <c r="K56" s="48"/>
      <c r="L56" s="48"/>
      <c r="M56" s="48"/>
      <c r="N56" s="4"/>
      <c r="O56" s="4"/>
      <c r="P56" s="4"/>
      <c r="Q56" s="4"/>
      <c r="R56" s="4"/>
      <c r="S56" s="48"/>
    </row>
    <row r="57" spans="1:19" x14ac:dyDescent="0.2">
      <c r="A57" s="8"/>
      <c r="B57" s="2"/>
      <c r="C57" s="10"/>
      <c r="D57" s="29" t="s">
        <v>120</v>
      </c>
      <c r="E57" s="30" t="s">
        <v>3</v>
      </c>
      <c r="F57" s="9"/>
      <c r="G57" s="53" t="s">
        <v>121</v>
      </c>
      <c r="H57" s="64">
        <f t="shared" ref="H57:S57" si="17">H32</f>
        <v>2011</v>
      </c>
      <c r="I57" s="64">
        <f t="shared" si="17"/>
        <v>2012</v>
      </c>
      <c r="J57" s="64">
        <f t="shared" si="17"/>
        <v>2013</v>
      </c>
      <c r="K57" s="64">
        <f t="shared" si="17"/>
        <v>2014</v>
      </c>
      <c r="L57" s="64">
        <f t="shared" si="17"/>
        <v>2015</v>
      </c>
      <c r="M57" s="64">
        <f t="shared" si="17"/>
        <v>2016</v>
      </c>
      <c r="N57" s="87">
        <f t="shared" si="17"/>
        <v>2017</v>
      </c>
      <c r="O57" s="87">
        <f t="shared" si="17"/>
        <v>2018</v>
      </c>
      <c r="P57" s="87">
        <f t="shared" si="17"/>
        <v>2019</v>
      </c>
      <c r="Q57" s="87">
        <f t="shared" si="17"/>
        <v>2020</v>
      </c>
      <c r="R57" s="87">
        <f t="shared" si="17"/>
        <v>2021</v>
      </c>
      <c r="S57" s="64">
        <f t="shared" si="17"/>
        <v>2022</v>
      </c>
    </row>
    <row r="58" spans="1:19" ht="12" x14ac:dyDescent="0.2">
      <c r="A58" s="8"/>
      <c r="B58" s="31" t="s">
        <v>122</v>
      </c>
      <c r="C58" s="8" t="s">
        <v>123</v>
      </c>
      <c r="D58" s="32" t="s">
        <v>124</v>
      </c>
      <c r="E58" s="11" t="s">
        <v>89</v>
      </c>
      <c r="F58" s="12"/>
      <c r="G58" s="55" t="s">
        <v>125</v>
      </c>
      <c r="H58" s="58">
        <v>0</v>
      </c>
      <c r="I58" s="58">
        <v>0</v>
      </c>
      <c r="J58" s="58">
        <v>-103.072</v>
      </c>
      <c r="K58" s="58">
        <v>-42.421999999999997</v>
      </c>
      <c r="L58" s="58">
        <v>-122.22</v>
      </c>
      <c r="M58" s="58">
        <v>-1115</v>
      </c>
      <c r="N58" s="76">
        <v>-268</v>
      </c>
      <c r="O58" s="76">
        <v>-2735</v>
      </c>
      <c r="P58" s="76">
        <f>-1277-67</f>
        <v>-1344</v>
      </c>
      <c r="Q58" s="76">
        <v>0</v>
      </c>
      <c r="R58" s="76">
        <v>0</v>
      </c>
      <c r="S58" s="58">
        <v>0</v>
      </c>
    </row>
    <row r="59" spans="1:19" ht="12" x14ac:dyDescent="0.2">
      <c r="A59" s="8"/>
      <c r="B59" s="31" t="s">
        <v>126</v>
      </c>
      <c r="C59" s="33" t="s">
        <v>127</v>
      </c>
      <c r="D59" s="32" t="s">
        <v>128</v>
      </c>
      <c r="E59" s="11" t="s">
        <v>11</v>
      </c>
      <c r="F59" s="12"/>
      <c r="G59" s="68" t="s">
        <v>129</v>
      </c>
      <c r="H59" s="58">
        <v>0</v>
      </c>
      <c r="I59" s="58">
        <v>0</v>
      </c>
      <c r="J59" s="58">
        <v>0.377</v>
      </c>
      <c r="K59" s="58">
        <v>0.377</v>
      </c>
      <c r="L59" s="58">
        <v>0.377</v>
      </c>
      <c r="M59" s="58">
        <v>0</v>
      </c>
      <c r="N59" s="76">
        <v>0</v>
      </c>
      <c r="O59" s="76">
        <v>0</v>
      </c>
      <c r="P59" s="76">
        <v>0</v>
      </c>
      <c r="Q59" s="76">
        <v>0</v>
      </c>
      <c r="R59" s="76">
        <v>0</v>
      </c>
      <c r="S59" s="58">
        <v>0</v>
      </c>
    </row>
    <row r="60" spans="1:19" ht="12" x14ac:dyDescent="0.2">
      <c r="A60" s="8"/>
      <c r="B60" s="31" t="s">
        <v>130</v>
      </c>
      <c r="C60" s="34" t="s">
        <v>372</v>
      </c>
      <c r="D60" s="32" t="s">
        <v>131</v>
      </c>
      <c r="E60" s="11" t="s">
        <v>11</v>
      </c>
      <c r="F60" s="12"/>
      <c r="G60" s="57" t="s">
        <v>132</v>
      </c>
      <c r="H60" s="58">
        <v>0</v>
      </c>
      <c r="I60" s="58">
        <v>0</v>
      </c>
      <c r="J60" s="58">
        <v>70</v>
      </c>
      <c r="K60" s="58">
        <v>49.5</v>
      </c>
      <c r="L60" s="58">
        <v>108.476</v>
      </c>
      <c r="M60" s="58">
        <v>283</v>
      </c>
      <c r="N60" s="76">
        <v>300</v>
      </c>
      <c r="O60" s="76">
        <v>2735</v>
      </c>
      <c r="P60" s="76">
        <v>1344</v>
      </c>
      <c r="Q60" s="76">
        <v>0</v>
      </c>
      <c r="R60" s="76">
        <v>0</v>
      </c>
      <c r="S60" s="58">
        <v>0</v>
      </c>
    </row>
    <row r="61" spans="1:19" ht="12" x14ac:dyDescent="0.2">
      <c r="A61" s="8"/>
      <c r="B61" s="31" t="s">
        <v>133</v>
      </c>
      <c r="C61" s="34" t="s">
        <v>134</v>
      </c>
      <c r="D61" s="34" t="s">
        <v>135</v>
      </c>
      <c r="E61" s="11" t="s">
        <v>89</v>
      </c>
      <c r="F61" s="12"/>
      <c r="G61" s="57" t="s">
        <v>136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76">
        <v>0</v>
      </c>
      <c r="O61" s="76">
        <v>0</v>
      </c>
      <c r="P61" s="76">
        <v>0</v>
      </c>
      <c r="Q61" s="76">
        <v>0</v>
      </c>
      <c r="R61" s="76">
        <v>0</v>
      </c>
      <c r="S61" s="58">
        <v>0</v>
      </c>
    </row>
    <row r="62" spans="1:19" ht="12" x14ac:dyDescent="0.2">
      <c r="A62" s="8"/>
      <c r="B62" s="31" t="s">
        <v>137</v>
      </c>
      <c r="C62" s="10">
        <v>253800</v>
      </c>
      <c r="D62" s="34" t="s">
        <v>131</v>
      </c>
      <c r="E62" s="11" t="s">
        <v>11</v>
      </c>
      <c r="F62" s="12"/>
      <c r="G62" s="57" t="s">
        <v>138</v>
      </c>
      <c r="H62" s="58">
        <v>0</v>
      </c>
      <c r="I62" s="58">
        <v>0</v>
      </c>
      <c r="J62" s="58">
        <v>0</v>
      </c>
      <c r="K62" s="58">
        <v>0</v>
      </c>
      <c r="L62" s="58">
        <v>0</v>
      </c>
      <c r="M62" s="58">
        <v>0</v>
      </c>
      <c r="N62" s="76">
        <v>0</v>
      </c>
      <c r="O62" s="76">
        <v>0</v>
      </c>
      <c r="P62" s="76">
        <v>0</v>
      </c>
      <c r="Q62" s="76">
        <v>0</v>
      </c>
      <c r="R62" s="76">
        <v>0</v>
      </c>
      <c r="S62" s="58">
        <v>0</v>
      </c>
    </row>
    <row r="63" spans="1:19" ht="12" x14ac:dyDescent="0.2">
      <c r="A63" s="8"/>
      <c r="B63" s="31" t="s">
        <v>139</v>
      </c>
      <c r="C63" s="10">
        <v>150</v>
      </c>
      <c r="D63" s="34" t="s">
        <v>135</v>
      </c>
      <c r="E63" s="11" t="s">
        <v>89</v>
      </c>
      <c r="F63" s="12"/>
      <c r="G63" s="57" t="s">
        <v>140</v>
      </c>
      <c r="H63" s="58">
        <v>0</v>
      </c>
      <c r="I63" s="58">
        <v>0</v>
      </c>
      <c r="J63" s="58">
        <v>0</v>
      </c>
      <c r="K63" s="58">
        <v>0</v>
      </c>
      <c r="L63" s="58">
        <v>0</v>
      </c>
      <c r="M63" s="58">
        <v>0</v>
      </c>
      <c r="N63" s="76">
        <v>0</v>
      </c>
      <c r="O63" s="76">
        <v>0</v>
      </c>
      <c r="P63" s="76">
        <v>0</v>
      </c>
      <c r="Q63" s="76">
        <v>0</v>
      </c>
      <c r="R63" s="76">
        <v>0</v>
      </c>
      <c r="S63" s="58">
        <v>0</v>
      </c>
    </row>
    <row r="64" spans="1:19" ht="12" x14ac:dyDescent="0.2">
      <c r="A64" s="8"/>
      <c r="B64" s="31" t="s">
        <v>141</v>
      </c>
      <c r="C64" s="34" t="s">
        <v>142</v>
      </c>
      <c r="D64" s="34" t="s">
        <v>131</v>
      </c>
      <c r="E64" s="11" t="s">
        <v>11</v>
      </c>
      <c r="F64" s="12"/>
      <c r="G64" s="57" t="s">
        <v>143</v>
      </c>
      <c r="H64" s="58">
        <v>0</v>
      </c>
      <c r="I64" s="58">
        <v>0</v>
      </c>
      <c r="J64" s="58">
        <v>0</v>
      </c>
      <c r="K64" s="58">
        <v>0</v>
      </c>
      <c r="L64" s="58">
        <v>0</v>
      </c>
      <c r="M64" s="58">
        <v>0</v>
      </c>
      <c r="N64" s="76">
        <v>0</v>
      </c>
      <c r="O64" s="76">
        <v>0</v>
      </c>
      <c r="P64" s="76">
        <v>0</v>
      </c>
      <c r="Q64" s="76">
        <v>0</v>
      </c>
      <c r="R64" s="76">
        <v>0</v>
      </c>
      <c r="S64" s="58">
        <v>0</v>
      </c>
    </row>
    <row r="65" spans="1:19" ht="12" x14ac:dyDescent="0.2">
      <c r="A65" s="8"/>
      <c r="B65" s="31" t="s">
        <v>144</v>
      </c>
      <c r="C65" s="8" t="s">
        <v>373</v>
      </c>
      <c r="D65" s="34" t="s">
        <v>135</v>
      </c>
      <c r="E65" s="11" t="s">
        <v>89</v>
      </c>
      <c r="F65" s="12"/>
      <c r="G65" s="57" t="s">
        <v>145</v>
      </c>
      <c r="H65" s="58">
        <v>0</v>
      </c>
      <c r="I65" s="58">
        <v>0</v>
      </c>
      <c r="J65" s="58">
        <v>0</v>
      </c>
      <c r="K65" s="58">
        <v>0</v>
      </c>
      <c r="L65" s="58">
        <v>0</v>
      </c>
      <c r="M65" s="58">
        <v>0</v>
      </c>
      <c r="N65" s="76">
        <v>0</v>
      </c>
      <c r="O65" s="76">
        <v>0</v>
      </c>
      <c r="P65" s="76">
        <v>0</v>
      </c>
      <c r="Q65" s="76">
        <v>0</v>
      </c>
      <c r="R65" s="76">
        <v>0</v>
      </c>
      <c r="S65" s="58">
        <v>0</v>
      </c>
    </row>
    <row r="66" spans="1:19" ht="12" x14ac:dyDescent="0.2">
      <c r="A66" s="8"/>
      <c r="B66" s="31" t="s">
        <v>146</v>
      </c>
      <c r="C66" s="8" t="s">
        <v>373</v>
      </c>
      <c r="D66" s="34" t="s">
        <v>131</v>
      </c>
      <c r="E66" s="11" t="s">
        <v>11</v>
      </c>
      <c r="F66" s="12"/>
      <c r="G66" s="57" t="s">
        <v>147</v>
      </c>
      <c r="H66" s="58">
        <v>0</v>
      </c>
      <c r="I66" s="58">
        <v>0</v>
      </c>
      <c r="J66" s="58">
        <v>0</v>
      </c>
      <c r="K66" s="58">
        <v>0</v>
      </c>
      <c r="L66" s="58">
        <v>0</v>
      </c>
      <c r="M66" s="58">
        <v>0</v>
      </c>
      <c r="N66" s="76">
        <v>0</v>
      </c>
      <c r="O66" s="76">
        <v>0</v>
      </c>
      <c r="P66" s="76">
        <v>0</v>
      </c>
      <c r="Q66" s="76">
        <v>0</v>
      </c>
      <c r="R66" s="76">
        <v>0</v>
      </c>
      <c r="S66" s="58">
        <v>0</v>
      </c>
    </row>
    <row r="67" spans="1:19" ht="12" x14ac:dyDescent="0.2">
      <c r="A67" s="8"/>
      <c r="B67" s="31" t="s">
        <v>148</v>
      </c>
      <c r="C67" s="8" t="s">
        <v>149</v>
      </c>
      <c r="D67" s="34" t="s">
        <v>135</v>
      </c>
      <c r="E67" s="11" t="s">
        <v>89</v>
      </c>
      <c r="F67" s="12"/>
      <c r="G67" s="57" t="s">
        <v>150</v>
      </c>
      <c r="H67" s="58">
        <v>0</v>
      </c>
      <c r="I67" s="58">
        <v>0</v>
      </c>
      <c r="J67" s="58">
        <v>0</v>
      </c>
      <c r="K67" s="58">
        <v>0</v>
      </c>
      <c r="L67" s="58">
        <v>0</v>
      </c>
      <c r="M67" s="58">
        <v>0</v>
      </c>
      <c r="N67" s="76">
        <v>0</v>
      </c>
      <c r="O67" s="76">
        <v>0</v>
      </c>
      <c r="P67" s="76">
        <v>0</v>
      </c>
      <c r="Q67" s="76">
        <v>0</v>
      </c>
      <c r="R67" s="76">
        <v>0</v>
      </c>
      <c r="S67" s="58">
        <v>0</v>
      </c>
    </row>
    <row r="68" spans="1:19" ht="12" x14ac:dyDescent="0.2">
      <c r="A68" s="8"/>
      <c r="B68" s="31" t="s">
        <v>151</v>
      </c>
      <c r="C68" s="8" t="s">
        <v>149</v>
      </c>
      <c r="D68" s="34" t="s">
        <v>131</v>
      </c>
      <c r="E68" s="11" t="s">
        <v>11</v>
      </c>
      <c r="F68" s="12"/>
      <c r="G68" s="57" t="s">
        <v>152</v>
      </c>
      <c r="H68" s="58">
        <v>0</v>
      </c>
      <c r="I68" s="58">
        <v>0</v>
      </c>
      <c r="J68" s="58">
        <v>0</v>
      </c>
      <c r="K68" s="58">
        <v>0</v>
      </c>
      <c r="L68" s="58">
        <v>0</v>
      </c>
      <c r="M68" s="58">
        <v>0</v>
      </c>
      <c r="N68" s="76">
        <v>0</v>
      </c>
      <c r="O68" s="76">
        <v>0</v>
      </c>
      <c r="P68" s="76">
        <v>0</v>
      </c>
      <c r="Q68" s="76">
        <v>0</v>
      </c>
      <c r="R68" s="76">
        <v>0</v>
      </c>
      <c r="S68" s="58">
        <v>0</v>
      </c>
    </row>
    <row r="69" spans="1:19" ht="12" x14ac:dyDescent="0.2">
      <c r="A69" s="8"/>
      <c r="B69" s="31" t="s">
        <v>153</v>
      </c>
      <c r="C69" s="34" t="s">
        <v>142</v>
      </c>
      <c r="D69" s="34" t="s">
        <v>131</v>
      </c>
      <c r="E69" s="11" t="s">
        <v>11</v>
      </c>
      <c r="F69" s="12"/>
      <c r="G69" s="57" t="s">
        <v>154</v>
      </c>
      <c r="H69" s="58">
        <v>0</v>
      </c>
      <c r="I69" s="58">
        <v>0</v>
      </c>
      <c r="J69" s="58">
        <v>0</v>
      </c>
      <c r="K69" s="58">
        <v>0</v>
      </c>
      <c r="L69" s="58">
        <v>0</v>
      </c>
      <c r="M69" s="58">
        <v>0</v>
      </c>
      <c r="N69" s="76">
        <v>0</v>
      </c>
      <c r="O69" s="76">
        <v>0</v>
      </c>
      <c r="P69" s="76">
        <v>0</v>
      </c>
      <c r="Q69" s="76">
        <v>0</v>
      </c>
      <c r="R69" s="76">
        <v>0</v>
      </c>
      <c r="S69" s="58">
        <v>0</v>
      </c>
    </row>
    <row r="70" spans="1:19" ht="12" x14ac:dyDescent="0.2">
      <c r="A70" s="8"/>
      <c r="B70" s="31" t="s">
        <v>155</v>
      </c>
      <c r="C70" s="35" t="s">
        <v>156</v>
      </c>
      <c r="D70" s="8"/>
      <c r="E70" s="11" t="s">
        <v>72</v>
      </c>
      <c r="F70" s="12"/>
      <c r="G70" s="57" t="s">
        <v>107</v>
      </c>
      <c r="H70" s="58">
        <v>5.0999999999999997E-2</v>
      </c>
      <c r="I70" s="58">
        <v>0</v>
      </c>
      <c r="J70" s="58">
        <v>-1E-3</v>
      </c>
      <c r="K70" s="58">
        <v>0</v>
      </c>
      <c r="L70" s="58">
        <v>6.2E-2</v>
      </c>
      <c r="M70" s="58">
        <v>0</v>
      </c>
      <c r="N70" s="76">
        <v>0</v>
      </c>
      <c r="O70" s="76">
        <v>0</v>
      </c>
      <c r="P70" s="76">
        <v>0</v>
      </c>
      <c r="Q70" s="76">
        <v>0</v>
      </c>
      <c r="R70" s="76">
        <v>0</v>
      </c>
      <c r="S70" s="58">
        <v>0</v>
      </c>
    </row>
    <row r="71" spans="1:19" x14ac:dyDescent="0.2">
      <c r="A71" s="8"/>
      <c r="B71" s="31" t="s">
        <v>157</v>
      </c>
      <c r="C71" s="10"/>
      <c r="D71" s="8"/>
      <c r="E71" s="12"/>
      <c r="F71" s="12"/>
      <c r="G71" s="69" t="s">
        <v>158</v>
      </c>
      <c r="H71" s="56">
        <f t="shared" ref="H71:S71" si="18">SUM(H58:H70)</f>
        <v>5.0999999999999997E-2</v>
      </c>
      <c r="I71" s="56">
        <f t="shared" si="18"/>
        <v>0</v>
      </c>
      <c r="J71" s="56">
        <f t="shared" si="18"/>
        <v>-32.696000000000005</v>
      </c>
      <c r="K71" s="56">
        <f t="shared" si="18"/>
        <v>7.4550000000000054</v>
      </c>
      <c r="L71" s="56">
        <f t="shared" si="18"/>
        <v>-13.305000000000005</v>
      </c>
      <c r="M71" s="56">
        <f t="shared" si="18"/>
        <v>-832</v>
      </c>
      <c r="N71" s="77">
        <f t="shared" si="18"/>
        <v>32</v>
      </c>
      <c r="O71" s="77">
        <f t="shared" si="18"/>
        <v>0</v>
      </c>
      <c r="P71" s="77">
        <f t="shared" si="18"/>
        <v>0</v>
      </c>
      <c r="Q71" s="77">
        <f t="shared" si="18"/>
        <v>0</v>
      </c>
      <c r="R71" s="77">
        <f t="shared" si="18"/>
        <v>0</v>
      </c>
      <c r="S71" s="56">
        <f t="shared" si="18"/>
        <v>0</v>
      </c>
    </row>
    <row r="72" spans="1:19" x14ac:dyDescent="0.2">
      <c r="A72" s="8"/>
      <c r="B72" s="2"/>
      <c r="C72" s="10"/>
      <c r="D72" s="8"/>
      <c r="E72" s="9"/>
      <c r="G72" s="67"/>
      <c r="H72" s="48"/>
      <c r="I72" s="48"/>
      <c r="J72" s="48"/>
      <c r="K72" s="48"/>
      <c r="L72" s="48"/>
      <c r="M72" s="48"/>
      <c r="N72" s="4"/>
      <c r="O72" s="4"/>
      <c r="P72" s="4"/>
      <c r="Q72" s="4"/>
      <c r="R72" s="4"/>
      <c r="S72" s="48"/>
    </row>
    <row r="73" spans="1:19" x14ac:dyDescent="0.2">
      <c r="A73" s="8"/>
      <c r="B73" s="2"/>
      <c r="C73" s="10"/>
      <c r="D73" s="29" t="s">
        <v>120</v>
      </c>
      <c r="E73" s="30" t="s">
        <v>3</v>
      </c>
      <c r="F73" s="9"/>
      <c r="G73" s="53" t="s">
        <v>159</v>
      </c>
      <c r="H73" s="64">
        <f t="shared" ref="H73:S73" si="19">H57</f>
        <v>2011</v>
      </c>
      <c r="I73" s="64">
        <f t="shared" si="19"/>
        <v>2012</v>
      </c>
      <c r="J73" s="64">
        <f t="shared" si="19"/>
        <v>2013</v>
      </c>
      <c r="K73" s="64">
        <f t="shared" si="19"/>
        <v>2014</v>
      </c>
      <c r="L73" s="64">
        <f t="shared" si="19"/>
        <v>2015</v>
      </c>
      <c r="M73" s="64">
        <f t="shared" si="19"/>
        <v>2016</v>
      </c>
      <c r="N73" s="87">
        <f t="shared" si="19"/>
        <v>2017</v>
      </c>
      <c r="O73" s="87">
        <f t="shared" si="19"/>
        <v>2018</v>
      </c>
      <c r="P73" s="87">
        <f t="shared" si="19"/>
        <v>2019</v>
      </c>
      <c r="Q73" s="87">
        <f t="shared" si="19"/>
        <v>2020</v>
      </c>
      <c r="R73" s="87">
        <f t="shared" si="19"/>
        <v>2021</v>
      </c>
      <c r="S73" s="64">
        <f t="shared" si="19"/>
        <v>2022</v>
      </c>
    </row>
    <row r="74" spans="1:19" ht="12" x14ac:dyDescent="0.2">
      <c r="A74" s="8"/>
      <c r="B74" s="2" t="s">
        <v>160</v>
      </c>
      <c r="C74" s="34" t="s">
        <v>161</v>
      </c>
      <c r="D74" s="34" t="s">
        <v>128</v>
      </c>
      <c r="E74" s="11" t="s">
        <v>11</v>
      </c>
      <c r="G74" s="55" t="s">
        <v>162</v>
      </c>
      <c r="H74" s="58">
        <v>0</v>
      </c>
      <c r="I74" s="58">
        <v>0</v>
      </c>
      <c r="J74" s="58">
        <v>0</v>
      </c>
      <c r="K74" s="58">
        <v>0</v>
      </c>
      <c r="L74" s="58">
        <v>0</v>
      </c>
      <c r="M74" s="58">
        <v>0</v>
      </c>
      <c r="N74" s="76">
        <v>0</v>
      </c>
      <c r="O74" s="76">
        <v>0</v>
      </c>
      <c r="P74" s="76">
        <v>0</v>
      </c>
      <c r="Q74" s="76">
        <v>0</v>
      </c>
      <c r="R74" s="76">
        <v>0</v>
      </c>
      <c r="S74" s="58">
        <v>0</v>
      </c>
    </row>
    <row r="75" spans="1:19" ht="12" x14ac:dyDescent="0.2">
      <c r="A75" s="8"/>
      <c r="B75" s="2" t="s">
        <v>163</v>
      </c>
      <c r="C75" s="34" t="s">
        <v>161</v>
      </c>
      <c r="D75" s="34" t="s">
        <v>124</v>
      </c>
      <c r="E75" s="11" t="s">
        <v>89</v>
      </c>
      <c r="F75" s="12"/>
      <c r="G75" s="57" t="s">
        <v>164</v>
      </c>
      <c r="H75" s="58">
        <v>0</v>
      </c>
      <c r="I75" s="58">
        <v>0</v>
      </c>
      <c r="J75" s="58">
        <v>0</v>
      </c>
      <c r="K75" s="58">
        <v>0</v>
      </c>
      <c r="L75" s="58">
        <v>0</v>
      </c>
      <c r="M75" s="58">
        <v>0</v>
      </c>
      <c r="N75" s="76">
        <v>0</v>
      </c>
      <c r="O75" s="76">
        <v>0</v>
      </c>
      <c r="P75" s="76">
        <v>0</v>
      </c>
      <c r="Q75" s="76">
        <v>0</v>
      </c>
      <c r="R75" s="76">
        <v>0</v>
      </c>
      <c r="S75" s="58">
        <v>0</v>
      </c>
    </row>
    <row r="76" spans="1:19" ht="12" x14ac:dyDescent="0.2">
      <c r="A76" s="8"/>
      <c r="B76" s="2" t="s">
        <v>165</v>
      </c>
      <c r="C76" s="34" t="s">
        <v>166</v>
      </c>
      <c r="D76" s="34" t="s">
        <v>131</v>
      </c>
      <c r="E76" s="11" t="s">
        <v>11</v>
      </c>
      <c r="G76" s="57" t="s">
        <v>167</v>
      </c>
      <c r="H76" s="58">
        <v>0</v>
      </c>
      <c r="I76" s="58">
        <v>0</v>
      </c>
      <c r="J76" s="58">
        <v>0</v>
      </c>
      <c r="K76" s="58">
        <v>0</v>
      </c>
      <c r="L76" s="58">
        <v>0</v>
      </c>
      <c r="M76" s="58">
        <v>0</v>
      </c>
      <c r="N76" s="76">
        <v>0</v>
      </c>
      <c r="O76" s="76">
        <v>0</v>
      </c>
      <c r="P76" s="76">
        <v>0</v>
      </c>
      <c r="Q76" s="76">
        <v>0</v>
      </c>
      <c r="R76" s="76">
        <v>0</v>
      </c>
      <c r="S76" s="58">
        <v>0</v>
      </c>
    </row>
    <row r="77" spans="1:19" ht="12" x14ac:dyDescent="0.2">
      <c r="A77" s="8"/>
      <c r="B77" s="2" t="s">
        <v>168</v>
      </c>
      <c r="C77" s="34" t="s">
        <v>166</v>
      </c>
      <c r="D77" s="34" t="s">
        <v>135</v>
      </c>
      <c r="E77" s="11" t="s">
        <v>89</v>
      </c>
      <c r="F77" s="12"/>
      <c r="G77" s="57" t="s">
        <v>169</v>
      </c>
      <c r="H77" s="58">
        <v>0</v>
      </c>
      <c r="I77" s="58">
        <v>0</v>
      </c>
      <c r="J77" s="58">
        <v>0</v>
      </c>
      <c r="K77" s="58">
        <v>0</v>
      </c>
      <c r="L77" s="58">
        <v>0</v>
      </c>
      <c r="M77" s="58">
        <v>0</v>
      </c>
      <c r="N77" s="76">
        <v>0</v>
      </c>
      <c r="O77" s="76">
        <v>0</v>
      </c>
      <c r="P77" s="76">
        <v>0</v>
      </c>
      <c r="Q77" s="76">
        <v>0</v>
      </c>
      <c r="R77" s="76">
        <v>0</v>
      </c>
      <c r="S77" s="58">
        <v>0</v>
      </c>
    </row>
    <row r="78" spans="1:19" ht="12" x14ac:dyDescent="0.2">
      <c r="A78" s="8"/>
      <c r="B78" s="2" t="s">
        <v>170</v>
      </c>
      <c r="C78" s="34" t="s">
        <v>171</v>
      </c>
      <c r="D78" s="34" t="s">
        <v>135</v>
      </c>
      <c r="E78" s="11" t="s">
        <v>89</v>
      </c>
      <c r="F78" s="12"/>
      <c r="G78" s="57" t="s">
        <v>172</v>
      </c>
      <c r="H78" s="58">
        <v>0</v>
      </c>
      <c r="I78" s="58">
        <v>0</v>
      </c>
      <c r="J78" s="58">
        <v>0</v>
      </c>
      <c r="K78" s="58">
        <v>0</v>
      </c>
      <c r="L78" s="58">
        <v>-2.5</v>
      </c>
      <c r="M78" s="58">
        <v>-2.8359999999999999</v>
      </c>
      <c r="N78" s="76">
        <v>-3</v>
      </c>
      <c r="O78" s="76">
        <v>-3</v>
      </c>
      <c r="P78" s="76">
        <v>-3</v>
      </c>
      <c r="Q78" s="76">
        <v>-4</v>
      </c>
      <c r="R78" s="76">
        <v>0</v>
      </c>
      <c r="S78" s="58">
        <v>0</v>
      </c>
    </row>
    <row r="79" spans="1:19" ht="12" x14ac:dyDescent="0.2">
      <c r="A79" s="8"/>
      <c r="B79" s="2" t="s">
        <v>173</v>
      </c>
      <c r="C79" s="34" t="s">
        <v>174</v>
      </c>
      <c r="D79" s="34" t="s">
        <v>135</v>
      </c>
      <c r="E79" s="11" t="s">
        <v>89</v>
      </c>
      <c r="F79" s="12"/>
      <c r="G79" s="57" t="s">
        <v>175</v>
      </c>
      <c r="H79" s="58">
        <v>0</v>
      </c>
      <c r="I79" s="58">
        <v>0</v>
      </c>
      <c r="J79" s="58">
        <v>0</v>
      </c>
      <c r="K79" s="58">
        <v>0</v>
      </c>
      <c r="L79" s="58">
        <v>0</v>
      </c>
      <c r="M79" s="58">
        <v>-0.49099999999999999</v>
      </c>
      <c r="N79" s="76">
        <v>0</v>
      </c>
      <c r="O79" s="76">
        <v>0</v>
      </c>
      <c r="P79" s="76">
        <v>0</v>
      </c>
      <c r="Q79" s="76">
        <v>0</v>
      </c>
      <c r="R79" s="76">
        <v>0</v>
      </c>
      <c r="S79" s="58">
        <v>0</v>
      </c>
    </row>
    <row r="80" spans="1:19" ht="12" x14ac:dyDescent="0.2">
      <c r="A80" s="8"/>
      <c r="B80" s="2" t="s">
        <v>176</v>
      </c>
      <c r="C80" s="34" t="s">
        <v>177</v>
      </c>
      <c r="D80" s="34" t="s">
        <v>135</v>
      </c>
      <c r="E80" s="11" t="s">
        <v>89</v>
      </c>
      <c r="F80" s="12"/>
      <c r="G80" s="57" t="s">
        <v>178</v>
      </c>
      <c r="H80" s="58">
        <v>0</v>
      </c>
      <c r="I80" s="58">
        <v>0</v>
      </c>
      <c r="J80" s="58">
        <v>0</v>
      </c>
      <c r="K80" s="58">
        <v>0</v>
      </c>
      <c r="L80" s="58">
        <v>0</v>
      </c>
      <c r="M80" s="58">
        <v>0</v>
      </c>
      <c r="N80" s="76">
        <v>0</v>
      </c>
      <c r="O80" s="76">
        <v>0</v>
      </c>
      <c r="P80" s="76">
        <v>0</v>
      </c>
      <c r="Q80" s="76">
        <v>0</v>
      </c>
      <c r="R80" s="76">
        <v>0</v>
      </c>
      <c r="S80" s="58">
        <v>0</v>
      </c>
    </row>
    <row r="81" spans="1:19" ht="12" x14ac:dyDescent="0.2">
      <c r="A81" s="8"/>
      <c r="B81" s="2" t="s">
        <v>179</v>
      </c>
      <c r="C81" s="34" t="s">
        <v>52</v>
      </c>
      <c r="D81" s="34" t="s">
        <v>135</v>
      </c>
      <c r="E81" s="11" t="s">
        <v>89</v>
      </c>
      <c r="F81" s="12"/>
      <c r="G81" s="57" t="s">
        <v>180</v>
      </c>
      <c r="H81" s="58">
        <v>0</v>
      </c>
      <c r="I81" s="58">
        <v>0</v>
      </c>
      <c r="J81" s="58">
        <v>0</v>
      </c>
      <c r="K81" s="58">
        <v>0</v>
      </c>
      <c r="L81" s="58">
        <v>0</v>
      </c>
      <c r="M81" s="58">
        <v>0</v>
      </c>
      <c r="N81" s="76">
        <v>0</v>
      </c>
      <c r="O81" s="76">
        <v>0</v>
      </c>
      <c r="P81" s="76">
        <v>0</v>
      </c>
      <c r="Q81" s="76">
        <v>0</v>
      </c>
      <c r="R81" s="76">
        <v>0</v>
      </c>
      <c r="S81" s="58">
        <v>0</v>
      </c>
    </row>
    <row r="82" spans="1:19" ht="12" x14ac:dyDescent="0.2">
      <c r="A82" s="8"/>
      <c r="B82" s="2" t="s">
        <v>181</v>
      </c>
      <c r="C82" s="34" t="s">
        <v>182</v>
      </c>
      <c r="D82" s="34" t="s">
        <v>131</v>
      </c>
      <c r="E82" s="11" t="s">
        <v>11</v>
      </c>
      <c r="G82" s="57" t="s">
        <v>183</v>
      </c>
      <c r="H82" s="58">
        <v>0</v>
      </c>
      <c r="I82" s="58">
        <v>0</v>
      </c>
      <c r="J82" s="58">
        <v>0</v>
      </c>
      <c r="K82" s="58">
        <v>0</v>
      </c>
      <c r="L82" s="58">
        <v>0</v>
      </c>
      <c r="M82" s="58">
        <v>0</v>
      </c>
      <c r="N82" s="76">
        <v>0</v>
      </c>
      <c r="O82" s="76">
        <v>0</v>
      </c>
      <c r="P82" s="76">
        <v>0</v>
      </c>
      <c r="Q82" s="76">
        <v>0</v>
      </c>
      <c r="R82" s="76">
        <v>0</v>
      </c>
      <c r="S82" s="58">
        <v>0</v>
      </c>
    </row>
    <row r="83" spans="1:19" ht="12" x14ac:dyDescent="0.2">
      <c r="A83" s="8"/>
      <c r="B83" s="2" t="s">
        <v>184</v>
      </c>
      <c r="C83" s="34" t="s">
        <v>182</v>
      </c>
      <c r="D83" s="34" t="s">
        <v>135</v>
      </c>
      <c r="E83" s="11" t="s">
        <v>89</v>
      </c>
      <c r="F83" s="12"/>
      <c r="G83" s="57" t="s">
        <v>374</v>
      </c>
      <c r="H83" s="58">
        <v>0</v>
      </c>
      <c r="I83" s="58">
        <v>0</v>
      </c>
      <c r="J83" s="58">
        <v>0</v>
      </c>
      <c r="K83" s="58">
        <v>0</v>
      </c>
      <c r="L83" s="58">
        <v>0</v>
      </c>
      <c r="M83" s="58">
        <v>0</v>
      </c>
      <c r="N83" s="76">
        <v>0</v>
      </c>
      <c r="O83" s="76">
        <v>0</v>
      </c>
      <c r="P83" s="76">
        <v>0</v>
      </c>
      <c r="Q83" s="76">
        <v>0</v>
      </c>
      <c r="R83" s="76">
        <v>0</v>
      </c>
      <c r="S83" s="58">
        <v>0</v>
      </c>
    </row>
    <row r="84" spans="1:19" ht="12" x14ac:dyDescent="0.2">
      <c r="A84" s="8"/>
      <c r="B84" s="2" t="s">
        <v>185</v>
      </c>
      <c r="C84" s="34" t="s">
        <v>375</v>
      </c>
      <c r="D84" s="34" t="s">
        <v>135</v>
      </c>
      <c r="E84" s="11" t="s">
        <v>89</v>
      </c>
      <c r="F84" s="12"/>
      <c r="G84" s="57" t="s">
        <v>376</v>
      </c>
      <c r="H84" s="58">
        <v>0</v>
      </c>
      <c r="I84" s="58">
        <v>0</v>
      </c>
      <c r="J84" s="58">
        <v>0</v>
      </c>
      <c r="K84" s="58">
        <v>0</v>
      </c>
      <c r="L84" s="58">
        <v>0</v>
      </c>
      <c r="M84" s="58">
        <v>0</v>
      </c>
      <c r="N84" s="76">
        <v>0</v>
      </c>
      <c r="O84" s="76">
        <v>0</v>
      </c>
      <c r="P84" s="76">
        <v>0</v>
      </c>
      <c r="Q84" s="76">
        <v>0</v>
      </c>
      <c r="R84" s="76">
        <v>0</v>
      </c>
      <c r="S84" s="58">
        <v>0</v>
      </c>
    </row>
    <row r="85" spans="1:19" ht="12" x14ac:dyDescent="0.2">
      <c r="A85" s="8"/>
      <c r="B85" s="2" t="s">
        <v>186</v>
      </c>
      <c r="C85" s="36">
        <v>68</v>
      </c>
      <c r="D85" s="34" t="s">
        <v>135</v>
      </c>
      <c r="E85" s="11" t="s">
        <v>89</v>
      </c>
      <c r="F85" s="12"/>
      <c r="G85" s="70" t="s">
        <v>111</v>
      </c>
      <c r="H85" s="58">
        <v>0</v>
      </c>
      <c r="I85" s="58">
        <v>0</v>
      </c>
      <c r="J85" s="58">
        <v>0</v>
      </c>
      <c r="K85" s="58">
        <v>0</v>
      </c>
      <c r="L85" s="58">
        <v>0</v>
      </c>
      <c r="M85" s="58">
        <v>0</v>
      </c>
      <c r="N85" s="76">
        <v>0</v>
      </c>
      <c r="O85" s="76">
        <v>0</v>
      </c>
      <c r="P85" s="76">
        <v>0</v>
      </c>
      <c r="Q85" s="76">
        <v>0</v>
      </c>
      <c r="R85" s="76">
        <v>0</v>
      </c>
      <c r="S85" s="58">
        <v>0</v>
      </c>
    </row>
    <row r="86" spans="1:19" x14ac:dyDescent="0.2">
      <c r="A86" s="8"/>
      <c r="B86" s="2" t="s">
        <v>377</v>
      </c>
      <c r="C86" s="10"/>
      <c r="D86" s="10"/>
      <c r="E86" s="9"/>
      <c r="G86" s="70" t="s">
        <v>158</v>
      </c>
      <c r="H86" s="56">
        <f t="shared" ref="H86:S86" si="20">SUM(H74:H85)</f>
        <v>0</v>
      </c>
      <c r="I86" s="56">
        <f t="shared" si="20"/>
        <v>0</v>
      </c>
      <c r="J86" s="56">
        <f t="shared" si="20"/>
        <v>0</v>
      </c>
      <c r="K86" s="56">
        <f t="shared" si="20"/>
        <v>0</v>
      </c>
      <c r="L86" s="56">
        <f t="shared" si="20"/>
        <v>-2.5</v>
      </c>
      <c r="M86" s="56">
        <f t="shared" si="20"/>
        <v>-3.327</v>
      </c>
      <c r="N86" s="56">
        <f t="shared" si="20"/>
        <v>-3</v>
      </c>
      <c r="O86" s="56">
        <f t="shared" si="20"/>
        <v>-3</v>
      </c>
      <c r="P86" s="56">
        <f t="shared" si="20"/>
        <v>-3</v>
      </c>
      <c r="Q86" s="56">
        <f t="shared" si="20"/>
        <v>-4</v>
      </c>
      <c r="R86" s="56">
        <f t="shared" si="20"/>
        <v>0</v>
      </c>
      <c r="S86" s="56">
        <f t="shared" si="20"/>
        <v>0</v>
      </c>
    </row>
    <row r="87" spans="1:19" s="4" customFormat="1" x14ac:dyDescent="0.2">
      <c r="A87" s="8"/>
      <c r="B87" s="2" t="s">
        <v>378</v>
      </c>
      <c r="C87" s="10"/>
      <c r="D87" s="10"/>
      <c r="E87" s="9"/>
      <c r="F87" s="8"/>
      <c r="G87" s="89" t="s">
        <v>379</v>
      </c>
      <c r="H87" s="98"/>
      <c r="I87" s="85">
        <f t="shared" ref="I87:S87" si="21">(I14+I15)-(H14+H15-I58-I59+I45)</f>
        <v>0</v>
      </c>
      <c r="J87" s="85">
        <f t="shared" si="21"/>
        <v>1069.9559999999999</v>
      </c>
      <c r="K87" s="85">
        <f t="shared" si="21"/>
        <v>45.088999999999942</v>
      </c>
      <c r="L87" s="85">
        <f t="shared" si="21"/>
        <v>23.155999999999949</v>
      </c>
      <c r="M87" s="85">
        <f t="shared" si="21"/>
        <v>-0.43299999999999272</v>
      </c>
      <c r="N87" s="85">
        <f t="shared" si="21"/>
        <v>0</v>
      </c>
      <c r="O87" s="85">
        <f t="shared" si="21"/>
        <v>0</v>
      </c>
      <c r="P87" s="85">
        <f t="shared" si="21"/>
        <v>0</v>
      </c>
      <c r="Q87" s="85">
        <f t="shared" si="21"/>
        <v>0</v>
      </c>
      <c r="R87" s="85">
        <f t="shared" si="21"/>
        <v>0</v>
      </c>
      <c r="S87" s="85">
        <f t="shared" si="21"/>
        <v>0</v>
      </c>
    </row>
    <row r="88" spans="1:19" s="4" customFormat="1" x14ac:dyDescent="0.2">
      <c r="A88" s="8"/>
      <c r="B88" s="2" t="s">
        <v>380</v>
      </c>
      <c r="C88" s="10"/>
      <c r="D88" s="10"/>
      <c r="E88" s="9"/>
      <c r="F88" s="8"/>
      <c r="G88" s="89" t="s">
        <v>381</v>
      </c>
      <c r="H88" s="98"/>
      <c r="I88" s="85">
        <f>I24-(H24+(I74+I76)+(I75+I77)+(I78))</f>
        <v>0</v>
      </c>
      <c r="J88" s="85">
        <f>J24-(I24+(J74+J76)+(J75+J77)+(J78))</f>
        <v>0</v>
      </c>
      <c r="K88" s="85">
        <f>K24-(J24+(K74+K76)+(K75+K77)+(K78))</f>
        <v>0</v>
      </c>
      <c r="L88" s="85">
        <f>L24-(K24+(L74+L76)+(L75+L77)+(L78))</f>
        <v>19</v>
      </c>
      <c r="M88" s="85">
        <f>M24-(L24+(M74+M76)+(M75+M77)+(M78))</f>
        <v>-0.25399999999999956</v>
      </c>
      <c r="N88" s="85">
        <f t="shared" ref="N88:S88" si="22">N24-(M24+(N74+N76)+(N75+N77)+(N78))</f>
        <v>-0.41000000000000014</v>
      </c>
      <c r="O88" s="85">
        <f t="shared" si="22"/>
        <v>0</v>
      </c>
      <c r="P88" s="85">
        <f t="shared" si="22"/>
        <v>0</v>
      </c>
      <c r="Q88" s="85">
        <f t="shared" si="22"/>
        <v>0</v>
      </c>
      <c r="R88" s="85">
        <f t="shared" si="22"/>
        <v>0</v>
      </c>
      <c r="S88" s="85">
        <f t="shared" si="22"/>
        <v>0</v>
      </c>
    </row>
    <row r="89" spans="1:19" s="4" customFormat="1" x14ac:dyDescent="0.2">
      <c r="A89" s="8"/>
      <c r="B89" s="2" t="s">
        <v>382</v>
      </c>
      <c r="C89" s="10"/>
      <c r="D89" s="10"/>
      <c r="E89" s="9"/>
      <c r="F89" s="8"/>
      <c r="G89" s="89" t="s">
        <v>383</v>
      </c>
      <c r="H89" s="98"/>
      <c r="I89" s="85">
        <f t="shared" ref="I89:S89" si="23">I28-(H28+(I82+I83))</f>
        <v>0</v>
      </c>
      <c r="J89" s="85">
        <f t="shared" si="23"/>
        <v>1064.598</v>
      </c>
      <c r="K89" s="85">
        <f t="shared" si="23"/>
        <v>0</v>
      </c>
      <c r="L89" s="85">
        <f t="shared" si="23"/>
        <v>0</v>
      </c>
      <c r="M89" s="85">
        <f t="shared" si="23"/>
        <v>0.40200000000004366</v>
      </c>
      <c r="N89" s="85">
        <f t="shared" si="23"/>
        <v>-0.40200000000004366</v>
      </c>
      <c r="O89" s="85">
        <f t="shared" si="23"/>
        <v>0</v>
      </c>
      <c r="P89" s="85">
        <f t="shared" si="23"/>
        <v>0</v>
      </c>
      <c r="Q89" s="85">
        <f t="shared" si="23"/>
        <v>0</v>
      </c>
      <c r="R89" s="85">
        <f t="shared" si="23"/>
        <v>0</v>
      </c>
      <c r="S89" s="85">
        <f t="shared" si="23"/>
        <v>0</v>
      </c>
    </row>
    <row r="90" spans="1:19" s="4" customFormat="1" x14ac:dyDescent="0.2">
      <c r="A90" s="8"/>
      <c r="B90" s="2" t="s">
        <v>384</v>
      </c>
      <c r="C90" s="10"/>
      <c r="D90" s="10"/>
      <c r="E90" s="9"/>
      <c r="F90" s="8"/>
      <c r="G90" s="89" t="s">
        <v>385</v>
      </c>
      <c r="H90" s="98"/>
      <c r="I90" s="85">
        <f t="shared" ref="I90:S90" si="24">I29-(H29+H30)-I84</f>
        <v>0</v>
      </c>
      <c r="J90" s="85">
        <f t="shared" si="24"/>
        <v>0</v>
      </c>
      <c r="K90" s="85">
        <f t="shared" si="24"/>
        <v>0</v>
      </c>
      <c r="L90" s="85">
        <f t="shared" si="24"/>
        <v>0</v>
      </c>
      <c r="M90" s="85">
        <f t="shared" si="24"/>
        <v>6.799999999999784E-2</v>
      </c>
      <c r="N90" s="85">
        <f t="shared" si="24"/>
        <v>-8.2999999999969987E-2</v>
      </c>
      <c r="O90" s="85">
        <f t="shared" si="24"/>
        <v>0</v>
      </c>
      <c r="P90" s="85">
        <f t="shared" si="24"/>
        <v>0</v>
      </c>
      <c r="Q90" s="85">
        <f t="shared" si="24"/>
        <v>0</v>
      </c>
      <c r="R90" s="85">
        <f t="shared" si="24"/>
        <v>0</v>
      </c>
      <c r="S90" s="85">
        <f t="shared" si="24"/>
        <v>0</v>
      </c>
    </row>
    <row r="91" spans="1:19" s="4" customFormat="1" x14ac:dyDescent="0.2">
      <c r="A91" s="8"/>
      <c r="B91" s="2"/>
      <c r="C91" s="10"/>
      <c r="D91" s="10"/>
      <c r="E91" s="9"/>
      <c r="F91" s="8"/>
      <c r="G91" s="28"/>
      <c r="L91" s="93">
        <f>L90-L87</f>
        <v>-23.155999999999949</v>
      </c>
    </row>
    <row r="92" spans="1:19" s="4" customFormat="1" x14ac:dyDescent="0.2">
      <c r="A92" s="13" t="s">
        <v>0</v>
      </c>
      <c r="B92" s="2"/>
      <c r="C92" s="10"/>
      <c r="D92" s="753" t="s">
        <v>187</v>
      </c>
      <c r="E92" s="754"/>
      <c r="F92" s="8"/>
      <c r="G92" s="94" t="s">
        <v>386</v>
      </c>
      <c r="H92" s="87">
        <f>H73</f>
        <v>2011</v>
      </c>
      <c r="I92" s="87">
        <f t="shared" ref="I92:S92" si="25">I73</f>
        <v>2012</v>
      </c>
      <c r="J92" s="87">
        <f t="shared" si="25"/>
        <v>2013</v>
      </c>
      <c r="K92" s="87">
        <f t="shared" si="25"/>
        <v>2014</v>
      </c>
      <c r="L92" s="87">
        <f t="shared" si="25"/>
        <v>2015</v>
      </c>
      <c r="M92" s="87">
        <f t="shared" si="25"/>
        <v>2016</v>
      </c>
      <c r="N92" s="87">
        <f t="shared" si="25"/>
        <v>2017</v>
      </c>
      <c r="O92" s="87">
        <f t="shared" si="25"/>
        <v>2018</v>
      </c>
      <c r="P92" s="87">
        <f t="shared" si="25"/>
        <v>2019</v>
      </c>
      <c r="Q92" s="87">
        <f t="shared" si="25"/>
        <v>2020</v>
      </c>
      <c r="R92" s="87">
        <f t="shared" si="25"/>
        <v>2021</v>
      </c>
      <c r="S92" s="87">
        <f t="shared" si="25"/>
        <v>2022</v>
      </c>
    </row>
    <row r="93" spans="1:19" s="4" customFormat="1" x14ac:dyDescent="0.2">
      <c r="A93" s="8"/>
      <c r="B93" s="2" t="s">
        <v>387</v>
      </c>
      <c r="C93" s="10" t="s">
        <v>388</v>
      </c>
      <c r="D93" s="10"/>
      <c r="E93" s="9"/>
      <c r="F93" s="8"/>
      <c r="G93" s="95" t="s">
        <v>389</v>
      </c>
      <c r="H93" s="96">
        <f>H5+H11+H12+H13</f>
        <v>0</v>
      </c>
      <c r="I93" s="96">
        <f>I5+I11+I12+I13</f>
        <v>0</v>
      </c>
      <c r="J93" s="96">
        <f t="shared" ref="J93:S93" si="26">J5+J11+J12+J13</f>
        <v>83.557000000000002</v>
      </c>
      <c r="K93" s="96">
        <f t="shared" si="26"/>
        <v>34.649000000000001</v>
      </c>
      <c r="L93" s="96">
        <f t="shared" si="26"/>
        <v>69.62</v>
      </c>
      <c r="M93" s="96">
        <f t="shared" si="26"/>
        <v>186</v>
      </c>
      <c r="N93" s="96">
        <f t="shared" si="26"/>
        <v>111</v>
      </c>
      <c r="O93" s="96">
        <f t="shared" si="26"/>
        <v>116</v>
      </c>
      <c r="P93" s="96">
        <f t="shared" si="26"/>
        <v>204</v>
      </c>
      <c r="Q93" s="96">
        <f t="shared" si="26"/>
        <v>195</v>
      </c>
      <c r="R93" s="96">
        <f t="shared" si="26"/>
        <v>195</v>
      </c>
      <c r="S93" s="96">
        <f t="shared" si="26"/>
        <v>227</v>
      </c>
    </row>
    <row r="94" spans="1:19" s="4" customFormat="1" x14ac:dyDescent="0.2">
      <c r="A94" s="8"/>
      <c r="B94" s="2" t="s">
        <v>390</v>
      </c>
      <c r="C94" s="10"/>
      <c r="D94" s="10"/>
      <c r="E94" s="9"/>
      <c r="F94" s="8"/>
      <c r="G94" s="97" t="s">
        <v>391</v>
      </c>
      <c r="H94" s="98"/>
      <c r="I94" s="96">
        <f>I93-H93</f>
        <v>0</v>
      </c>
      <c r="J94" s="96">
        <f t="shared" ref="J94:S94" si="27">J93-I93</f>
        <v>83.557000000000002</v>
      </c>
      <c r="K94" s="96">
        <f t="shared" si="27"/>
        <v>-48.908000000000001</v>
      </c>
      <c r="L94" s="96">
        <f t="shared" si="27"/>
        <v>34.971000000000004</v>
      </c>
      <c r="M94" s="96">
        <f t="shared" si="27"/>
        <v>116.38</v>
      </c>
      <c r="N94" s="96">
        <f t="shared" si="27"/>
        <v>-75</v>
      </c>
      <c r="O94" s="96">
        <f t="shared" si="27"/>
        <v>5</v>
      </c>
      <c r="P94" s="96">
        <f t="shared" si="27"/>
        <v>88</v>
      </c>
      <c r="Q94" s="96">
        <f t="shared" si="27"/>
        <v>-9</v>
      </c>
      <c r="R94" s="96">
        <f t="shared" si="27"/>
        <v>0</v>
      </c>
      <c r="S94" s="96">
        <f t="shared" si="27"/>
        <v>32</v>
      </c>
    </row>
    <row r="95" spans="1:19" s="4" customFormat="1" x14ac:dyDescent="0.2">
      <c r="A95" s="8"/>
      <c r="B95" s="2" t="s">
        <v>392</v>
      </c>
      <c r="C95" s="10" t="s">
        <v>42</v>
      </c>
      <c r="D95" s="10"/>
      <c r="E95" s="9"/>
      <c r="F95" s="8"/>
      <c r="G95" s="95" t="s">
        <v>393</v>
      </c>
      <c r="H95" s="96">
        <f>H19</f>
        <v>0</v>
      </c>
      <c r="I95" s="96">
        <f t="shared" ref="I95:S95" si="28">I19</f>
        <v>0</v>
      </c>
      <c r="J95" s="96">
        <f t="shared" si="28"/>
        <v>46.401000000000003</v>
      </c>
      <c r="K95" s="96">
        <f t="shared" si="28"/>
        <v>50.357999999999997</v>
      </c>
      <c r="L95" s="96">
        <f t="shared" si="28"/>
        <v>147.5</v>
      </c>
      <c r="M95" s="96">
        <f t="shared" si="28"/>
        <v>258.41000000000003</v>
      </c>
      <c r="N95" s="96">
        <f>N19</f>
        <v>166</v>
      </c>
      <c r="O95" s="96">
        <f t="shared" si="28"/>
        <v>191</v>
      </c>
      <c r="P95" s="96">
        <f t="shared" si="28"/>
        <v>44</v>
      </c>
      <c r="Q95" s="96">
        <f t="shared" si="28"/>
        <v>35</v>
      </c>
      <c r="R95" s="96">
        <f t="shared" si="28"/>
        <v>35</v>
      </c>
      <c r="S95" s="96">
        <f t="shared" si="28"/>
        <v>40</v>
      </c>
    </row>
    <row r="96" spans="1:19" s="4" customFormat="1" x14ac:dyDescent="0.2">
      <c r="A96" s="8"/>
      <c r="B96" s="2" t="s">
        <v>394</v>
      </c>
      <c r="C96" s="10"/>
      <c r="D96" s="10"/>
      <c r="E96" s="9"/>
      <c r="F96" s="8"/>
      <c r="G96" s="97" t="s">
        <v>391</v>
      </c>
      <c r="H96" s="98"/>
      <c r="I96" s="96">
        <f>I95-H95</f>
        <v>0</v>
      </c>
      <c r="J96" s="96">
        <f t="shared" ref="J96:S96" si="29">J95-I95</f>
        <v>46.401000000000003</v>
      </c>
      <c r="K96" s="96">
        <f t="shared" si="29"/>
        <v>3.9569999999999936</v>
      </c>
      <c r="L96" s="96">
        <f t="shared" si="29"/>
        <v>97.141999999999996</v>
      </c>
      <c r="M96" s="96">
        <f t="shared" si="29"/>
        <v>110.91000000000003</v>
      </c>
      <c r="N96" s="96">
        <f t="shared" si="29"/>
        <v>-92.410000000000025</v>
      </c>
      <c r="O96" s="96">
        <f t="shared" si="29"/>
        <v>25</v>
      </c>
      <c r="P96" s="96">
        <f t="shared" si="29"/>
        <v>-147</v>
      </c>
      <c r="Q96" s="96">
        <f t="shared" si="29"/>
        <v>-9</v>
      </c>
      <c r="R96" s="96">
        <f t="shared" si="29"/>
        <v>0</v>
      </c>
      <c r="S96" s="96">
        <f t="shared" si="29"/>
        <v>5</v>
      </c>
    </row>
    <row r="97" spans="1:20" s="40" customFormat="1" x14ac:dyDescent="0.2">
      <c r="A97" s="29" t="s">
        <v>395</v>
      </c>
      <c r="B97" s="2" t="s">
        <v>188</v>
      </c>
      <c r="C97" s="10" t="s">
        <v>396</v>
      </c>
      <c r="D97" s="99"/>
      <c r="E97" s="30"/>
      <c r="F97" s="29"/>
      <c r="G97" s="100" t="s">
        <v>386</v>
      </c>
      <c r="H97" s="101"/>
      <c r="I97" s="102">
        <f>I94-I96</f>
        <v>0</v>
      </c>
      <c r="J97" s="102">
        <f t="shared" ref="J97:S97" si="30">J94-J96</f>
        <v>37.155999999999999</v>
      </c>
      <c r="K97" s="102">
        <f t="shared" si="30"/>
        <v>-52.864999999999995</v>
      </c>
      <c r="L97" s="102">
        <f t="shared" si="30"/>
        <v>-62.170999999999992</v>
      </c>
      <c r="M97" s="102">
        <f t="shared" si="30"/>
        <v>5.4699999999999704</v>
      </c>
      <c r="N97" s="102">
        <f t="shared" si="30"/>
        <v>17.410000000000025</v>
      </c>
      <c r="O97" s="102">
        <f t="shared" si="30"/>
        <v>-20</v>
      </c>
      <c r="P97" s="102">
        <f t="shared" si="30"/>
        <v>235</v>
      </c>
      <c r="Q97" s="102">
        <f t="shared" si="30"/>
        <v>0</v>
      </c>
      <c r="R97" s="102">
        <f t="shared" si="30"/>
        <v>0</v>
      </c>
      <c r="S97" s="102">
        <f t="shared" si="30"/>
        <v>27</v>
      </c>
    </row>
    <row r="98" spans="1:20" s="4" customFormat="1" x14ac:dyDescent="0.2">
      <c r="A98" s="8"/>
      <c r="B98" s="2"/>
      <c r="C98" s="10"/>
      <c r="D98" s="10"/>
      <c r="E98" s="9"/>
      <c r="F98" s="8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</row>
    <row r="99" spans="1:20" s="4" customFormat="1" x14ac:dyDescent="0.2">
      <c r="A99" s="8"/>
      <c r="B99" s="2" t="s">
        <v>397</v>
      </c>
      <c r="C99" s="10" t="s">
        <v>398</v>
      </c>
      <c r="D99" s="10"/>
      <c r="E99" s="9"/>
      <c r="F99" s="8"/>
      <c r="G99" s="95" t="s">
        <v>399</v>
      </c>
      <c r="H99" s="96">
        <f>H4-H93</f>
        <v>0</v>
      </c>
      <c r="I99" s="96">
        <f t="shared" ref="I99:S99" si="31">I4-I93</f>
        <v>0</v>
      </c>
      <c r="J99" s="96">
        <f t="shared" si="31"/>
        <v>1137.4179999999999</v>
      </c>
      <c r="K99" s="96">
        <f t="shared" si="31"/>
        <v>1135.3959999999997</v>
      </c>
      <c r="L99" s="96">
        <f t="shared" si="31"/>
        <v>1206.433</v>
      </c>
      <c r="M99" s="96">
        <f t="shared" si="31"/>
        <v>2130</v>
      </c>
      <c r="N99" s="96">
        <f t="shared" si="31"/>
        <v>2233</v>
      </c>
      <c r="O99" s="96">
        <f t="shared" si="31"/>
        <v>4801</v>
      </c>
      <c r="P99" s="96">
        <f t="shared" si="31"/>
        <v>5880</v>
      </c>
      <c r="Q99" s="96">
        <f t="shared" si="31"/>
        <v>5510</v>
      </c>
      <c r="R99" s="96">
        <f t="shared" si="31"/>
        <v>5139</v>
      </c>
      <c r="S99" s="96">
        <f t="shared" si="31"/>
        <v>4766</v>
      </c>
    </row>
    <row r="100" spans="1:20" s="4" customFormat="1" x14ac:dyDescent="0.2">
      <c r="A100" s="8"/>
      <c r="B100" s="2" t="s">
        <v>400</v>
      </c>
      <c r="C100" s="10"/>
      <c r="D100" s="10"/>
      <c r="E100" s="9"/>
      <c r="F100" s="8"/>
      <c r="G100" s="97" t="s">
        <v>391</v>
      </c>
      <c r="H100" s="98"/>
      <c r="I100" s="96">
        <f>I99-H99</f>
        <v>0</v>
      </c>
      <c r="J100" s="96">
        <f t="shared" ref="J100:S100" si="32">J99-I99</f>
        <v>1137.4179999999999</v>
      </c>
      <c r="K100" s="96">
        <f t="shared" si="32"/>
        <v>-2.0220000000001619</v>
      </c>
      <c r="L100" s="96">
        <f t="shared" si="32"/>
        <v>71.037000000000262</v>
      </c>
      <c r="M100" s="96">
        <f t="shared" si="32"/>
        <v>923.56700000000001</v>
      </c>
      <c r="N100" s="96">
        <f t="shared" si="32"/>
        <v>103</v>
      </c>
      <c r="O100" s="96">
        <f t="shared" si="32"/>
        <v>2568</v>
      </c>
      <c r="P100" s="96">
        <f t="shared" si="32"/>
        <v>1079</v>
      </c>
      <c r="Q100" s="96">
        <f t="shared" si="32"/>
        <v>-370</v>
      </c>
      <c r="R100" s="96">
        <f t="shared" si="32"/>
        <v>-371</v>
      </c>
      <c r="S100" s="96">
        <f t="shared" si="32"/>
        <v>-373</v>
      </c>
    </row>
    <row r="101" spans="1:20" s="4" customFormat="1" x14ac:dyDescent="0.2">
      <c r="A101" s="8"/>
      <c r="B101" s="2" t="s">
        <v>401</v>
      </c>
      <c r="C101" s="10" t="s">
        <v>64</v>
      </c>
      <c r="D101" s="10"/>
      <c r="E101" s="9"/>
      <c r="F101" s="8"/>
      <c r="G101" s="95" t="s">
        <v>402</v>
      </c>
      <c r="H101" s="96">
        <f>H27</f>
        <v>0</v>
      </c>
      <c r="I101" s="96">
        <f t="shared" ref="I101:S101" si="33">I27</f>
        <v>0</v>
      </c>
      <c r="J101" s="96">
        <f t="shared" si="33"/>
        <v>1174.575</v>
      </c>
      <c r="K101" s="96">
        <f t="shared" si="33"/>
        <v>1119.6880000000001</v>
      </c>
      <c r="L101" s="96">
        <f t="shared" si="33"/>
        <v>1128.53</v>
      </c>
      <c r="M101" s="96">
        <f t="shared" si="33"/>
        <v>2058.0830000000001</v>
      </c>
      <c r="N101" s="96">
        <f t="shared" si="33"/>
        <v>2177.598</v>
      </c>
      <c r="O101" s="96">
        <f t="shared" si="33"/>
        <v>4725.598</v>
      </c>
      <c r="P101" s="96">
        <f t="shared" si="33"/>
        <v>6039.598</v>
      </c>
      <c r="Q101" s="96">
        <f t="shared" si="33"/>
        <v>5669.598</v>
      </c>
      <c r="R101" s="96">
        <f t="shared" si="33"/>
        <v>5298.598</v>
      </c>
      <c r="S101" s="96">
        <f t="shared" si="33"/>
        <v>4952.598</v>
      </c>
    </row>
    <row r="102" spans="1:20" s="4" customFormat="1" x14ac:dyDescent="0.2">
      <c r="A102" s="8"/>
      <c r="B102" s="2" t="s">
        <v>403</v>
      </c>
      <c r="C102" s="10"/>
      <c r="D102" s="10"/>
      <c r="E102" s="9"/>
      <c r="F102" s="8"/>
      <c r="G102" s="97" t="s">
        <v>391</v>
      </c>
      <c r="H102" s="98"/>
      <c r="I102" s="96">
        <f>I101-H101</f>
        <v>0</v>
      </c>
      <c r="J102" s="96">
        <f t="shared" ref="J102:S102" si="34">J101-I101</f>
        <v>1174.575</v>
      </c>
      <c r="K102" s="96">
        <f t="shared" si="34"/>
        <v>-54.886999999999944</v>
      </c>
      <c r="L102" s="96">
        <f t="shared" si="34"/>
        <v>8.8419999999998709</v>
      </c>
      <c r="M102" s="96">
        <f t="shared" si="34"/>
        <v>929.55300000000011</v>
      </c>
      <c r="N102" s="96">
        <f t="shared" si="34"/>
        <v>119.51499999999987</v>
      </c>
      <c r="O102" s="96">
        <f t="shared" si="34"/>
        <v>2548</v>
      </c>
      <c r="P102" s="96">
        <f t="shared" si="34"/>
        <v>1314</v>
      </c>
      <c r="Q102" s="96">
        <f t="shared" si="34"/>
        <v>-370</v>
      </c>
      <c r="R102" s="96">
        <f t="shared" si="34"/>
        <v>-371</v>
      </c>
      <c r="S102" s="96">
        <f t="shared" si="34"/>
        <v>-346</v>
      </c>
    </row>
    <row r="103" spans="1:20" s="40" customFormat="1" x14ac:dyDescent="0.2">
      <c r="A103" s="29" t="s">
        <v>404</v>
      </c>
      <c r="B103" s="2" t="s">
        <v>189</v>
      </c>
      <c r="C103" s="10" t="s">
        <v>405</v>
      </c>
      <c r="D103" s="10"/>
      <c r="E103" s="9"/>
      <c r="F103" s="8"/>
      <c r="G103" s="100" t="s">
        <v>406</v>
      </c>
      <c r="H103" s="101"/>
      <c r="I103" s="102">
        <f>I102-I100</f>
        <v>0</v>
      </c>
      <c r="J103" s="102">
        <f t="shared" ref="J103:S103" si="35">J102-J100</f>
        <v>37.157000000000153</v>
      </c>
      <c r="K103" s="102">
        <f t="shared" si="35"/>
        <v>-52.864999999999782</v>
      </c>
      <c r="L103" s="102">
        <f t="shared" si="35"/>
        <v>-62.195000000000391</v>
      </c>
      <c r="M103" s="102">
        <f t="shared" si="35"/>
        <v>5.9860000000001037</v>
      </c>
      <c r="N103" s="102">
        <f t="shared" si="35"/>
        <v>16.514999999999873</v>
      </c>
      <c r="O103" s="102">
        <f t="shared" si="35"/>
        <v>-20</v>
      </c>
      <c r="P103" s="102">
        <f t="shared" si="35"/>
        <v>235</v>
      </c>
      <c r="Q103" s="102">
        <f t="shared" si="35"/>
        <v>0</v>
      </c>
      <c r="R103" s="102">
        <f t="shared" si="35"/>
        <v>0</v>
      </c>
      <c r="S103" s="102">
        <f t="shared" si="35"/>
        <v>27</v>
      </c>
    </row>
    <row r="104" spans="1:20" s="4" customFormat="1" x14ac:dyDescent="0.2">
      <c r="A104" s="8"/>
      <c r="B104" s="2"/>
      <c r="C104" s="10"/>
      <c r="D104" s="10"/>
      <c r="E104" s="9"/>
      <c r="F104" s="8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</row>
    <row r="105" spans="1:20" s="4" customFormat="1" x14ac:dyDescent="0.2">
      <c r="A105" s="13"/>
      <c r="B105" s="2"/>
      <c r="C105" s="10"/>
      <c r="D105" s="10"/>
      <c r="E105" s="9"/>
      <c r="F105" s="8"/>
      <c r="G105" s="94" t="s">
        <v>407</v>
      </c>
      <c r="H105" s="87">
        <f t="shared" ref="H105:S105" si="36">H32</f>
        <v>2011</v>
      </c>
      <c r="I105" s="87">
        <f t="shared" si="36"/>
        <v>2012</v>
      </c>
      <c r="J105" s="87">
        <f t="shared" si="36"/>
        <v>2013</v>
      </c>
      <c r="K105" s="87">
        <f t="shared" si="36"/>
        <v>2014</v>
      </c>
      <c r="L105" s="87">
        <f t="shared" si="36"/>
        <v>2015</v>
      </c>
      <c r="M105" s="87">
        <f t="shared" si="36"/>
        <v>2016</v>
      </c>
      <c r="N105" s="87">
        <f t="shared" si="36"/>
        <v>2017</v>
      </c>
      <c r="O105" s="87">
        <f t="shared" si="36"/>
        <v>2018</v>
      </c>
      <c r="P105" s="87">
        <f t="shared" si="36"/>
        <v>2019</v>
      </c>
      <c r="Q105" s="87">
        <f t="shared" si="36"/>
        <v>2020</v>
      </c>
      <c r="R105" s="87">
        <f t="shared" si="36"/>
        <v>2021</v>
      </c>
      <c r="S105" s="87">
        <f t="shared" si="36"/>
        <v>2022</v>
      </c>
    </row>
    <row r="106" spans="1:20" s="40" customFormat="1" x14ac:dyDescent="0.2">
      <c r="A106" s="29" t="s">
        <v>408</v>
      </c>
      <c r="B106" s="2" t="s">
        <v>192</v>
      </c>
      <c r="C106" s="29" t="s">
        <v>409</v>
      </c>
      <c r="D106" s="10"/>
      <c r="E106" s="9"/>
      <c r="F106" s="8"/>
      <c r="G106" s="103" t="s">
        <v>407</v>
      </c>
      <c r="H106" s="101" t="s">
        <v>358</v>
      </c>
      <c r="I106" s="104">
        <f t="shared" ref="I106:N106" si="37">(I48-I45+I50)+(I58+I59)+(I82+I83+I84+I85)-(I85-I49)</f>
        <v>0</v>
      </c>
      <c r="J106" s="104">
        <f t="shared" si="37"/>
        <v>42.514000000000024</v>
      </c>
      <c r="K106" s="104">
        <f t="shared" si="37"/>
        <v>-7.7750000000000696</v>
      </c>
      <c r="L106" s="104">
        <f t="shared" si="37"/>
        <v>-39.040000000000049</v>
      </c>
      <c r="M106" s="104">
        <f t="shared" si="37"/>
        <v>5</v>
      </c>
      <c r="N106" s="104">
        <f t="shared" si="37"/>
        <v>17</v>
      </c>
      <c r="O106" s="104">
        <f>(O48-O45+O50)+(O58+O59)+(O82+O83+O84+O85)-(O85-O49)</f>
        <v>-20</v>
      </c>
      <c r="P106" s="104">
        <f>(P48-P45+P50)+(P58+P59)+(P82+P83+P84+P85)-(P85-P49)</f>
        <v>235</v>
      </c>
      <c r="Q106" s="104">
        <f>(Q48-Q45+Q50)+(Q58+Q59)+(Q82+Q83+Q84+Q85)-(Q85-Q49)</f>
        <v>0</v>
      </c>
      <c r="R106" s="104">
        <f>(R48-R45+R50)+(R58+R59)+(R82+R83+R84+R85)-(R85-R49)</f>
        <v>0</v>
      </c>
      <c r="S106" s="104">
        <f>(S48-S45+S50)+(S58+S59)+(S82+S83+S84+S85)-(S85-S49)</f>
        <v>27</v>
      </c>
    </row>
    <row r="107" spans="1:20" s="40" customFormat="1" x14ac:dyDescent="0.2">
      <c r="A107" s="29" t="s">
        <v>410</v>
      </c>
      <c r="B107" s="2" t="s">
        <v>194</v>
      </c>
      <c r="C107" s="29" t="s">
        <v>411</v>
      </c>
      <c r="D107" s="10"/>
      <c r="E107" s="9"/>
      <c r="F107" s="8"/>
      <c r="G107" s="89" t="s">
        <v>412</v>
      </c>
      <c r="H107" s="101" t="s">
        <v>358</v>
      </c>
      <c r="I107" s="85">
        <f>I97-I106</f>
        <v>0</v>
      </c>
      <c r="J107" s="85">
        <f t="shared" ref="J107:S107" si="38">J97-J106</f>
        <v>-5.3580000000000254</v>
      </c>
      <c r="K107" s="85">
        <f t="shared" si="38"/>
        <v>-45.089999999999925</v>
      </c>
      <c r="L107" s="85">
        <f t="shared" si="38"/>
        <v>-23.130999999999943</v>
      </c>
      <c r="M107" s="85">
        <f t="shared" si="38"/>
        <v>0.46999999999997044</v>
      </c>
      <c r="N107" s="85">
        <f t="shared" si="38"/>
        <v>0.41000000000002501</v>
      </c>
      <c r="O107" s="85">
        <f t="shared" si="38"/>
        <v>0</v>
      </c>
      <c r="P107" s="85">
        <f t="shared" si="38"/>
        <v>0</v>
      </c>
      <c r="Q107" s="85">
        <f t="shared" si="38"/>
        <v>0</v>
      </c>
      <c r="R107" s="85">
        <f t="shared" si="38"/>
        <v>0</v>
      </c>
      <c r="S107" s="85">
        <f t="shared" si="38"/>
        <v>0</v>
      </c>
    </row>
    <row r="108" spans="1:20" s="40" customFormat="1" x14ac:dyDescent="0.2">
      <c r="A108" s="29"/>
      <c r="B108" s="2"/>
      <c r="C108" s="29"/>
      <c r="D108" s="10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</row>
    <row r="109" spans="1:20" s="40" customFormat="1" x14ac:dyDescent="0.2">
      <c r="A109" s="29"/>
      <c r="B109" s="2"/>
      <c r="C109" s="29"/>
      <c r="D109" s="10"/>
      <c r="E109" s="9"/>
      <c r="F109" s="8"/>
      <c r="G109" s="94" t="s">
        <v>413</v>
      </c>
      <c r="H109" s="87">
        <f>H105</f>
        <v>2011</v>
      </c>
      <c r="I109" s="87">
        <f t="shared" ref="I109:S109" si="39">I105</f>
        <v>2012</v>
      </c>
      <c r="J109" s="87">
        <f t="shared" si="39"/>
        <v>2013</v>
      </c>
      <c r="K109" s="87">
        <f t="shared" si="39"/>
        <v>2014</v>
      </c>
      <c r="L109" s="87">
        <f t="shared" si="39"/>
        <v>2015</v>
      </c>
      <c r="M109" s="87">
        <f t="shared" si="39"/>
        <v>2016</v>
      </c>
      <c r="N109" s="87">
        <f t="shared" si="39"/>
        <v>2017</v>
      </c>
      <c r="O109" s="87">
        <f t="shared" si="39"/>
        <v>2018</v>
      </c>
      <c r="P109" s="87">
        <f t="shared" si="39"/>
        <v>2019</v>
      </c>
      <c r="Q109" s="87">
        <f t="shared" si="39"/>
        <v>2020</v>
      </c>
      <c r="R109" s="87">
        <f t="shared" si="39"/>
        <v>2021</v>
      </c>
      <c r="S109" s="87">
        <f t="shared" si="39"/>
        <v>2022</v>
      </c>
    </row>
    <row r="110" spans="1:20" s="4" customFormat="1" x14ac:dyDescent="0.2">
      <c r="A110" s="8" t="s">
        <v>414</v>
      </c>
      <c r="B110" s="2" t="s">
        <v>415</v>
      </c>
      <c r="C110" s="34" t="s">
        <v>190</v>
      </c>
      <c r="D110" s="10"/>
      <c r="E110" s="9"/>
      <c r="F110" s="8"/>
      <c r="G110" s="103" t="s">
        <v>191</v>
      </c>
      <c r="H110" s="105">
        <f t="shared" ref="H110:S110" si="40">H33+H38+H41-H45</f>
        <v>0</v>
      </c>
      <c r="I110" s="77">
        <f t="shared" si="40"/>
        <v>0</v>
      </c>
      <c r="J110" s="77">
        <f t="shared" si="40"/>
        <v>145.20900000000003</v>
      </c>
      <c r="K110" s="77">
        <f t="shared" si="40"/>
        <v>34.269999999999925</v>
      </c>
      <c r="L110" s="77">
        <f t="shared" si="40"/>
        <v>82.646999999999949</v>
      </c>
      <c r="M110" s="77">
        <f t="shared" si="40"/>
        <v>1120</v>
      </c>
      <c r="N110" s="77">
        <f t="shared" si="40"/>
        <v>285</v>
      </c>
      <c r="O110" s="77">
        <f t="shared" si="40"/>
        <v>2715</v>
      </c>
      <c r="P110" s="77">
        <f>P33+P38+P41-P45</f>
        <v>1579</v>
      </c>
      <c r="Q110" s="77">
        <f t="shared" si="40"/>
        <v>0</v>
      </c>
      <c r="R110" s="77">
        <f t="shared" si="40"/>
        <v>0</v>
      </c>
      <c r="S110" s="77">
        <f t="shared" si="40"/>
        <v>27</v>
      </c>
    </row>
    <row r="111" spans="1:20" s="4" customFormat="1" x14ac:dyDescent="0.2">
      <c r="A111" s="8" t="s">
        <v>416</v>
      </c>
      <c r="B111" s="2" t="s">
        <v>197</v>
      </c>
      <c r="C111" s="8" t="s">
        <v>417</v>
      </c>
      <c r="D111" s="10"/>
      <c r="E111" s="106">
        <v>0</v>
      </c>
      <c r="F111" s="8"/>
      <c r="G111" s="46" t="s">
        <v>193</v>
      </c>
      <c r="H111" s="107" t="e">
        <f t="shared" ref="H111:S111" si="41">H110/H33</f>
        <v>#DIV/0!</v>
      </c>
      <c r="I111" s="108" t="e">
        <f t="shared" si="41"/>
        <v>#DIV/0!</v>
      </c>
      <c r="J111" s="108">
        <f t="shared" si="41"/>
        <v>0.39492020495414648</v>
      </c>
      <c r="K111" s="108">
        <f t="shared" si="41"/>
        <v>4.4105250287964588E-2</v>
      </c>
      <c r="L111" s="108">
        <f t="shared" si="41"/>
        <v>9.8177969323171022E-2</v>
      </c>
      <c r="M111" s="108">
        <f t="shared" si="41"/>
        <v>0.56594239514906519</v>
      </c>
      <c r="N111" s="108">
        <f t="shared" si="41"/>
        <v>0.26243093922651933</v>
      </c>
      <c r="O111" s="108">
        <f t="shared" si="41"/>
        <v>0.77838302752293576</v>
      </c>
      <c r="P111" s="108">
        <f t="shared" si="41"/>
        <v>0.58244190335669499</v>
      </c>
      <c r="Q111" s="108">
        <f t="shared" si="41"/>
        <v>0</v>
      </c>
      <c r="R111" s="108">
        <f>R110/R33</f>
        <v>0</v>
      </c>
      <c r="S111" s="108">
        <f t="shared" si="41"/>
        <v>1.9911504424778761E-2</v>
      </c>
    </row>
    <row r="112" spans="1:20" s="4" customFormat="1" x14ac:dyDescent="0.2">
      <c r="A112" s="8" t="s">
        <v>418</v>
      </c>
      <c r="B112" s="2" t="s">
        <v>200</v>
      </c>
      <c r="C112" s="34" t="s">
        <v>195</v>
      </c>
      <c r="D112" s="10"/>
      <c r="E112" s="109"/>
      <c r="F112" s="8"/>
      <c r="G112" s="110" t="s">
        <v>196</v>
      </c>
      <c r="H112" s="111" t="e">
        <f t="shared" ref="H112:S112" si="42">-H33/(H38+H41)</f>
        <v>#DIV/0!</v>
      </c>
      <c r="I112" s="111" t="e">
        <f t="shared" si="42"/>
        <v>#DIV/0!</v>
      </c>
      <c r="J112" s="111">
        <f t="shared" si="42"/>
        <v>1.426733303326142</v>
      </c>
      <c r="K112" s="111">
        <f t="shared" si="42"/>
        <v>0.93402260632703071</v>
      </c>
      <c r="L112" s="111">
        <f t="shared" si="42"/>
        <v>1.0104246311769089</v>
      </c>
      <c r="M112" s="111">
        <f t="shared" si="42"/>
        <v>1.8847619047619049</v>
      </c>
      <c r="N112" s="111">
        <f t="shared" si="42"/>
        <v>1.1242236024844721</v>
      </c>
      <c r="O112" s="111">
        <f t="shared" si="42"/>
        <v>3.7106382978723405</v>
      </c>
      <c r="P112" s="111">
        <f t="shared" si="42"/>
        <v>1.9405869720830351</v>
      </c>
      <c r="Q112" s="111">
        <f t="shared" si="42"/>
        <v>0.76932668329177056</v>
      </c>
      <c r="R112" s="111">
        <f t="shared" si="42"/>
        <v>0.77771120431396046</v>
      </c>
      <c r="S112" s="111">
        <f t="shared" si="42"/>
        <v>0.7967097532314924</v>
      </c>
    </row>
    <row r="113" spans="1:20" s="4" customFormat="1" x14ac:dyDescent="0.2">
      <c r="A113" s="8" t="s">
        <v>419</v>
      </c>
      <c r="B113" s="2" t="s">
        <v>420</v>
      </c>
      <c r="C113" s="8" t="s">
        <v>198</v>
      </c>
      <c r="D113" s="10"/>
      <c r="E113" s="109"/>
      <c r="F113" s="8"/>
      <c r="G113" s="103" t="s">
        <v>199</v>
      </c>
      <c r="H113" s="105">
        <f t="shared" ref="H113:S113" si="43">H46</f>
        <v>0</v>
      </c>
      <c r="I113" s="105">
        <f t="shared" si="43"/>
        <v>0</v>
      </c>
      <c r="J113" s="105">
        <f t="shared" si="43"/>
        <v>109.97600000000003</v>
      </c>
      <c r="K113" s="105">
        <f t="shared" si="43"/>
        <v>-54.886000000000081</v>
      </c>
      <c r="L113" s="105">
        <f t="shared" si="43"/>
        <v>8.6849999999999454</v>
      </c>
      <c r="M113" s="105">
        <f t="shared" si="43"/>
        <v>929</v>
      </c>
      <c r="N113" s="105">
        <f t="shared" si="43"/>
        <v>120</v>
      </c>
      <c r="O113" s="105">
        <f t="shared" si="43"/>
        <v>2548</v>
      </c>
      <c r="P113" s="105">
        <f t="shared" si="43"/>
        <v>1314</v>
      </c>
      <c r="Q113" s="105">
        <f t="shared" si="43"/>
        <v>-370</v>
      </c>
      <c r="R113" s="105">
        <f t="shared" si="43"/>
        <v>-371</v>
      </c>
      <c r="S113" s="105">
        <f t="shared" si="43"/>
        <v>-346</v>
      </c>
    </row>
    <row r="114" spans="1:20" s="4" customFormat="1" x14ac:dyDescent="0.2">
      <c r="A114" s="8" t="s">
        <v>421</v>
      </c>
      <c r="B114" s="2" t="s">
        <v>422</v>
      </c>
      <c r="C114" s="8" t="s">
        <v>201</v>
      </c>
      <c r="D114" s="106">
        <v>-0.3</v>
      </c>
      <c r="E114" s="106">
        <v>0</v>
      </c>
      <c r="F114" s="8"/>
      <c r="G114" s="110" t="s">
        <v>202</v>
      </c>
      <c r="H114" s="112" t="e">
        <f t="shared" ref="H114:S114" si="44">H46/H33</f>
        <v>#DIV/0!</v>
      </c>
      <c r="I114" s="113" t="e">
        <f t="shared" si="44"/>
        <v>#DIV/0!</v>
      </c>
      <c r="J114" s="113">
        <f t="shared" si="44"/>
        <v>0.29909815824113667</v>
      </c>
      <c r="K114" s="113">
        <f t="shared" si="44"/>
        <v>-7.0637898083024023E-2</v>
      </c>
      <c r="L114" s="113">
        <f t="shared" si="44"/>
        <v>1.0317079429038386E-2</v>
      </c>
      <c r="M114" s="113">
        <f t="shared" si="44"/>
        <v>0.46942900454775138</v>
      </c>
      <c r="N114" s="113">
        <f t="shared" si="44"/>
        <v>0.11049723756906077</v>
      </c>
      <c r="O114" s="624">
        <f>O46/O33</f>
        <v>0.73050458715596334</v>
      </c>
      <c r="P114" s="624">
        <f t="shared" si="44"/>
        <v>0.48469199557358911</v>
      </c>
      <c r="Q114" s="113">
        <f t="shared" si="44"/>
        <v>-0.29983792544570503</v>
      </c>
      <c r="R114" s="113">
        <f t="shared" si="44"/>
        <v>-0.28582434514637906</v>
      </c>
      <c r="S114" s="113">
        <f t="shared" si="44"/>
        <v>-0.25516224188790559</v>
      </c>
    </row>
    <row r="115" spans="1:20" s="4" customFormat="1" x14ac:dyDescent="0.2">
      <c r="A115" s="8" t="s">
        <v>423</v>
      </c>
      <c r="B115" s="2" t="s">
        <v>424</v>
      </c>
      <c r="C115" s="8" t="s">
        <v>204</v>
      </c>
      <c r="D115" s="10"/>
      <c r="E115" s="109"/>
      <c r="F115" s="8"/>
      <c r="G115" s="46" t="s">
        <v>205</v>
      </c>
      <c r="H115" s="105">
        <f t="shared" ref="H115:S115" si="45">H29+H30</f>
        <v>0</v>
      </c>
      <c r="I115" s="105">
        <f t="shared" si="45"/>
        <v>0</v>
      </c>
      <c r="J115" s="105">
        <f t="shared" si="45"/>
        <v>109.977</v>
      </c>
      <c r="K115" s="105">
        <f t="shared" si="45"/>
        <v>55.09</v>
      </c>
      <c r="L115" s="105">
        <f t="shared" si="45"/>
        <v>63.932000000000002</v>
      </c>
      <c r="M115" s="105">
        <f t="shared" si="45"/>
        <v>993.08299999999997</v>
      </c>
      <c r="N115" s="105">
        <f t="shared" si="45"/>
        <v>1113</v>
      </c>
      <c r="O115" s="105">
        <f t="shared" si="45"/>
        <v>3661</v>
      </c>
      <c r="P115" s="105">
        <f t="shared" si="45"/>
        <v>4975</v>
      </c>
      <c r="Q115" s="105">
        <f t="shared" si="45"/>
        <v>4605</v>
      </c>
      <c r="R115" s="105">
        <f t="shared" si="45"/>
        <v>4234</v>
      </c>
      <c r="S115" s="105">
        <f t="shared" si="45"/>
        <v>3888</v>
      </c>
    </row>
    <row r="116" spans="1:20" s="4" customFormat="1" x14ac:dyDescent="0.2">
      <c r="A116" s="8"/>
      <c r="B116" s="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</row>
    <row r="117" spans="1:20" s="4" customFormat="1" x14ac:dyDescent="0.2">
      <c r="A117" s="8"/>
      <c r="B117" s="2"/>
      <c r="C117" s="10"/>
      <c r="D117" s="10"/>
      <c r="E117" s="8"/>
      <c r="F117" s="8"/>
      <c r="G117" s="94" t="s">
        <v>206</v>
      </c>
      <c r="H117" s="87">
        <f t="shared" ref="H117:S117" si="46">H105</f>
        <v>2011</v>
      </c>
      <c r="I117" s="87">
        <f t="shared" si="46"/>
        <v>2012</v>
      </c>
      <c r="J117" s="87">
        <f t="shared" si="46"/>
        <v>2013</v>
      </c>
      <c r="K117" s="87">
        <f t="shared" si="46"/>
        <v>2014</v>
      </c>
      <c r="L117" s="87">
        <f t="shared" si="46"/>
        <v>2015</v>
      </c>
      <c r="M117" s="87">
        <f t="shared" si="46"/>
        <v>2016</v>
      </c>
      <c r="N117" s="87">
        <f t="shared" si="46"/>
        <v>2017</v>
      </c>
      <c r="O117" s="87">
        <f t="shared" si="46"/>
        <v>2018</v>
      </c>
      <c r="P117" s="87">
        <f t="shared" si="46"/>
        <v>2019</v>
      </c>
      <c r="Q117" s="87">
        <f t="shared" si="46"/>
        <v>2020</v>
      </c>
      <c r="R117" s="87">
        <f t="shared" si="46"/>
        <v>2021</v>
      </c>
      <c r="S117" s="87">
        <f t="shared" si="46"/>
        <v>2022</v>
      </c>
    </row>
    <row r="118" spans="1:20" s="4" customFormat="1" x14ac:dyDescent="0.2">
      <c r="A118" s="34" t="s">
        <v>425</v>
      </c>
      <c r="B118" s="2" t="s">
        <v>426</v>
      </c>
      <c r="C118" s="10" t="s">
        <v>208</v>
      </c>
      <c r="D118" s="10"/>
      <c r="E118" s="109"/>
      <c r="F118" s="37"/>
      <c r="G118" s="103" t="s">
        <v>209</v>
      </c>
      <c r="H118" s="105">
        <f t="shared" ref="H118:S118" si="47">H6+H12</f>
        <v>0</v>
      </c>
      <c r="I118" s="77">
        <f t="shared" si="47"/>
        <v>0</v>
      </c>
      <c r="J118" s="77">
        <f t="shared" si="47"/>
        <v>41.767000000000003</v>
      </c>
      <c r="K118" s="77">
        <f t="shared" si="47"/>
        <v>7.2930000000000001</v>
      </c>
      <c r="L118" s="77">
        <f t="shared" si="47"/>
        <v>36.427</v>
      </c>
      <c r="M118" s="77">
        <f t="shared" si="47"/>
        <v>179</v>
      </c>
      <c r="N118" s="77">
        <f t="shared" si="47"/>
        <v>23</v>
      </c>
      <c r="O118" s="77">
        <f t="shared" si="47"/>
        <v>82</v>
      </c>
      <c r="P118" s="77">
        <f t="shared" si="47"/>
        <v>144</v>
      </c>
      <c r="Q118" s="77">
        <f t="shared" si="47"/>
        <v>129</v>
      </c>
      <c r="R118" s="77">
        <f t="shared" si="47"/>
        <v>125</v>
      </c>
      <c r="S118" s="77">
        <f t="shared" si="47"/>
        <v>149</v>
      </c>
    </row>
    <row r="119" spans="1:20" s="4" customFormat="1" x14ac:dyDescent="0.2">
      <c r="A119" s="8" t="s">
        <v>427</v>
      </c>
      <c r="B119" s="2" t="s">
        <v>428</v>
      </c>
      <c r="C119" s="8" t="s">
        <v>42</v>
      </c>
      <c r="D119" s="10"/>
      <c r="E119" s="109"/>
      <c r="F119" s="37"/>
      <c r="G119" s="110" t="s">
        <v>211</v>
      </c>
      <c r="H119" s="105">
        <f t="shared" ref="H119:S119" si="48">H19</f>
        <v>0</v>
      </c>
      <c r="I119" s="105">
        <f t="shared" si="48"/>
        <v>0</v>
      </c>
      <c r="J119" s="105">
        <f t="shared" si="48"/>
        <v>46.401000000000003</v>
      </c>
      <c r="K119" s="105">
        <f t="shared" si="48"/>
        <v>50.357999999999997</v>
      </c>
      <c r="L119" s="105">
        <f t="shared" si="48"/>
        <v>147.5</v>
      </c>
      <c r="M119" s="105">
        <f t="shared" si="48"/>
        <v>258.41000000000003</v>
      </c>
      <c r="N119" s="105">
        <f t="shared" si="48"/>
        <v>166</v>
      </c>
      <c r="O119" s="105">
        <f t="shared" si="48"/>
        <v>191</v>
      </c>
      <c r="P119" s="105">
        <f t="shared" si="48"/>
        <v>44</v>
      </c>
      <c r="Q119" s="105">
        <f t="shared" si="48"/>
        <v>35</v>
      </c>
      <c r="R119" s="105">
        <f t="shared" si="48"/>
        <v>35</v>
      </c>
      <c r="S119" s="105">
        <f t="shared" si="48"/>
        <v>40</v>
      </c>
    </row>
    <row r="120" spans="1:20" s="4" customFormat="1" x14ac:dyDescent="0.2">
      <c r="A120" s="8" t="s">
        <v>429</v>
      </c>
      <c r="B120" s="2" t="s">
        <v>203</v>
      </c>
      <c r="C120" s="8" t="s">
        <v>430</v>
      </c>
      <c r="D120" s="10"/>
      <c r="E120" s="109"/>
      <c r="F120" s="37"/>
      <c r="G120" s="110" t="s">
        <v>212</v>
      </c>
      <c r="H120" s="105">
        <f t="shared" ref="H120:S120" si="49">H119-H118</f>
        <v>0</v>
      </c>
      <c r="I120" s="77">
        <f t="shared" si="49"/>
        <v>0</v>
      </c>
      <c r="J120" s="77">
        <f t="shared" si="49"/>
        <v>4.6340000000000003</v>
      </c>
      <c r="K120" s="77">
        <f t="shared" si="49"/>
        <v>43.064999999999998</v>
      </c>
      <c r="L120" s="77">
        <f t="shared" si="49"/>
        <v>111.07300000000001</v>
      </c>
      <c r="M120" s="77">
        <f>M119-M118</f>
        <v>79.410000000000025</v>
      </c>
      <c r="N120" s="77">
        <f t="shared" si="49"/>
        <v>143</v>
      </c>
      <c r="O120" s="77">
        <f t="shared" si="49"/>
        <v>109</v>
      </c>
      <c r="P120" s="77">
        <f t="shared" si="49"/>
        <v>-100</v>
      </c>
      <c r="Q120" s="77">
        <f t="shared" si="49"/>
        <v>-94</v>
      </c>
      <c r="R120" s="77">
        <f t="shared" si="49"/>
        <v>-90</v>
      </c>
      <c r="S120" s="77">
        <f t="shared" si="49"/>
        <v>-109</v>
      </c>
    </row>
    <row r="121" spans="1:20" s="4" customFormat="1" x14ac:dyDescent="0.2">
      <c r="A121" s="34" t="s">
        <v>431</v>
      </c>
      <c r="B121" s="2" t="s">
        <v>207</v>
      </c>
      <c r="C121" s="8" t="s">
        <v>432</v>
      </c>
      <c r="D121" s="10"/>
      <c r="E121" s="106">
        <v>0.4</v>
      </c>
      <c r="F121" s="114" t="s">
        <v>433</v>
      </c>
      <c r="G121" s="46" t="s">
        <v>213</v>
      </c>
      <c r="H121" s="115" t="e">
        <f t="shared" ref="H121:S121" si="50">H120/H33</f>
        <v>#DIV/0!</v>
      </c>
      <c r="I121" s="108" t="e">
        <f t="shared" si="50"/>
        <v>#DIV/0!</v>
      </c>
      <c r="J121" s="108">
        <f t="shared" si="50"/>
        <v>1.2602939416685706E-2</v>
      </c>
      <c r="K121" s="108">
        <f t="shared" si="50"/>
        <v>5.5424353768637268E-2</v>
      </c>
      <c r="L121" s="108">
        <f t="shared" si="50"/>
        <v>0.13194576435481725</v>
      </c>
      <c r="M121" s="108">
        <f t="shared" si="50"/>
        <v>4.0126326427488646E-2</v>
      </c>
      <c r="N121" s="108">
        <f t="shared" si="50"/>
        <v>0.13167587476979742</v>
      </c>
      <c r="O121" s="108">
        <f t="shared" si="50"/>
        <v>3.125E-2</v>
      </c>
      <c r="P121" s="108">
        <f t="shared" si="50"/>
        <v>-3.6886757654002213E-2</v>
      </c>
      <c r="Q121" s="108">
        <f t="shared" si="50"/>
        <v>-7.6175040518638576E-2</v>
      </c>
      <c r="R121" s="108">
        <f t="shared" si="50"/>
        <v>-6.9337442218798145E-2</v>
      </c>
      <c r="S121" s="108">
        <f t="shared" si="50"/>
        <v>-8.0383480825958697E-2</v>
      </c>
    </row>
    <row r="122" spans="1:20" s="4" customFormat="1" x14ac:dyDescent="0.2">
      <c r="A122" s="8" t="s">
        <v>434</v>
      </c>
      <c r="B122" s="2" t="s">
        <v>210</v>
      </c>
      <c r="C122" s="8" t="s">
        <v>435</v>
      </c>
      <c r="D122" s="116">
        <v>0</v>
      </c>
      <c r="E122" s="116">
        <v>5</v>
      </c>
      <c r="F122" s="37"/>
      <c r="G122" s="100" t="s">
        <v>215</v>
      </c>
      <c r="H122" s="111" t="e">
        <f t="shared" ref="H122:S122" si="51">H120/H110</f>
        <v>#DIV/0!</v>
      </c>
      <c r="I122" s="111" t="e">
        <f t="shared" si="51"/>
        <v>#DIV/0!</v>
      </c>
      <c r="J122" s="111">
        <f t="shared" si="51"/>
        <v>3.1912622495850806E-2</v>
      </c>
      <c r="K122" s="111">
        <f t="shared" si="51"/>
        <v>1.2566384592938458</v>
      </c>
      <c r="L122" s="111">
        <f t="shared" si="51"/>
        <v>1.3439447287862847</v>
      </c>
      <c r="M122" s="111">
        <f>M120/M110</f>
        <v>7.0901785714285737E-2</v>
      </c>
      <c r="N122" s="111">
        <f t="shared" si="51"/>
        <v>0.50175438596491229</v>
      </c>
      <c r="O122" s="111">
        <f t="shared" si="51"/>
        <v>4.014732965009208E-2</v>
      </c>
      <c r="P122" s="111">
        <f>P120/P110</f>
        <v>-6.333122229259025E-2</v>
      </c>
      <c r="Q122" s="111" t="e">
        <f t="shared" si="51"/>
        <v>#DIV/0!</v>
      </c>
      <c r="R122" s="111" t="e">
        <f t="shared" si="51"/>
        <v>#DIV/0!</v>
      </c>
      <c r="S122" s="111">
        <f t="shared" si="51"/>
        <v>-4.0370370370370372</v>
      </c>
    </row>
    <row r="123" spans="1:20" s="4" customFormat="1" x14ac:dyDescent="0.2">
      <c r="A123" s="8" t="s">
        <v>436</v>
      </c>
      <c r="B123" s="2" t="s">
        <v>437</v>
      </c>
      <c r="C123" s="8" t="s">
        <v>217</v>
      </c>
      <c r="D123" s="10"/>
      <c r="E123" s="109"/>
      <c r="F123" s="37"/>
      <c r="G123" s="110" t="s">
        <v>218</v>
      </c>
      <c r="H123" s="105">
        <f t="shared" ref="H123:S123" si="52">-(H75+H77+H78+H79+H80+H81)</f>
        <v>0</v>
      </c>
      <c r="I123" s="105">
        <f t="shared" si="52"/>
        <v>0</v>
      </c>
      <c r="J123" s="105">
        <f t="shared" si="52"/>
        <v>0</v>
      </c>
      <c r="K123" s="105">
        <f t="shared" si="52"/>
        <v>0</v>
      </c>
      <c r="L123" s="105">
        <f t="shared" si="52"/>
        <v>2.5</v>
      </c>
      <c r="M123" s="105">
        <f t="shared" si="52"/>
        <v>3.327</v>
      </c>
      <c r="N123" s="105">
        <f t="shared" si="52"/>
        <v>3</v>
      </c>
      <c r="O123" s="105">
        <f t="shared" si="52"/>
        <v>3</v>
      </c>
      <c r="P123" s="105">
        <f t="shared" si="52"/>
        <v>3</v>
      </c>
      <c r="Q123" s="105">
        <f t="shared" si="52"/>
        <v>4</v>
      </c>
      <c r="R123" s="105">
        <f t="shared" si="52"/>
        <v>0</v>
      </c>
      <c r="S123" s="105">
        <f t="shared" si="52"/>
        <v>0</v>
      </c>
    </row>
    <row r="124" spans="1:20" s="4" customFormat="1" x14ac:dyDescent="0.2">
      <c r="A124" s="8" t="s">
        <v>438</v>
      </c>
      <c r="B124" s="2" t="s">
        <v>439</v>
      </c>
      <c r="C124" s="8" t="s">
        <v>440</v>
      </c>
      <c r="D124" s="10"/>
      <c r="E124" s="116">
        <v>1.2</v>
      </c>
      <c r="F124" s="114" t="s">
        <v>433</v>
      </c>
      <c r="G124" s="110" t="s">
        <v>220</v>
      </c>
      <c r="H124" s="117" t="e">
        <f t="shared" ref="H124:S124" si="53">H110/H123</f>
        <v>#DIV/0!</v>
      </c>
      <c r="I124" s="111" t="e">
        <f t="shared" si="53"/>
        <v>#DIV/0!</v>
      </c>
      <c r="J124" s="111" t="e">
        <f t="shared" si="53"/>
        <v>#DIV/0!</v>
      </c>
      <c r="K124" s="111" t="e">
        <f t="shared" si="53"/>
        <v>#DIV/0!</v>
      </c>
      <c r="L124" s="111">
        <f t="shared" si="53"/>
        <v>33.058799999999977</v>
      </c>
      <c r="M124" s="111">
        <f t="shared" si="53"/>
        <v>336.63961526901113</v>
      </c>
      <c r="N124" s="111">
        <f t="shared" si="53"/>
        <v>95</v>
      </c>
      <c r="O124" s="111">
        <f t="shared" si="53"/>
        <v>905</v>
      </c>
      <c r="P124" s="111">
        <f t="shared" si="53"/>
        <v>526.33333333333337</v>
      </c>
      <c r="Q124" s="111">
        <f t="shared" si="53"/>
        <v>0</v>
      </c>
      <c r="R124" s="111" t="e">
        <f t="shared" si="53"/>
        <v>#DIV/0!</v>
      </c>
      <c r="S124" s="111" t="e">
        <f t="shared" si="53"/>
        <v>#DIV/0!</v>
      </c>
    </row>
    <row r="125" spans="1:20" s="4" customFormat="1" x14ac:dyDescent="0.2">
      <c r="A125" s="38" t="s">
        <v>441</v>
      </c>
      <c r="B125" s="2" t="s">
        <v>442</v>
      </c>
      <c r="C125" s="8" t="s">
        <v>222</v>
      </c>
      <c r="D125" s="10"/>
      <c r="E125" s="116">
        <v>0</v>
      </c>
      <c r="F125" s="37"/>
      <c r="G125" s="103" t="s">
        <v>223</v>
      </c>
      <c r="H125" s="105">
        <f t="shared" ref="H125:S125" si="54">H5-H20</f>
        <v>0</v>
      </c>
      <c r="I125" s="105">
        <f t="shared" si="54"/>
        <v>0</v>
      </c>
      <c r="J125" s="105">
        <f t="shared" si="54"/>
        <v>37.155999999999999</v>
      </c>
      <c r="K125" s="105">
        <f t="shared" si="54"/>
        <v>-17.808999999999997</v>
      </c>
      <c r="L125" s="105">
        <f t="shared" si="54"/>
        <v>-54.492999999999995</v>
      </c>
      <c r="M125" s="105">
        <f t="shared" si="54"/>
        <v>-59</v>
      </c>
      <c r="N125" s="105">
        <f t="shared" si="54"/>
        <v>-45</v>
      </c>
      <c r="O125" s="105">
        <f t="shared" si="54"/>
        <v>-68</v>
      </c>
      <c r="P125" s="105">
        <f t="shared" si="54"/>
        <v>164</v>
      </c>
      <c r="Q125" s="105">
        <f t="shared" si="54"/>
        <v>160</v>
      </c>
      <c r="R125" s="105">
        <f t="shared" si="54"/>
        <v>160</v>
      </c>
      <c r="S125" s="105">
        <f t="shared" si="54"/>
        <v>187</v>
      </c>
    </row>
    <row r="126" spans="1:20" s="4" customFormat="1" x14ac:dyDescent="0.2">
      <c r="A126" s="34" t="s">
        <v>443</v>
      </c>
      <c r="B126" s="2" t="s">
        <v>444</v>
      </c>
      <c r="C126" s="8" t="s">
        <v>225</v>
      </c>
      <c r="D126" s="10"/>
      <c r="E126" s="116">
        <v>1</v>
      </c>
      <c r="F126" s="114" t="s">
        <v>433</v>
      </c>
      <c r="G126" s="110" t="s">
        <v>226</v>
      </c>
      <c r="H126" s="117" t="e">
        <f t="shared" ref="H126:S126" si="55">H5/H20</f>
        <v>#DIV/0!</v>
      </c>
      <c r="I126" s="117" t="e">
        <f t="shared" si="55"/>
        <v>#DIV/0!</v>
      </c>
      <c r="J126" s="117">
        <f t="shared" si="55"/>
        <v>1.8007586043404236</v>
      </c>
      <c r="K126" s="117">
        <f t="shared" si="55"/>
        <v>0.64635211882918309</v>
      </c>
      <c r="L126" s="117">
        <f t="shared" si="55"/>
        <v>0.56094043331480192</v>
      </c>
      <c r="M126" s="117">
        <f t="shared" si="55"/>
        <v>0.75918367346938775</v>
      </c>
      <c r="N126" s="117">
        <f t="shared" si="55"/>
        <v>0.71153846153846156</v>
      </c>
      <c r="O126" s="117">
        <f t="shared" si="55"/>
        <v>0.63043478260869568</v>
      </c>
      <c r="P126" s="117">
        <f t="shared" si="55"/>
        <v>5.0999999999999996</v>
      </c>
      <c r="Q126" s="117">
        <f t="shared" si="55"/>
        <v>5.5714285714285712</v>
      </c>
      <c r="R126" s="117">
        <f t="shared" si="55"/>
        <v>5.5714285714285712</v>
      </c>
      <c r="S126" s="117">
        <f t="shared" si="55"/>
        <v>5.6749999999999998</v>
      </c>
    </row>
    <row r="127" spans="1:20" s="4" customFormat="1" x14ac:dyDescent="0.2">
      <c r="A127" s="34" t="s">
        <v>445</v>
      </c>
      <c r="B127" s="2" t="s">
        <v>214</v>
      </c>
      <c r="C127" s="34" t="s">
        <v>228</v>
      </c>
      <c r="D127" s="10"/>
      <c r="E127" s="116">
        <v>1</v>
      </c>
      <c r="F127" s="37"/>
      <c r="G127" s="46" t="s">
        <v>229</v>
      </c>
      <c r="H127" s="117" t="e">
        <f t="shared" ref="H127:S127" si="56">-H6/((H38+H41-H45+H47)/12)</f>
        <v>#DIV/0!</v>
      </c>
      <c r="I127" s="117" t="e">
        <f t="shared" si="56"/>
        <v>#DIV/0!</v>
      </c>
      <c r="J127" s="117">
        <f t="shared" si="56"/>
        <v>2.252774369277653</v>
      </c>
      <c r="K127" s="117">
        <f t="shared" si="56"/>
        <v>0.11782937386820332</v>
      </c>
      <c r="L127" s="117">
        <f t="shared" si="56"/>
        <v>0.57591715469595051</v>
      </c>
      <c r="M127" s="117">
        <f t="shared" si="56"/>
        <v>2.5005820721769503</v>
      </c>
      <c r="N127" s="117">
        <f t="shared" si="56"/>
        <v>0.34456928838951312</v>
      </c>
      <c r="O127" s="117">
        <f t="shared" si="56"/>
        <v>1.2729624838292366</v>
      </c>
      <c r="P127" s="117">
        <f t="shared" si="56"/>
        <v>1.5265017667844523</v>
      </c>
      <c r="Q127" s="117">
        <f t="shared" si="56"/>
        <v>1.2544570502431118</v>
      </c>
      <c r="R127" s="117">
        <f t="shared" si="56"/>
        <v>1.1556240369799691</v>
      </c>
      <c r="S127" s="117">
        <f t="shared" si="56"/>
        <v>1.345372460496614</v>
      </c>
    </row>
    <row r="128" spans="1:20" s="4" customFormat="1" x14ac:dyDescent="0.2">
      <c r="A128" s="34"/>
      <c r="B128" s="2"/>
      <c r="C128" s="34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</row>
    <row r="129" spans="1:21" s="4" customFormat="1" x14ac:dyDescent="0.2">
      <c r="A129" s="8"/>
      <c r="B129" s="2"/>
      <c r="C129" s="8"/>
      <c r="D129" s="10"/>
      <c r="E129" s="9"/>
      <c r="F129" s="37"/>
      <c r="G129" s="94" t="s">
        <v>230</v>
      </c>
      <c r="H129" s="87">
        <f t="shared" ref="H129:S129" si="57">H117</f>
        <v>2011</v>
      </c>
      <c r="I129" s="87">
        <f t="shared" si="57"/>
        <v>2012</v>
      </c>
      <c r="J129" s="87">
        <f t="shared" si="57"/>
        <v>2013</v>
      </c>
      <c r="K129" s="87">
        <f t="shared" si="57"/>
        <v>2014</v>
      </c>
      <c r="L129" s="87">
        <f t="shared" si="57"/>
        <v>2015</v>
      </c>
      <c r="M129" s="87">
        <f t="shared" si="57"/>
        <v>2016</v>
      </c>
      <c r="N129" s="87">
        <f t="shared" si="57"/>
        <v>2017</v>
      </c>
      <c r="O129" s="87">
        <f t="shared" si="57"/>
        <v>2018</v>
      </c>
      <c r="P129" s="87">
        <f t="shared" si="57"/>
        <v>2019</v>
      </c>
      <c r="Q129" s="87">
        <f t="shared" si="57"/>
        <v>2020</v>
      </c>
      <c r="R129" s="87">
        <f t="shared" si="57"/>
        <v>2021</v>
      </c>
      <c r="S129" s="87">
        <f t="shared" si="57"/>
        <v>2022</v>
      </c>
    </row>
    <row r="130" spans="1:21" s="4" customFormat="1" x14ac:dyDescent="0.2">
      <c r="A130" s="34" t="s">
        <v>446</v>
      </c>
      <c r="B130" s="2" t="s">
        <v>216</v>
      </c>
      <c r="C130" s="34" t="s">
        <v>232</v>
      </c>
      <c r="D130" s="10"/>
      <c r="E130" s="106">
        <v>0.6</v>
      </c>
      <c r="F130" s="37"/>
      <c r="G130" s="103" t="s">
        <v>233</v>
      </c>
      <c r="H130" s="115" t="e">
        <f t="shared" ref="H130:S130" si="58">H17/H4</f>
        <v>#DIV/0!</v>
      </c>
      <c r="I130" s="115" t="e">
        <f t="shared" si="58"/>
        <v>#DIV/0!</v>
      </c>
      <c r="J130" s="115">
        <f t="shared" si="58"/>
        <v>0</v>
      </c>
      <c r="K130" s="115">
        <f t="shared" si="58"/>
        <v>0</v>
      </c>
      <c r="L130" s="115">
        <f t="shared" si="58"/>
        <v>0</v>
      </c>
      <c r="M130" s="115">
        <f t="shared" si="58"/>
        <v>0</v>
      </c>
      <c r="N130" s="115">
        <f t="shared" si="58"/>
        <v>0</v>
      </c>
      <c r="O130" s="115">
        <f t="shared" si="58"/>
        <v>0</v>
      </c>
      <c r="P130" s="115">
        <f t="shared" si="58"/>
        <v>0</v>
      </c>
      <c r="Q130" s="115">
        <f t="shared" si="58"/>
        <v>0</v>
      </c>
      <c r="R130" s="115">
        <f t="shared" si="58"/>
        <v>0</v>
      </c>
      <c r="S130" s="115">
        <f t="shared" si="58"/>
        <v>0</v>
      </c>
    </row>
    <row r="131" spans="1:21" s="4" customFormat="1" x14ac:dyDescent="0.2">
      <c r="A131" s="34" t="s">
        <v>447</v>
      </c>
      <c r="B131" s="2" t="s">
        <v>219</v>
      </c>
      <c r="C131" s="34" t="s">
        <v>235</v>
      </c>
      <c r="D131" s="10"/>
      <c r="E131" s="106">
        <v>0.4</v>
      </c>
      <c r="F131" s="37"/>
      <c r="G131" s="46" t="s">
        <v>236</v>
      </c>
      <c r="H131" s="115" t="e">
        <f t="shared" ref="H131:S131" si="59">H27/H17</f>
        <v>#DIV/0!</v>
      </c>
      <c r="I131" s="115" t="e">
        <f t="shared" si="59"/>
        <v>#DIV/0!</v>
      </c>
      <c r="J131" s="115" t="e">
        <f t="shared" si="59"/>
        <v>#DIV/0!</v>
      </c>
      <c r="K131" s="115" t="e">
        <f t="shared" si="59"/>
        <v>#DIV/0!</v>
      </c>
      <c r="L131" s="115" t="e">
        <f t="shared" si="59"/>
        <v>#DIV/0!</v>
      </c>
      <c r="M131" s="115" t="e">
        <f t="shared" si="59"/>
        <v>#DIV/0!</v>
      </c>
      <c r="N131" s="115" t="e">
        <f t="shared" si="59"/>
        <v>#DIV/0!</v>
      </c>
      <c r="O131" s="115" t="e">
        <f t="shared" si="59"/>
        <v>#DIV/0!</v>
      </c>
      <c r="P131" s="115" t="e">
        <f t="shared" si="59"/>
        <v>#DIV/0!</v>
      </c>
      <c r="Q131" s="115" t="e">
        <f t="shared" si="59"/>
        <v>#DIV/0!</v>
      </c>
      <c r="R131" s="115" t="e">
        <f t="shared" si="59"/>
        <v>#DIV/0!</v>
      </c>
      <c r="S131" s="115" t="e">
        <f t="shared" si="59"/>
        <v>#DIV/0!</v>
      </c>
    </row>
    <row r="132" spans="1:21" s="4" customFormat="1" x14ac:dyDescent="0.2">
      <c r="A132" s="34"/>
      <c r="B132" s="2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</row>
    <row r="133" spans="1:21" s="4" customFormat="1" x14ac:dyDescent="0.2">
      <c r="A133" s="8"/>
      <c r="B133" s="2"/>
      <c r="C133" s="8"/>
      <c r="D133" s="10"/>
      <c r="E133" s="9"/>
      <c r="F133" s="37"/>
      <c r="G133" s="94" t="s">
        <v>237</v>
      </c>
      <c r="H133" s="87">
        <f t="shared" ref="H133:S133" si="60">H117</f>
        <v>2011</v>
      </c>
      <c r="I133" s="87">
        <f t="shared" si="60"/>
        <v>2012</v>
      </c>
      <c r="J133" s="87">
        <f t="shared" si="60"/>
        <v>2013</v>
      </c>
      <c r="K133" s="87">
        <f t="shared" si="60"/>
        <v>2014</v>
      </c>
      <c r="L133" s="87">
        <f t="shared" si="60"/>
        <v>2015</v>
      </c>
      <c r="M133" s="87">
        <f t="shared" si="60"/>
        <v>2016</v>
      </c>
      <c r="N133" s="87">
        <f t="shared" si="60"/>
        <v>2017</v>
      </c>
      <c r="O133" s="87">
        <f t="shared" si="60"/>
        <v>2018</v>
      </c>
      <c r="P133" s="87">
        <f t="shared" si="60"/>
        <v>2019</v>
      </c>
      <c r="Q133" s="87">
        <f t="shared" si="60"/>
        <v>2020</v>
      </c>
      <c r="R133" s="87">
        <f t="shared" si="60"/>
        <v>2021</v>
      </c>
      <c r="S133" s="87">
        <f t="shared" si="60"/>
        <v>2022</v>
      </c>
    </row>
    <row r="134" spans="1:21" s="4" customFormat="1" x14ac:dyDescent="0.2">
      <c r="A134" s="34" t="s">
        <v>448</v>
      </c>
      <c r="B134" s="2" t="s">
        <v>221</v>
      </c>
      <c r="C134" s="39" t="s">
        <v>239</v>
      </c>
      <c r="D134" s="10"/>
      <c r="E134" s="109"/>
      <c r="F134" s="37"/>
      <c r="G134" s="110" t="s">
        <v>240</v>
      </c>
      <c r="H134" s="118" t="e">
        <f t="shared" ref="H134:S134" si="61">H10/H4</f>
        <v>#DIV/0!</v>
      </c>
      <c r="I134" s="118" t="e">
        <f t="shared" si="61"/>
        <v>#DIV/0!</v>
      </c>
      <c r="J134" s="118">
        <f t="shared" si="61"/>
        <v>0.93156534736583463</v>
      </c>
      <c r="K134" s="118">
        <f t="shared" si="61"/>
        <v>0.9721814118260409</v>
      </c>
      <c r="L134" s="118">
        <f t="shared" si="61"/>
        <v>0.94544113763299809</v>
      </c>
      <c r="M134" s="118">
        <f t="shared" si="61"/>
        <v>0.9196891191709845</v>
      </c>
      <c r="N134" s="118">
        <f t="shared" si="61"/>
        <v>0.95264505119453924</v>
      </c>
      <c r="O134" s="118">
        <f t="shared" si="61"/>
        <v>0.97640837909294287</v>
      </c>
      <c r="P134" s="118">
        <f t="shared" si="61"/>
        <v>0.9664694280078896</v>
      </c>
      <c r="Q134" s="118">
        <f t="shared" si="61"/>
        <v>0.96581945661700264</v>
      </c>
      <c r="R134" s="118">
        <f t="shared" si="61"/>
        <v>0.96344206974128233</v>
      </c>
      <c r="S134" s="118">
        <f t="shared" si="61"/>
        <v>0.95453635089124778</v>
      </c>
    </row>
    <row r="135" spans="1:21" s="4" customFormat="1" x14ac:dyDescent="0.2">
      <c r="A135" s="34" t="s">
        <v>449</v>
      </c>
      <c r="B135" s="2" t="s">
        <v>224</v>
      </c>
      <c r="C135" s="39" t="s">
        <v>242</v>
      </c>
      <c r="D135" s="10"/>
      <c r="E135" s="109"/>
      <c r="F135" s="37"/>
      <c r="G135" s="110" t="s">
        <v>243</v>
      </c>
      <c r="H135" s="118" t="e">
        <f t="shared" ref="H135:S135" si="62">-(H58)/H15</f>
        <v>#DIV/0!</v>
      </c>
      <c r="I135" s="118" t="e">
        <f t="shared" si="62"/>
        <v>#DIV/0!</v>
      </c>
      <c r="J135" s="118">
        <f t="shared" si="62"/>
        <v>9.0619279807423486E-2</v>
      </c>
      <c r="K135" s="118">
        <f t="shared" si="62"/>
        <v>3.7363175491194257E-2</v>
      </c>
      <c r="L135" s="118">
        <f t="shared" si="62"/>
        <v>0.10130691053709572</v>
      </c>
      <c r="M135" s="118">
        <f t="shared" si="62"/>
        <v>0.52347417840375587</v>
      </c>
      <c r="N135" s="118">
        <f t="shared" si="62"/>
        <v>0.1200179131213614</v>
      </c>
      <c r="O135" s="118">
        <f t="shared" si="62"/>
        <v>0.56967298479483441</v>
      </c>
      <c r="P135" s="118">
        <f t="shared" si="62"/>
        <v>0.22857142857142856</v>
      </c>
      <c r="Q135" s="118">
        <f t="shared" si="62"/>
        <v>0</v>
      </c>
      <c r="R135" s="118">
        <f t="shared" si="62"/>
        <v>0</v>
      </c>
      <c r="S135" s="118">
        <f t="shared" si="62"/>
        <v>0</v>
      </c>
    </row>
    <row r="136" spans="1:21" s="4" customFormat="1" x14ac:dyDescent="0.2">
      <c r="A136" s="34" t="s">
        <v>450</v>
      </c>
      <c r="B136" s="2" t="s">
        <v>227</v>
      </c>
      <c r="C136" s="8" t="s">
        <v>245</v>
      </c>
      <c r="D136" s="10"/>
      <c r="E136" s="109"/>
      <c r="F136" s="37"/>
      <c r="G136" s="103" t="s">
        <v>246</v>
      </c>
      <c r="H136" s="111" t="e">
        <f t="shared" ref="H136:S136" si="63">H33/H4</f>
        <v>#DIV/0!</v>
      </c>
      <c r="I136" s="111" t="e">
        <f t="shared" si="63"/>
        <v>#DIV/0!</v>
      </c>
      <c r="J136" s="111">
        <f t="shared" si="63"/>
        <v>0.30114621511496964</v>
      </c>
      <c r="K136" s="111">
        <f t="shared" si="63"/>
        <v>0.66408129601852928</v>
      </c>
      <c r="L136" s="111">
        <f t="shared" si="63"/>
        <v>0.6596967367342893</v>
      </c>
      <c r="M136" s="111">
        <f t="shared" si="63"/>
        <v>0.85449050086355782</v>
      </c>
      <c r="N136" s="111">
        <f t="shared" si="63"/>
        <v>0.46331058020477817</v>
      </c>
      <c r="O136" s="111">
        <f t="shared" si="63"/>
        <v>0.70937563555013217</v>
      </c>
      <c r="P136" s="111">
        <f t="shared" si="63"/>
        <v>0.445595003287311</v>
      </c>
      <c r="Q136" s="111">
        <f t="shared" si="63"/>
        <v>0.21630148992112183</v>
      </c>
      <c r="R136" s="111">
        <f t="shared" si="63"/>
        <v>0.24334458192725908</v>
      </c>
      <c r="S136" s="111">
        <f t="shared" si="63"/>
        <v>0.27158021229721613</v>
      </c>
    </row>
    <row r="137" spans="1:21" s="4" customFormat="1" x14ac:dyDescent="0.2">
      <c r="A137" s="34" t="s">
        <v>451</v>
      </c>
      <c r="B137" s="2" t="s">
        <v>231</v>
      </c>
      <c r="C137" s="39" t="s">
        <v>248</v>
      </c>
      <c r="D137" s="10"/>
      <c r="E137" s="109"/>
      <c r="F137" s="37"/>
      <c r="G137" s="46" t="s">
        <v>249</v>
      </c>
      <c r="H137" s="111" t="e">
        <f t="shared" ref="H137:S137" si="64">H33/H15</f>
        <v>#DIV/0!</v>
      </c>
      <c r="I137" s="111" t="e">
        <f t="shared" si="64"/>
        <v>#DIV/0!</v>
      </c>
      <c r="J137" s="111">
        <f t="shared" si="64"/>
        <v>0.32326901807427</v>
      </c>
      <c r="K137" s="111">
        <f t="shared" si="64"/>
        <v>0.68434713527262736</v>
      </c>
      <c r="L137" s="111">
        <f t="shared" si="64"/>
        <v>0.69776605911807787</v>
      </c>
      <c r="M137" s="111">
        <f t="shared" si="64"/>
        <v>0.9291079812206573</v>
      </c>
      <c r="N137" s="111">
        <f t="shared" si="64"/>
        <v>0.48634124496193459</v>
      </c>
      <c r="O137" s="111">
        <f t="shared" si="64"/>
        <v>0.7265153093105603</v>
      </c>
      <c r="P137" s="111">
        <f t="shared" si="64"/>
        <v>0.46105442176870748</v>
      </c>
      <c r="Q137" s="111">
        <f t="shared" si="64"/>
        <v>0.22395644283121596</v>
      </c>
      <c r="R137" s="111">
        <f t="shared" si="64"/>
        <v>0.25257832263086205</v>
      </c>
      <c r="S137" s="111">
        <f t="shared" si="64"/>
        <v>0.28451531682752834</v>
      </c>
    </row>
    <row r="138" spans="1:21" s="4" customFormat="1" x14ac:dyDescent="0.2">
      <c r="A138" s="8" t="s">
        <v>452</v>
      </c>
      <c r="B138" s="2" t="s">
        <v>234</v>
      </c>
      <c r="C138" s="39" t="s">
        <v>251</v>
      </c>
      <c r="D138" s="106">
        <v>0.5</v>
      </c>
      <c r="E138" s="106">
        <f>1/3</f>
        <v>0.33333333333333331</v>
      </c>
      <c r="F138" s="114" t="s">
        <v>433</v>
      </c>
      <c r="G138" s="100" t="s">
        <v>252</v>
      </c>
      <c r="H138" s="118" t="e">
        <f t="shared" ref="H138:S138" si="65">H27/H4</f>
        <v>#DIV/0!</v>
      </c>
      <c r="I138" s="118" t="e">
        <f t="shared" si="65"/>
        <v>#DIV/0!</v>
      </c>
      <c r="J138" s="118">
        <f t="shared" si="65"/>
        <v>0.96199758389811429</v>
      </c>
      <c r="K138" s="118">
        <f t="shared" si="65"/>
        <v>0.95696148438735285</v>
      </c>
      <c r="L138" s="118">
        <f t="shared" si="65"/>
        <v>0.88439116557070907</v>
      </c>
      <c r="M138" s="118">
        <f t="shared" si="65"/>
        <v>0.88863687392055268</v>
      </c>
      <c r="N138" s="118">
        <f t="shared" si="65"/>
        <v>0.92900938566552904</v>
      </c>
      <c r="O138" s="118">
        <f t="shared" si="65"/>
        <v>0.96107341875127106</v>
      </c>
      <c r="P138" s="118">
        <f t="shared" si="65"/>
        <v>0.99270184089414859</v>
      </c>
      <c r="Q138" s="118">
        <f t="shared" si="65"/>
        <v>0.99379456617002626</v>
      </c>
      <c r="R138" s="118">
        <f t="shared" si="65"/>
        <v>0.99336295463067115</v>
      </c>
      <c r="S138" s="118">
        <f t="shared" si="65"/>
        <v>0.99190827158021233</v>
      </c>
    </row>
    <row r="139" spans="1:21" s="4" customFormat="1" x14ac:dyDescent="0.2">
      <c r="A139" s="8"/>
      <c r="B139" s="2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</row>
    <row r="140" spans="1:21" s="4" customFormat="1" x14ac:dyDescent="0.2">
      <c r="A140" s="40"/>
      <c r="B140" s="2"/>
      <c r="C140" s="2"/>
      <c r="D140" s="41"/>
      <c r="E140" s="42"/>
      <c r="F140" s="37"/>
      <c r="G140" s="94" t="s">
        <v>253</v>
      </c>
      <c r="H140" s="87">
        <f t="shared" ref="H140:S140" si="66">H133</f>
        <v>2011</v>
      </c>
      <c r="I140" s="87">
        <f t="shared" si="66"/>
        <v>2012</v>
      </c>
      <c r="J140" s="87">
        <f t="shared" si="66"/>
        <v>2013</v>
      </c>
      <c r="K140" s="87">
        <f t="shared" si="66"/>
        <v>2014</v>
      </c>
      <c r="L140" s="87">
        <f t="shared" si="66"/>
        <v>2015</v>
      </c>
      <c r="M140" s="87">
        <f t="shared" si="66"/>
        <v>2016</v>
      </c>
      <c r="N140" s="87">
        <f t="shared" si="66"/>
        <v>2017</v>
      </c>
      <c r="O140" s="87">
        <f t="shared" si="66"/>
        <v>2018</v>
      </c>
      <c r="P140" s="87">
        <f t="shared" si="66"/>
        <v>2019</v>
      </c>
      <c r="Q140" s="87">
        <f t="shared" si="66"/>
        <v>2020</v>
      </c>
      <c r="R140" s="87">
        <f t="shared" si="66"/>
        <v>2021</v>
      </c>
      <c r="S140" s="87">
        <f t="shared" si="66"/>
        <v>2022</v>
      </c>
    </row>
    <row r="141" spans="1:21" s="4" customFormat="1" x14ac:dyDescent="0.2">
      <c r="A141" s="8" t="s">
        <v>453</v>
      </c>
      <c r="B141" s="2" t="s">
        <v>238</v>
      </c>
      <c r="C141" s="8" t="s">
        <v>255</v>
      </c>
      <c r="D141" s="43"/>
      <c r="E141" s="106">
        <v>0.05</v>
      </c>
      <c r="F141" s="8"/>
      <c r="G141" s="103" t="s">
        <v>256</v>
      </c>
      <c r="H141" s="108" t="e">
        <f t="shared" ref="H141:S141" si="67">H35/H33</f>
        <v>#DIV/0!</v>
      </c>
      <c r="I141" s="108" t="e">
        <f t="shared" si="67"/>
        <v>#DIV/0!</v>
      </c>
      <c r="J141" s="108">
        <f t="shared" si="67"/>
        <v>6.6368047169913943E-2</v>
      </c>
      <c r="K141" s="108">
        <f t="shared" si="67"/>
        <v>0.2930483072824499</v>
      </c>
      <c r="L141" s="108">
        <f t="shared" si="67"/>
        <v>0.34123814456503149</v>
      </c>
      <c r="M141" s="108">
        <f t="shared" si="67"/>
        <v>0.16624557857503791</v>
      </c>
      <c r="N141" s="108">
        <f t="shared" si="67"/>
        <v>0.29926335174953961</v>
      </c>
      <c r="O141" s="108">
        <f t="shared" si="67"/>
        <v>5.2465596330275227E-2</v>
      </c>
      <c r="P141" s="108">
        <f t="shared" si="67"/>
        <v>0.24529693839911471</v>
      </c>
      <c r="Q141" s="108">
        <f t="shared" si="67"/>
        <v>0.62560777957860614</v>
      </c>
      <c r="R141" s="108">
        <f t="shared" si="67"/>
        <v>0.64406779661016944</v>
      </c>
      <c r="S141" s="108">
        <f t="shared" si="67"/>
        <v>0.65929203539823011</v>
      </c>
    </row>
    <row r="142" spans="1:21" s="4" customFormat="1" x14ac:dyDescent="0.2">
      <c r="A142" s="8" t="s">
        <v>454</v>
      </c>
      <c r="B142" s="2" t="s">
        <v>241</v>
      </c>
      <c r="C142" s="8" t="s">
        <v>258</v>
      </c>
      <c r="D142" s="10"/>
      <c r="E142" s="106">
        <v>0.95</v>
      </c>
      <c r="F142" s="8"/>
      <c r="G142" s="110" t="s">
        <v>259</v>
      </c>
      <c r="H142" s="118" t="e">
        <f t="shared" ref="H142:S142" si="68">(H36+H34)/H33</f>
        <v>#DIV/0!</v>
      </c>
      <c r="I142" s="118" t="e">
        <f t="shared" si="68"/>
        <v>#DIV/0!</v>
      </c>
      <c r="J142" s="118">
        <f t="shared" si="68"/>
        <v>0.93363195283008604</v>
      </c>
      <c r="K142" s="118">
        <f t="shared" si="68"/>
        <v>0.70662093551521543</v>
      </c>
      <c r="L142" s="118">
        <f t="shared" si="68"/>
        <v>0.65876185543496857</v>
      </c>
      <c r="M142" s="118">
        <f t="shared" si="68"/>
        <v>0.83375442142496214</v>
      </c>
      <c r="N142" s="118">
        <f t="shared" si="68"/>
        <v>0.70073664825046045</v>
      </c>
      <c r="O142" s="118">
        <f t="shared" si="68"/>
        <v>0.94753440366972475</v>
      </c>
      <c r="P142" s="118">
        <f t="shared" si="68"/>
        <v>0.75470306160088529</v>
      </c>
      <c r="Q142" s="118">
        <f t="shared" si="68"/>
        <v>0.37439222042139386</v>
      </c>
      <c r="R142" s="118">
        <f t="shared" si="68"/>
        <v>0.3559322033898305</v>
      </c>
      <c r="S142" s="118">
        <f t="shared" si="68"/>
        <v>0.34070796460176989</v>
      </c>
    </row>
    <row r="143" spans="1:21" s="4" customFormat="1" x14ac:dyDescent="0.2">
      <c r="A143" s="8" t="s">
        <v>455</v>
      </c>
      <c r="B143" s="2" t="s">
        <v>244</v>
      </c>
      <c r="C143" s="8" t="s">
        <v>261</v>
      </c>
      <c r="D143" s="10"/>
      <c r="E143" s="106">
        <v>0.95</v>
      </c>
      <c r="F143" s="8"/>
      <c r="G143" s="46" t="s">
        <v>262</v>
      </c>
      <c r="H143" s="108" t="e">
        <f t="shared" ref="H143:S143" si="69">H38/(H38+H41)</f>
        <v>#DIV/0!</v>
      </c>
      <c r="I143" s="108" t="e">
        <f t="shared" si="69"/>
        <v>#DIV/0!</v>
      </c>
      <c r="J143" s="108">
        <f t="shared" si="69"/>
        <v>1.2362445482624284E-2</v>
      </c>
      <c r="K143" s="108">
        <f t="shared" si="69"/>
        <v>0</v>
      </c>
      <c r="L143" s="108">
        <f t="shared" si="69"/>
        <v>1.5003786955827649E-3</v>
      </c>
      <c r="M143" s="108">
        <f t="shared" si="69"/>
        <v>1.3333333333333334E-2</v>
      </c>
      <c r="N143" s="108">
        <f t="shared" si="69"/>
        <v>1.0351966873706005E-3</v>
      </c>
      <c r="O143" s="108">
        <f t="shared" si="69"/>
        <v>0</v>
      </c>
      <c r="P143" s="108">
        <f t="shared" si="69"/>
        <v>0</v>
      </c>
      <c r="Q143" s="108">
        <f t="shared" si="69"/>
        <v>0</v>
      </c>
      <c r="R143" s="108">
        <f t="shared" si="69"/>
        <v>0</v>
      </c>
      <c r="S143" s="108">
        <f t="shared" si="69"/>
        <v>0</v>
      </c>
    </row>
    <row r="144" spans="1:21" s="4" customFormat="1" x14ac:dyDescent="0.2">
      <c r="A144" s="8"/>
      <c r="B144" s="2"/>
      <c r="C144" s="8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</row>
    <row r="145" spans="1:19" s="4" customFormat="1" x14ac:dyDescent="0.2">
      <c r="A145" s="40"/>
      <c r="B145" s="2"/>
      <c r="C145" s="119"/>
      <c r="D145" s="41"/>
      <c r="E145" s="42"/>
      <c r="F145" s="37"/>
      <c r="G145" s="94"/>
      <c r="H145" s="87">
        <f>H140</f>
        <v>2011</v>
      </c>
      <c r="I145" s="87">
        <f t="shared" ref="I145:S145" si="70">I140</f>
        <v>2012</v>
      </c>
      <c r="J145" s="87">
        <f t="shared" si="70"/>
        <v>2013</v>
      </c>
      <c r="K145" s="87">
        <f t="shared" si="70"/>
        <v>2014</v>
      </c>
      <c r="L145" s="87">
        <f t="shared" si="70"/>
        <v>2015</v>
      </c>
      <c r="M145" s="87">
        <f t="shared" si="70"/>
        <v>2016</v>
      </c>
      <c r="N145" s="87">
        <f t="shared" si="70"/>
        <v>2017</v>
      </c>
      <c r="O145" s="87">
        <f t="shared" si="70"/>
        <v>2018</v>
      </c>
      <c r="P145" s="87">
        <f t="shared" si="70"/>
        <v>2019</v>
      </c>
      <c r="Q145" s="87">
        <f t="shared" si="70"/>
        <v>2020</v>
      </c>
      <c r="R145" s="87">
        <f t="shared" si="70"/>
        <v>2021</v>
      </c>
      <c r="S145" s="87">
        <f t="shared" si="70"/>
        <v>2022</v>
      </c>
    </row>
    <row r="146" spans="1:19" s="4" customFormat="1" x14ac:dyDescent="0.2">
      <c r="A146" s="4" t="s">
        <v>456</v>
      </c>
      <c r="B146" s="2" t="s">
        <v>247</v>
      </c>
      <c r="C146" s="8" t="s">
        <v>264</v>
      </c>
      <c r="D146" s="120">
        <v>0.5</v>
      </c>
      <c r="E146" s="121" t="s">
        <v>265</v>
      </c>
      <c r="G146" s="103" t="s">
        <v>266</v>
      </c>
      <c r="H146" s="111" t="e">
        <f t="shared" ref="H146:S146" si="71">IF(H141&lt;$D$146,$E$146,H35/H4)</f>
        <v>#DIV/0!</v>
      </c>
      <c r="I146" s="111" t="e">
        <f t="shared" si="71"/>
        <v>#DIV/0!</v>
      </c>
      <c r="J146" s="111" t="str">
        <f t="shared" si="71"/>
        <v>N/A</v>
      </c>
      <c r="K146" s="111" t="str">
        <f t="shared" si="71"/>
        <v>N/A</v>
      </c>
      <c r="L146" s="111" t="str">
        <f t="shared" si="71"/>
        <v>N/A</v>
      </c>
      <c r="M146" s="111" t="str">
        <f t="shared" si="71"/>
        <v>N/A</v>
      </c>
      <c r="N146" s="111" t="str">
        <f t="shared" si="71"/>
        <v>N/A</v>
      </c>
      <c r="O146" s="111" t="str">
        <f t="shared" si="71"/>
        <v>N/A</v>
      </c>
      <c r="P146" s="111" t="str">
        <f t="shared" si="71"/>
        <v>N/A</v>
      </c>
      <c r="Q146" s="111">
        <f t="shared" si="71"/>
        <v>0.13531989482909729</v>
      </c>
      <c r="R146" s="111">
        <f t="shared" si="71"/>
        <v>0.15673040869891264</v>
      </c>
      <c r="S146" s="111">
        <f t="shared" si="71"/>
        <v>0.17905067093931504</v>
      </c>
    </row>
    <row r="147" spans="1:19" s="4" customFormat="1" x14ac:dyDescent="0.2">
      <c r="A147" s="4" t="s">
        <v>457</v>
      </c>
      <c r="B147" s="2" t="s">
        <v>250</v>
      </c>
      <c r="C147" s="8" t="s">
        <v>267</v>
      </c>
      <c r="D147" s="120">
        <v>0.5</v>
      </c>
      <c r="E147" s="121" t="s">
        <v>265</v>
      </c>
      <c r="G147" s="110" t="s">
        <v>268</v>
      </c>
      <c r="H147" s="111" t="e">
        <f t="shared" ref="H147:S147" si="72">IF(H141&lt;$D$147,$E$147,H35/H15)</f>
        <v>#DIV/0!</v>
      </c>
      <c r="I147" s="111" t="e">
        <f t="shared" si="72"/>
        <v>#DIV/0!</v>
      </c>
      <c r="J147" s="111" t="str">
        <f t="shared" si="72"/>
        <v>N/A</v>
      </c>
      <c r="K147" s="111" t="str">
        <f t="shared" si="72"/>
        <v>N/A</v>
      </c>
      <c r="L147" s="111" t="str">
        <f t="shared" si="72"/>
        <v>N/A</v>
      </c>
      <c r="M147" s="111" t="str">
        <f t="shared" si="72"/>
        <v>N/A</v>
      </c>
      <c r="N147" s="111" t="str">
        <f t="shared" si="72"/>
        <v>N/A</v>
      </c>
      <c r="O147" s="111" t="str">
        <f t="shared" si="72"/>
        <v>N/A</v>
      </c>
      <c r="P147" s="111" t="str">
        <f t="shared" si="72"/>
        <v>N/A</v>
      </c>
      <c r="Q147" s="111">
        <f t="shared" si="72"/>
        <v>0.14010889292196008</v>
      </c>
      <c r="R147" s="111">
        <f t="shared" si="72"/>
        <v>0.16267756372835182</v>
      </c>
      <c r="S147" s="111">
        <f t="shared" si="72"/>
        <v>0.18757868233319344</v>
      </c>
    </row>
    <row r="148" spans="1:19" s="4" customFormat="1" x14ac:dyDescent="0.2">
      <c r="A148" s="4" t="s">
        <v>458</v>
      </c>
      <c r="B148" s="2" t="s">
        <v>254</v>
      </c>
      <c r="C148" s="8" t="s">
        <v>201</v>
      </c>
      <c r="D148" s="120">
        <v>0.5</v>
      </c>
      <c r="E148" s="121" t="s">
        <v>265</v>
      </c>
      <c r="G148" s="103" t="s">
        <v>269</v>
      </c>
      <c r="H148" s="118" t="e">
        <f t="shared" ref="H148:S148" si="73">IF(H141&lt;$D$148,$E$148,H46/H33)</f>
        <v>#DIV/0!</v>
      </c>
      <c r="I148" s="118" t="e">
        <f t="shared" si="73"/>
        <v>#DIV/0!</v>
      </c>
      <c r="J148" s="118" t="str">
        <f t="shared" si="73"/>
        <v>N/A</v>
      </c>
      <c r="K148" s="118" t="str">
        <f t="shared" si="73"/>
        <v>N/A</v>
      </c>
      <c r="L148" s="118" t="str">
        <f t="shared" si="73"/>
        <v>N/A</v>
      </c>
      <c r="M148" s="118" t="str">
        <f t="shared" si="73"/>
        <v>N/A</v>
      </c>
      <c r="N148" s="118" t="str">
        <f t="shared" si="73"/>
        <v>N/A</v>
      </c>
      <c r="O148" s="118" t="str">
        <f t="shared" si="73"/>
        <v>N/A</v>
      </c>
      <c r="P148" s="118" t="str">
        <f t="shared" si="73"/>
        <v>N/A</v>
      </c>
      <c r="Q148" s="118">
        <f t="shared" si="73"/>
        <v>-0.29983792544570503</v>
      </c>
      <c r="R148" s="118">
        <f t="shared" si="73"/>
        <v>-0.28582434514637906</v>
      </c>
      <c r="S148" s="118">
        <f t="shared" si="73"/>
        <v>-0.25516224188790559</v>
      </c>
    </row>
    <row r="149" spans="1:19" s="4" customFormat="1" x14ac:dyDescent="0.2">
      <c r="A149" s="4" t="s">
        <v>459</v>
      </c>
      <c r="B149" s="2" t="s">
        <v>257</v>
      </c>
      <c r="C149" s="8" t="s">
        <v>270</v>
      </c>
      <c r="D149" s="120">
        <v>0.5</v>
      </c>
      <c r="E149" s="121" t="s">
        <v>265</v>
      </c>
      <c r="G149" s="110" t="s">
        <v>271</v>
      </c>
      <c r="H149" s="118" t="e">
        <f t="shared" ref="H149:S149" si="74">IF(H141&lt;$D$148,$E$149,H51/H33)</f>
        <v>#DIV/0!</v>
      </c>
      <c r="I149" s="118" t="e">
        <f t="shared" si="74"/>
        <v>#DIV/0!</v>
      </c>
      <c r="J149" s="118" t="str">
        <f t="shared" si="74"/>
        <v>N/A</v>
      </c>
      <c r="K149" s="118" t="str">
        <f t="shared" si="74"/>
        <v>N/A</v>
      </c>
      <c r="L149" s="118" t="str">
        <f t="shared" si="74"/>
        <v>N/A</v>
      </c>
      <c r="M149" s="118" t="str">
        <f t="shared" si="74"/>
        <v>N/A</v>
      </c>
      <c r="N149" s="118" t="str">
        <f t="shared" si="74"/>
        <v>N/A</v>
      </c>
      <c r="O149" s="118" t="str">
        <f t="shared" si="74"/>
        <v>N/A</v>
      </c>
      <c r="P149" s="118" t="str">
        <f t="shared" si="74"/>
        <v>N/A</v>
      </c>
      <c r="Q149" s="118">
        <f t="shared" si="74"/>
        <v>-0.29983792544570503</v>
      </c>
      <c r="R149" s="118">
        <f t="shared" si="74"/>
        <v>-0.28582434514637906</v>
      </c>
      <c r="S149" s="118">
        <f t="shared" si="74"/>
        <v>-0.25516224188790559</v>
      </c>
    </row>
    <row r="150" spans="1:19" s="4" customFormat="1" x14ac:dyDescent="0.2">
      <c r="A150" s="4" t="s">
        <v>460</v>
      </c>
      <c r="B150" s="2" t="s">
        <v>260</v>
      </c>
      <c r="C150" s="8" t="s">
        <v>272</v>
      </c>
      <c r="D150" s="120">
        <v>0.5</v>
      </c>
      <c r="E150" s="121" t="s">
        <v>265</v>
      </c>
      <c r="G150" s="110" t="s">
        <v>273</v>
      </c>
      <c r="H150" s="118" t="e">
        <f t="shared" ref="H150:S150" si="75">IF(H141&lt;$D$150,$E$150,H51/H4)</f>
        <v>#DIV/0!</v>
      </c>
      <c r="I150" s="118" t="e">
        <f t="shared" si="75"/>
        <v>#DIV/0!</v>
      </c>
      <c r="J150" s="118" t="str">
        <f t="shared" si="75"/>
        <v>N/A</v>
      </c>
      <c r="K150" s="118" t="str">
        <f t="shared" si="75"/>
        <v>N/A</v>
      </c>
      <c r="L150" s="118" t="str">
        <f t="shared" si="75"/>
        <v>N/A</v>
      </c>
      <c r="M150" s="118" t="str">
        <f t="shared" si="75"/>
        <v>N/A</v>
      </c>
      <c r="N150" s="118" t="str">
        <f t="shared" si="75"/>
        <v>N/A</v>
      </c>
      <c r="O150" s="118" t="str">
        <f t="shared" si="75"/>
        <v>N/A</v>
      </c>
      <c r="P150" s="118" t="str">
        <f t="shared" si="75"/>
        <v>N/A</v>
      </c>
      <c r="Q150" s="118">
        <f t="shared" si="75"/>
        <v>-6.4855390008764238E-2</v>
      </c>
      <c r="R150" s="118">
        <f t="shared" si="75"/>
        <v>-6.9553805774278221E-2</v>
      </c>
      <c r="S150" s="118">
        <f t="shared" si="75"/>
        <v>-6.9297015822151017E-2</v>
      </c>
    </row>
    <row r="151" spans="1:19" s="4" customFormat="1" x14ac:dyDescent="0.2">
      <c r="A151" s="4" t="s">
        <v>461</v>
      </c>
      <c r="B151" s="2" t="s">
        <v>263</v>
      </c>
      <c r="C151" s="8" t="s">
        <v>274</v>
      </c>
      <c r="D151" s="120">
        <v>0.5</v>
      </c>
      <c r="E151" s="121" t="s">
        <v>265</v>
      </c>
      <c r="G151" s="46" t="s">
        <v>275</v>
      </c>
      <c r="H151" s="118" t="e">
        <f>IF(H141&lt;$D$151,$E$151,H51/H27)</f>
        <v>#DIV/0!</v>
      </c>
      <c r="I151" s="118" t="e">
        <f>IF(I141&lt;$D$151,$E$151,I51/((H27+I27)/2))</f>
        <v>#DIV/0!</v>
      </c>
      <c r="J151" s="118" t="str">
        <f>IF(J141&lt;$D$151,$E$151,J51/((I27+J27)/2))</f>
        <v>N/A</v>
      </c>
      <c r="K151" s="118" t="str">
        <f>IF(K141&lt;$D$151,$E$151,K51/((J27+K27)/2))</f>
        <v>N/A</v>
      </c>
      <c r="L151" s="118" t="str">
        <f>IF(L141&lt;$D$151,$E$151,L51/((K27+L27)/2))</f>
        <v>N/A</v>
      </c>
      <c r="M151" s="118" t="str">
        <f>IF(M141&lt;$D$151,$E$151,M51/((L27+M27)/2))</f>
        <v>N/A</v>
      </c>
      <c r="N151" s="118" t="str">
        <f t="shared" ref="N151:S151" si="76">IF(N141&lt;$D$151,$E$151,N51/((M27+N27)/2))</f>
        <v>N/A</v>
      </c>
      <c r="O151" s="118" t="str">
        <f t="shared" si="76"/>
        <v>N/A</v>
      </c>
      <c r="P151" s="118" t="str">
        <f t="shared" si="76"/>
        <v>N/A</v>
      </c>
      <c r="Q151" s="118">
        <f t="shared" si="76"/>
        <v>-6.3198190550401587E-2</v>
      </c>
      <c r="R151" s="118">
        <f t="shared" si="76"/>
        <v>-6.7650140460655511E-2</v>
      </c>
      <c r="S151" s="118">
        <f t="shared" si="76"/>
        <v>-6.7504318520492629E-2</v>
      </c>
    </row>
    <row r="152" spans="1:19" s="4" customFormat="1" x14ac:dyDescent="0.2">
      <c r="A152" s="8"/>
      <c r="B152" s="2"/>
      <c r="C152" s="119"/>
      <c r="D152" s="41"/>
      <c r="E152" s="42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</row>
    <row r="153" spans="1:19" s="4" customFormat="1" x14ac:dyDescent="0.2">
      <c r="A153" s="8"/>
      <c r="B153" s="2"/>
      <c r="C153" s="10"/>
      <c r="D153" s="10"/>
      <c r="E153" s="9"/>
      <c r="F153" s="8"/>
      <c r="G153" s="94" t="s">
        <v>462</v>
      </c>
      <c r="H153" s="87">
        <f>H145</f>
        <v>2011</v>
      </c>
      <c r="I153" s="87">
        <f t="shared" ref="I153:S153" si="77">I145</f>
        <v>2012</v>
      </c>
      <c r="J153" s="87">
        <f t="shared" si="77"/>
        <v>2013</v>
      </c>
      <c r="K153" s="87">
        <f t="shared" si="77"/>
        <v>2014</v>
      </c>
      <c r="L153" s="87">
        <f t="shared" si="77"/>
        <v>2015</v>
      </c>
      <c r="M153" s="87">
        <f t="shared" si="77"/>
        <v>2016</v>
      </c>
      <c r="N153" s="87">
        <f t="shared" si="77"/>
        <v>2017</v>
      </c>
      <c r="O153" s="87">
        <f t="shared" si="77"/>
        <v>2018</v>
      </c>
      <c r="P153" s="87">
        <f t="shared" si="77"/>
        <v>2019</v>
      </c>
      <c r="Q153" s="87">
        <f t="shared" si="77"/>
        <v>2020</v>
      </c>
      <c r="R153" s="87">
        <f t="shared" si="77"/>
        <v>2021</v>
      </c>
      <c r="S153" s="87">
        <f t="shared" si="77"/>
        <v>2022</v>
      </c>
    </row>
    <row r="154" spans="1:19" s="4" customFormat="1" x14ac:dyDescent="0.2">
      <c r="A154" s="8"/>
      <c r="B154" s="2"/>
      <c r="C154" s="10"/>
      <c r="D154" s="10"/>
      <c r="E154" s="9"/>
      <c r="F154" s="8"/>
      <c r="G154" s="95" t="s">
        <v>276</v>
      </c>
      <c r="H154" s="96">
        <f t="shared" ref="H154:S154" si="78">H33</f>
        <v>0</v>
      </c>
      <c r="I154" s="96">
        <f t="shared" si="78"/>
        <v>0</v>
      </c>
      <c r="J154" s="96">
        <f t="shared" si="78"/>
        <v>367.69200000000001</v>
      </c>
      <c r="K154" s="96">
        <f t="shared" si="78"/>
        <v>777.005</v>
      </c>
      <c r="L154" s="96">
        <f>L33</f>
        <v>841.80799999999999</v>
      </c>
      <c r="M154" s="96">
        <f t="shared" si="78"/>
        <v>1979</v>
      </c>
      <c r="N154" s="96">
        <f t="shared" si="78"/>
        <v>1086</v>
      </c>
      <c r="O154" s="96">
        <f t="shared" si="78"/>
        <v>3488</v>
      </c>
      <c r="P154" s="96">
        <f t="shared" si="78"/>
        <v>2711</v>
      </c>
      <c r="Q154" s="96">
        <f t="shared" si="78"/>
        <v>1234</v>
      </c>
      <c r="R154" s="96">
        <f t="shared" si="78"/>
        <v>1298</v>
      </c>
      <c r="S154" s="96">
        <f t="shared" si="78"/>
        <v>1356</v>
      </c>
    </row>
    <row r="155" spans="1:19" s="4" customFormat="1" x14ac:dyDescent="0.2">
      <c r="A155" s="8"/>
      <c r="B155" s="2"/>
      <c r="C155" s="10"/>
      <c r="D155" s="10"/>
      <c r="E155" s="9"/>
      <c r="F155" s="8"/>
      <c r="G155" s="95" t="s">
        <v>277</v>
      </c>
      <c r="H155" s="96">
        <f t="shared" ref="H155:S156" si="79">H35</f>
        <v>0</v>
      </c>
      <c r="I155" s="96">
        <f t="shared" si="79"/>
        <v>0</v>
      </c>
      <c r="J155" s="96">
        <f t="shared" si="79"/>
        <v>24.402999999999999</v>
      </c>
      <c r="K155" s="96">
        <f t="shared" si="79"/>
        <v>227.7</v>
      </c>
      <c r="L155" s="96">
        <f t="shared" si="79"/>
        <v>287.25700000000001</v>
      </c>
      <c r="M155" s="96">
        <f t="shared" si="79"/>
        <v>329</v>
      </c>
      <c r="N155" s="96">
        <f t="shared" si="79"/>
        <v>325</v>
      </c>
      <c r="O155" s="96">
        <f t="shared" si="79"/>
        <v>183</v>
      </c>
      <c r="P155" s="96">
        <f t="shared" si="79"/>
        <v>665</v>
      </c>
      <c r="Q155" s="96">
        <f t="shared" si="79"/>
        <v>772</v>
      </c>
      <c r="R155" s="96">
        <f t="shared" si="79"/>
        <v>836</v>
      </c>
      <c r="S155" s="96">
        <f t="shared" si="79"/>
        <v>894</v>
      </c>
    </row>
    <row r="156" spans="1:19" s="4" customFormat="1" x14ac:dyDescent="0.2">
      <c r="A156" s="8"/>
      <c r="B156" s="2"/>
      <c r="C156" s="10"/>
      <c r="D156" s="10"/>
      <c r="E156" s="9"/>
      <c r="F156" s="8"/>
      <c r="G156" s="95" t="s">
        <v>278</v>
      </c>
      <c r="H156" s="96">
        <f t="shared" si="79"/>
        <v>0</v>
      </c>
      <c r="I156" s="96">
        <f t="shared" si="79"/>
        <v>0</v>
      </c>
      <c r="J156" s="96">
        <f t="shared" si="79"/>
        <v>343.28899999999999</v>
      </c>
      <c r="K156" s="96">
        <f t="shared" si="79"/>
        <v>549.048</v>
      </c>
      <c r="L156" s="96">
        <f t="shared" si="79"/>
        <v>554.55100000000004</v>
      </c>
      <c r="M156" s="96">
        <f t="shared" si="79"/>
        <v>1650</v>
      </c>
      <c r="N156" s="96">
        <f t="shared" si="79"/>
        <v>761</v>
      </c>
      <c r="O156" s="96">
        <f t="shared" si="79"/>
        <v>3305</v>
      </c>
      <c r="P156" s="96">
        <f t="shared" si="79"/>
        <v>2046</v>
      </c>
      <c r="Q156" s="96">
        <f t="shared" si="79"/>
        <v>462</v>
      </c>
      <c r="R156" s="96">
        <f t="shared" si="79"/>
        <v>462</v>
      </c>
      <c r="S156" s="96">
        <f t="shared" si="79"/>
        <v>462</v>
      </c>
    </row>
    <row r="157" spans="1:19" s="4" customFormat="1" x14ac:dyDescent="0.2">
      <c r="A157" s="8"/>
      <c r="B157" s="2"/>
      <c r="C157" s="10"/>
      <c r="D157" s="10"/>
      <c r="E157" s="9"/>
      <c r="F157" s="8"/>
      <c r="G157" s="95" t="s">
        <v>279</v>
      </c>
      <c r="H157" s="96">
        <f t="shared" ref="H157:S157" si="80">H38+H41</f>
        <v>0</v>
      </c>
      <c r="I157" s="96">
        <f t="shared" si="80"/>
        <v>0</v>
      </c>
      <c r="J157" s="96">
        <f t="shared" si="80"/>
        <v>-257.71600000000001</v>
      </c>
      <c r="K157" s="96">
        <f t="shared" si="80"/>
        <v>-831.89100000000008</v>
      </c>
      <c r="L157" s="96">
        <f t="shared" si="80"/>
        <v>-833.12300000000005</v>
      </c>
      <c r="M157" s="96">
        <f t="shared" si="80"/>
        <v>-1050</v>
      </c>
      <c r="N157" s="96">
        <f t="shared" si="80"/>
        <v>-966</v>
      </c>
      <c r="O157" s="96">
        <f t="shared" si="80"/>
        <v>-940</v>
      </c>
      <c r="P157" s="96">
        <f t="shared" si="80"/>
        <v>-1397</v>
      </c>
      <c r="Q157" s="96">
        <f t="shared" si="80"/>
        <v>-1604</v>
      </c>
      <c r="R157" s="96">
        <f t="shared" si="80"/>
        <v>-1669</v>
      </c>
      <c r="S157" s="96">
        <f t="shared" si="80"/>
        <v>-1702</v>
      </c>
    </row>
    <row r="158" spans="1:19" s="4" customFormat="1" x14ac:dyDescent="0.2">
      <c r="A158" s="8"/>
      <c r="B158" s="2"/>
      <c r="C158" s="10"/>
      <c r="D158" s="10"/>
      <c r="E158" s="9"/>
      <c r="F158" s="8"/>
      <c r="G158" s="95" t="s">
        <v>280</v>
      </c>
      <c r="H158" s="96">
        <f t="shared" ref="H158:S158" si="81">H41</f>
        <v>0</v>
      </c>
      <c r="I158" s="96">
        <f t="shared" si="81"/>
        <v>0</v>
      </c>
      <c r="J158" s="96">
        <f t="shared" si="81"/>
        <v>-254.53</v>
      </c>
      <c r="K158" s="96">
        <f t="shared" si="81"/>
        <v>-831.89100000000008</v>
      </c>
      <c r="L158" s="96">
        <f t="shared" si="81"/>
        <v>-831.87300000000005</v>
      </c>
      <c r="M158" s="96">
        <f t="shared" si="81"/>
        <v>-1036</v>
      </c>
      <c r="N158" s="96">
        <f t="shared" si="81"/>
        <v>-965</v>
      </c>
      <c r="O158" s="96">
        <f t="shared" si="81"/>
        <v>-940</v>
      </c>
      <c r="P158" s="96">
        <f t="shared" si="81"/>
        <v>-1397</v>
      </c>
      <c r="Q158" s="96">
        <f t="shared" si="81"/>
        <v>-1604</v>
      </c>
      <c r="R158" s="96">
        <f t="shared" si="81"/>
        <v>-1669</v>
      </c>
      <c r="S158" s="96">
        <f t="shared" si="81"/>
        <v>-1702</v>
      </c>
    </row>
    <row r="159" spans="1:19" s="4" customFormat="1" x14ac:dyDescent="0.2">
      <c r="A159" s="8"/>
      <c r="B159" s="2"/>
      <c r="C159" s="10"/>
      <c r="D159" s="10"/>
      <c r="E159" s="9"/>
      <c r="F159" s="8"/>
      <c r="G159" s="95" t="s">
        <v>281</v>
      </c>
      <c r="H159" s="96">
        <f t="shared" ref="H159:S159" si="82">H38</f>
        <v>0</v>
      </c>
      <c r="I159" s="96">
        <f t="shared" si="82"/>
        <v>0</v>
      </c>
      <c r="J159" s="96">
        <f t="shared" si="82"/>
        <v>-3.1859999999999999</v>
      </c>
      <c r="K159" s="96">
        <f t="shared" si="82"/>
        <v>0</v>
      </c>
      <c r="L159" s="96">
        <f t="shared" si="82"/>
        <v>-1.25</v>
      </c>
      <c r="M159" s="96">
        <f t="shared" si="82"/>
        <v>-14</v>
      </c>
      <c r="N159" s="96">
        <f t="shared" si="82"/>
        <v>-1</v>
      </c>
      <c r="O159" s="96">
        <f t="shared" si="82"/>
        <v>0</v>
      </c>
      <c r="P159" s="96">
        <f t="shared" si="82"/>
        <v>0</v>
      </c>
      <c r="Q159" s="96">
        <f t="shared" si="82"/>
        <v>0</v>
      </c>
      <c r="R159" s="96">
        <f t="shared" si="82"/>
        <v>0</v>
      </c>
      <c r="S159" s="96">
        <f t="shared" si="82"/>
        <v>0</v>
      </c>
    </row>
    <row r="160" spans="1:19" s="4" customFormat="1" x14ac:dyDescent="0.2">
      <c r="A160" s="8"/>
      <c r="B160" s="2"/>
      <c r="C160" s="10"/>
      <c r="D160" s="10"/>
      <c r="E160" s="9"/>
      <c r="F160" s="8"/>
      <c r="G160" s="95" t="s">
        <v>282</v>
      </c>
      <c r="H160" s="96">
        <f t="shared" ref="H160:S160" si="83">H46</f>
        <v>0</v>
      </c>
      <c r="I160" s="96">
        <f t="shared" si="83"/>
        <v>0</v>
      </c>
      <c r="J160" s="96">
        <f t="shared" si="83"/>
        <v>109.97600000000003</v>
      </c>
      <c r="K160" s="96">
        <f t="shared" si="83"/>
        <v>-54.886000000000081</v>
      </c>
      <c r="L160" s="96">
        <f t="shared" si="83"/>
        <v>8.6849999999999454</v>
      </c>
      <c r="M160" s="96">
        <f t="shared" si="83"/>
        <v>929</v>
      </c>
      <c r="N160" s="96">
        <f t="shared" si="83"/>
        <v>120</v>
      </c>
      <c r="O160" s="96">
        <f t="shared" si="83"/>
        <v>2548</v>
      </c>
      <c r="P160" s="96">
        <f t="shared" si="83"/>
        <v>1314</v>
      </c>
      <c r="Q160" s="96">
        <f t="shared" si="83"/>
        <v>-370</v>
      </c>
      <c r="R160" s="96">
        <f t="shared" si="83"/>
        <v>-371</v>
      </c>
      <c r="S160" s="96">
        <f t="shared" si="83"/>
        <v>-346</v>
      </c>
    </row>
    <row r="161" spans="1:19" s="4" customFormat="1" x14ac:dyDescent="0.2">
      <c r="A161" s="8"/>
      <c r="B161" s="2"/>
      <c r="C161" s="10"/>
      <c r="D161" s="10"/>
      <c r="E161" s="9"/>
      <c r="F161" s="8"/>
      <c r="G161" s="95" t="s">
        <v>283</v>
      </c>
      <c r="H161" s="96">
        <f t="shared" ref="H161:S161" si="84">H51</f>
        <v>0</v>
      </c>
      <c r="I161" s="96">
        <f t="shared" si="84"/>
        <v>0</v>
      </c>
      <c r="J161" s="96">
        <f t="shared" si="84"/>
        <v>109.97600000000003</v>
      </c>
      <c r="K161" s="96">
        <f t="shared" si="84"/>
        <v>-54.886000000000081</v>
      </c>
      <c r="L161" s="96">
        <f t="shared" si="84"/>
        <v>8.840999999999946</v>
      </c>
      <c r="M161" s="96">
        <f t="shared" si="84"/>
        <v>929</v>
      </c>
      <c r="N161" s="96">
        <f t="shared" si="84"/>
        <v>120</v>
      </c>
      <c r="O161" s="96">
        <f t="shared" si="84"/>
        <v>2548</v>
      </c>
      <c r="P161" s="96">
        <f t="shared" si="84"/>
        <v>1314</v>
      </c>
      <c r="Q161" s="96">
        <f t="shared" si="84"/>
        <v>-370</v>
      </c>
      <c r="R161" s="96">
        <f t="shared" si="84"/>
        <v>-371</v>
      </c>
      <c r="S161" s="96">
        <f t="shared" si="84"/>
        <v>-346</v>
      </c>
    </row>
    <row r="162" spans="1:19" s="4" customFormat="1" x14ac:dyDescent="0.2">
      <c r="A162" s="8"/>
      <c r="B162" s="2"/>
      <c r="C162" s="10"/>
      <c r="D162" s="10"/>
      <c r="E162" s="9"/>
      <c r="F162" s="8"/>
      <c r="G162" s="95" t="s">
        <v>284</v>
      </c>
      <c r="H162" s="96">
        <f t="shared" ref="H162:S163" si="85">H4</f>
        <v>0</v>
      </c>
      <c r="I162" s="96">
        <f t="shared" si="85"/>
        <v>0</v>
      </c>
      <c r="J162" s="96">
        <f t="shared" si="85"/>
        <v>1220.9749999999999</v>
      </c>
      <c r="K162" s="96">
        <f t="shared" si="85"/>
        <v>1170.0449999999998</v>
      </c>
      <c r="L162" s="96">
        <f t="shared" si="85"/>
        <v>1276.0529999999999</v>
      </c>
      <c r="M162" s="96">
        <f t="shared" si="85"/>
        <v>2316</v>
      </c>
      <c r="N162" s="96">
        <f t="shared" si="85"/>
        <v>2344</v>
      </c>
      <c r="O162" s="96">
        <f t="shared" si="85"/>
        <v>4917</v>
      </c>
      <c r="P162" s="96">
        <f t="shared" si="85"/>
        <v>6084</v>
      </c>
      <c r="Q162" s="96">
        <f t="shared" si="85"/>
        <v>5705</v>
      </c>
      <c r="R162" s="96">
        <f t="shared" si="85"/>
        <v>5334</v>
      </c>
      <c r="S162" s="96">
        <f t="shared" si="85"/>
        <v>4993</v>
      </c>
    </row>
    <row r="163" spans="1:19" s="4" customFormat="1" x14ac:dyDescent="0.2">
      <c r="A163" s="8"/>
      <c r="B163" s="2"/>
      <c r="C163" s="10"/>
      <c r="D163" s="10"/>
      <c r="E163" s="9"/>
      <c r="F163" s="8"/>
      <c r="G163" s="95" t="s">
        <v>285</v>
      </c>
      <c r="H163" s="96">
        <f t="shared" si="85"/>
        <v>0</v>
      </c>
      <c r="I163" s="96">
        <f t="shared" si="85"/>
        <v>0</v>
      </c>
      <c r="J163" s="96">
        <f t="shared" si="85"/>
        <v>83.557000000000002</v>
      </c>
      <c r="K163" s="96">
        <f t="shared" si="85"/>
        <v>32.548999999999999</v>
      </c>
      <c r="L163" s="96">
        <f t="shared" si="85"/>
        <v>69.62</v>
      </c>
      <c r="M163" s="96">
        <f t="shared" si="85"/>
        <v>186</v>
      </c>
      <c r="N163" s="96">
        <f t="shared" si="85"/>
        <v>111</v>
      </c>
      <c r="O163" s="96">
        <f t="shared" si="85"/>
        <v>116</v>
      </c>
      <c r="P163" s="96">
        <f t="shared" si="85"/>
        <v>204</v>
      </c>
      <c r="Q163" s="96">
        <f t="shared" si="85"/>
        <v>195</v>
      </c>
      <c r="R163" s="96">
        <f t="shared" si="85"/>
        <v>195</v>
      </c>
      <c r="S163" s="96">
        <f t="shared" si="85"/>
        <v>227</v>
      </c>
    </row>
    <row r="164" spans="1:19" s="4" customFormat="1" x14ac:dyDescent="0.2">
      <c r="A164" s="8"/>
      <c r="B164" s="2"/>
      <c r="C164" s="10"/>
      <c r="D164" s="10"/>
      <c r="E164" s="9"/>
      <c r="F164" s="8"/>
      <c r="G164" s="95" t="s">
        <v>286</v>
      </c>
      <c r="H164" s="96">
        <f t="shared" ref="H164:S164" si="86">H10</f>
        <v>0</v>
      </c>
      <c r="I164" s="96">
        <f t="shared" si="86"/>
        <v>0</v>
      </c>
      <c r="J164" s="96">
        <f t="shared" si="86"/>
        <v>1137.4179999999999</v>
      </c>
      <c r="K164" s="96">
        <f t="shared" si="86"/>
        <v>1137.4959999999999</v>
      </c>
      <c r="L164" s="96">
        <f t="shared" si="86"/>
        <v>1206.433</v>
      </c>
      <c r="M164" s="96">
        <f t="shared" si="86"/>
        <v>2130</v>
      </c>
      <c r="N164" s="96">
        <f t="shared" si="86"/>
        <v>2233</v>
      </c>
      <c r="O164" s="96">
        <f t="shared" si="86"/>
        <v>4801</v>
      </c>
      <c r="P164" s="96">
        <f t="shared" si="86"/>
        <v>5880</v>
      </c>
      <c r="Q164" s="96">
        <f t="shared" si="86"/>
        <v>5510</v>
      </c>
      <c r="R164" s="96">
        <f t="shared" si="86"/>
        <v>5139</v>
      </c>
      <c r="S164" s="96">
        <f t="shared" si="86"/>
        <v>4766</v>
      </c>
    </row>
    <row r="165" spans="1:19" s="4" customFormat="1" x14ac:dyDescent="0.2">
      <c r="A165" s="8"/>
      <c r="B165" s="2"/>
      <c r="C165" s="10"/>
      <c r="D165" s="10"/>
      <c r="E165" s="9"/>
      <c r="F165" s="8"/>
      <c r="G165" s="95" t="s">
        <v>287</v>
      </c>
      <c r="H165" s="96">
        <f t="shared" ref="H165:S166" si="87">H19</f>
        <v>0</v>
      </c>
      <c r="I165" s="96">
        <f t="shared" si="87"/>
        <v>0</v>
      </c>
      <c r="J165" s="96">
        <f t="shared" si="87"/>
        <v>46.401000000000003</v>
      </c>
      <c r="K165" s="96">
        <f t="shared" si="87"/>
        <v>50.357999999999997</v>
      </c>
      <c r="L165" s="96">
        <f t="shared" si="87"/>
        <v>147.5</v>
      </c>
      <c r="M165" s="96">
        <f t="shared" si="87"/>
        <v>258.41000000000003</v>
      </c>
      <c r="N165" s="96">
        <f t="shared" si="87"/>
        <v>166</v>
      </c>
      <c r="O165" s="96">
        <f t="shared" si="87"/>
        <v>191</v>
      </c>
      <c r="P165" s="96">
        <f t="shared" si="87"/>
        <v>44</v>
      </c>
      <c r="Q165" s="96">
        <f t="shared" si="87"/>
        <v>35</v>
      </c>
      <c r="R165" s="96">
        <f t="shared" si="87"/>
        <v>35</v>
      </c>
      <c r="S165" s="96">
        <f t="shared" si="87"/>
        <v>40</v>
      </c>
    </row>
    <row r="166" spans="1:19" s="4" customFormat="1" x14ac:dyDescent="0.2">
      <c r="A166" s="8"/>
      <c r="B166" s="2"/>
      <c r="C166" s="10"/>
      <c r="D166" s="10"/>
      <c r="E166" s="9"/>
      <c r="F166" s="8"/>
      <c r="G166" s="95" t="s">
        <v>288</v>
      </c>
      <c r="H166" s="96">
        <f t="shared" si="87"/>
        <v>0</v>
      </c>
      <c r="I166" s="96">
        <f t="shared" si="87"/>
        <v>0</v>
      </c>
      <c r="J166" s="96">
        <f t="shared" si="87"/>
        <v>46.401000000000003</v>
      </c>
      <c r="K166" s="96">
        <f t="shared" si="87"/>
        <v>50.357999999999997</v>
      </c>
      <c r="L166" s="96">
        <f t="shared" si="87"/>
        <v>124.113</v>
      </c>
      <c r="M166" s="96">
        <f t="shared" si="87"/>
        <v>245</v>
      </c>
      <c r="N166" s="96">
        <f t="shared" si="87"/>
        <v>156</v>
      </c>
      <c r="O166" s="96">
        <f t="shared" si="87"/>
        <v>184</v>
      </c>
      <c r="P166" s="96">
        <f t="shared" si="87"/>
        <v>40</v>
      </c>
      <c r="Q166" s="96">
        <f t="shared" si="87"/>
        <v>35</v>
      </c>
      <c r="R166" s="96">
        <f t="shared" si="87"/>
        <v>35</v>
      </c>
      <c r="S166" s="96">
        <f t="shared" si="87"/>
        <v>40</v>
      </c>
    </row>
    <row r="167" spans="1:19" s="4" customFormat="1" x14ac:dyDescent="0.2">
      <c r="A167" s="8"/>
      <c r="B167" s="2"/>
      <c r="C167" s="10"/>
      <c r="D167" s="10"/>
      <c r="E167" s="9"/>
      <c r="F167" s="8"/>
      <c r="G167" s="95" t="s">
        <v>289</v>
      </c>
      <c r="H167" s="96">
        <f t="shared" ref="H167:S167" si="88">H24</f>
        <v>0</v>
      </c>
      <c r="I167" s="96">
        <f t="shared" si="88"/>
        <v>0</v>
      </c>
      <c r="J167" s="96">
        <f t="shared" si="88"/>
        <v>0</v>
      </c>
      <c r="K167" s="96">
        <f t="shared" si="88"/>
        <v>0</v>
      </c>
      <c r="L167" s="96">
        <f t="shared" si="88"/>
        <v>16.5</v>
      </c>
      <c r="M167" s="96">
        <f t="shared" si="88"/>
        <v>13.41</v>
      </c>
      <c r="N167" s="96">
        <f t="shared" si="88"/>
        <v>10</v>
      </c>
      <c r="O167" s="96">
        <f t="shared" si="88"/>
        <v>7</v>
      </c>
      <c r="P167" s="96">
        <f t="shared" si="88"/>
        <v>4</v>
      </c>
      <c r="Q167" s="96">
        <f t="shared" si="88"/>
        <v>0</v>
      </c>
      <c r="R167" s="96">
        <f t="shared" si="88"/>
        <v>0</v>
      </c>
      <c r="S167" s="96">
        <f t="shared" si="88"/>
        <v>0</v>
      </c>
    </row>
    <row r="168" spans="1:19" s="4" customFormat="1" x14ac:dyDescent="0.2">
      <c r="A168" s="8"/>
      <c r="B168" s="2"/>
      <c r="C168" s="10"/>
      <c r="D168" s="10"/>
      <c r="E168" s="9"/>
      <c r="F168" s="8"/>
      <c r="G168" s="95" t="s">
        <v>290</v>
      </c>
      <c r="H168" s="96">
        <f t="shared" ref="H168:S168" si="89">H27</f>
        <v>0</v>
      </c>
      <c r="I168" s="96">
        <f t="shared" si="89"/>
        <v>0</v>
      </c>
      <c r="J168" s="96">
        <f t="shared" si="89"/>
        <v>1174.575</v>
      </c>
      <c r="K168" s="96">
        <f t="shared" si="89"/>
        <v>1119.6880000000001</v>
      </c>
      <c r="L168" s="96">
        <f t="shared" si="89"/>
        <v>1128.53</v>
      </c>
      <c r="M168" s="96">
        <f t="shared" si="89"/>
        <v>2058.0830000000001</v>
      </c>
      <c r="N168" s="96">
        <f t="shared" si="89"/>
        <v>2177.598</v>
      </c>
      <c r="O168" s="96">
        <f t="shared" si="89"/>
        <v>4725.598</v>
      </c>
      <c r="P168" s="96">
        <f t="shared" si="89"/>
        <v>6039.598</v>
      </c>
      <c r="Q168" s="96">
        <f t="shared" si="89"/>
        <v>5669.598</v>
      </c>
      <c r="R168" s="96">
        <f t="shared" si="89"/>
        <v>5298.598</v>
      </c>
      <c r="S168" s="96">
        <f t="shared" si="89"/>
        <v>4952.598</v>
      </c>
    </row>
    <row r="169" spans="1:19" s="4" customFormat="1" x14ac:dyDescent="0.2">
      <c r="A169" s="8"/>
      <c r="B169" s="2"/>
      <c r="C169" s="119"/>
      <c r="D169" s="41"/>
      <c r="E169" s="42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</row>
    <row r="170" spans="1:19" s="4" customFormat="1" x14ac:dyDescent="0.2">
      <c r="A170" s="8"/>
      <c r="B170" s="2"/>
      <c r="C170" s="119" t="s">
        <v>463</v>
      </c>
      <c r="D170" s="41"/>
      <c r="E170" s="42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</row>
    <row r="171" spans="1:19" s="4" customFormat="1" x14ac:dyDescent="0.2">
      <c r="A171" s="8"/>
      <c r="B171" s="2"/>
      <c r="C171" s="119"/>
      <c r="D171" s="41"/>
      <c r="E171" s="42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</row>
    <row r="172" spans="1:19" s="40" customFormat="1" x14ac:dyDescent="0.2">
      <c r="A172" s="29"/>
      <c r="B172" s="2"/>
      <c r="C172" s="29" t="s">
        <v>464</v>
      </c>
      <c r="D172" s="99"/>
      <c r="E172" s="30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</row>
    <row r="173" spans="1:19" s="4" customFormat="1" x14ac:dyDescent="0.2">
      <c r="A173" s="8"/>
      <c r="B173" s="2"/>
      <c r="C173" s="8"/>
      <c r="D173" s="10"/>
      <c r="E173" s="9"/>
      <c r="F173" s="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</row>
    <row r="174" spans="1:19" s="4" customFormat="1" x14ac:dyDescent="0.2">
      <c r="A174" s="8"/>
      <c r="B174" s="2"/>
      <c r="C174" s="8" t="s">
        <v>291</v>
      </c>
      <c r="D174" s="10"/>
      <c r="E174" s="9"/>
      <c r="F174" s="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</row>
    <row r="175" spans="1:19" s="4" customFormat="1" x14ac:dyDescent="0.2">
      <c r="A175" s="8"/>
      <c r="B175" s="2"/>
      <c r="C175" s="8" t="s">
        <v>292</v>
      </c>
      <c r="D175" s="10"/>
      <c r="E175" s="9"/>
      <c r="F175" s="12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  <c r="R175" s="44"/>
    </row>
    <row r="176" spans="1:19" s="4" customFormat="1" x14ac:dyDescent="0.2">
      <c r="A176" s="8"/>
      <c r="B176" s="2"/>
      <c r="C176" s="8"/>
      <c r="D176" s="10"/>
      <c r="E176" s="9"/>
      <c r="F176" s="12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</row>
    <row r="177" spans="1:7" s="4" customFormat="1" x14ac:dyDescent="0.2">
      <c r="A177" s="8"/>
      <c r="B177" s="2"/>
      <c r="C177" s="8" t="s">
        <v>293</v>
      </c>
      <c r="D177" s="10"/>
      <c r="E177" s="9"/>
      <c r="F177" s="12"/>
      <c r="G177" s="28"/>
    </row>
    <row r="178" spans="1:7" s="4" customFormat="1" x14ac:dyDescent="0.2">
      <c r="A178" s="8"/>
      <c r="B178" s="2"/>
      <c r="C178" s="8" t="s">
        <v>294</v>
      </c>
      <c r="D178" s="10"/>
      <c r="E178" s="9"/>
      <c r="F178" s="12"/>
      <c r="G178" s="28"/>
    </row>
    <row r="179" spans="1:7" s="4" customFormat="1" x14ac:dyDescent="0.2">
      <c r="A179" s="8"/>
      <c r="B179" s="2"/>
      <c r="C179" s="10"/>
      <c r="D179" s="10"/>
      <c r="E179" s="9"/>
      <c r="F179" s="8"/>
      <c r="G179" s="28"/>
    </row>
    <row r="180" spans="1:7" s="4" customFormat="1" x14ac:dyDescent="0.2">
      <c r="A180" s="8"/>
      <c r="B180" s="2"/>
      <c r="C180" s="10"/>
      <c r="D180" s="10"/>
      <c r="E180" s="9"/>
      <c r="F180" s="8"/>
      <c r="G180" s="28"/>
    </row>
    <row r="181" spans="1:7" s="4" customFormat="1" x14ac:dyDescent="0.2">
      <c r="A181" s="8"/>
      <c r="B181" s="2"/>
      <c r="C181" s="10"/>
      <c r="D181" s="10"/>
      <c r="E181" s="9"/>
      <c r="F181" s="8"/>
      <c r="G181" s="28"/>
    </row>
    <row r="182" spans="1:7" s="4" customFormat="1" x14ac:dyDescent="0.2">
      <c r="A182" s="8"/>
      <c r="B182" s="2"/>
      <c r="C182" s="10"/>
      <c r="D182" s="10"/>
      <c r="E182" s="9"/>
      <c r="F182" s="8"/>
      <c r="G182" s="28"/>
    </row>
    <row r="183" spans="1:7" s="4" customFormat="1" x14ac:dyDescent="0.2">
      <c r="A183" s="8"/>
      <c r="B183" s="2"/>
      <c r="C183" s="10"/>
      <c r="D183" s="10"/>
      <c r="E183" s="9"/>
      <c r="F183" s="8"/>
      <c r="G183" s="28"/>
    </row>
    <row r="184" spans="1:7" s="4" customFormat="1" x14ac:dyDescent="0.2">
      <c r="A184" s="8"/>
      <c r="B184" s="2"/>
      <c r="C184" s="10"/>
      <c r="D184" s="10"/>
      <c r="E184" s="9"/>
      <c r="F184" s="8"/>
      <c r="G184" s="28"/>
    </row>
    <row r="185" spans="1:7" s="4" customFormat="1" x14ac:dyDescent="0.2">
      <c r="A185" s="8"/>
      <c r="B185" s="2"/>
      <c r="C185" s="10"/>
      <c r="D185" s="10"/>
      <c r="E185" s="9"/>
      <c r="F185" s="8"/>
      <c r="G185" s="28"/>
    </row>
    <row r="186" spans="1:7" s="4" customFormat="1" x14ac:dyDescent="0.2">
      <c r="A186" s="8"/>
      <c r="B186" s="2"/>
      <c r="C186" s="10"/>
      <c r="D186" s="10"/>
      <c r="E186" s="9"/>
      <c r="F186" s="8"/>
      <c r="G186" s="28"/>
    </row>
    <row r="187" spans="1:7" s="4" customFormat="1" x14ac:dyDescent="0.2">
      <c r="A187" s="8"/>
      <c r="B187" s="2"/>
      <c r="C187" s="10"/>
      <c r="D187" s="10"/>
      <c r="E187" s="9"/>
      <c r="F187" s="8"/>
      <c r="G187" s="28"/>
    </row>
    <row r="188" spans="1:7" s="4" customFormat="1" x14ac:dyDescent="0.2">
      <c r="A188" s="8"/>
      <c r="B188" s="2"/>
      <c r="C188" s="10"/>
      <c r="D188" s="10"/>
      <c r="E188" s="9"/>
      <c r="F188" s="8"/>
      <c r="G188" s="28"/>
    </row>
    <row r="189" spans="1:7" s="4" customFormat="1" x14ac:dyDescent="0.2">
      <c r="A189" s="8"/>
      <c r="B189" s="2"/>
      <c r="C189" s="10"/>
      <c r="D189" s="10"/>
      <c r="E189" s="9"/>
      <c r="F189" s="8"/>
      <c r="G189" s="28"/>
    </row>
    <row r="190" spans="1:7" s="4" customFormat="1" x14ac:dyDescent="0.2">
      <c r="A190" s="8"/>
      <c r="B190" s="2"/>
      <c r="C190" s="10"/>
      <c r="D190" s="10"/>
      <c r="E190" s="9"/>
      <c r="F190" s="8"/>
      <c r="G190" s="28"/>
    </row>
    <row r="191" spans="1:7" s="4" customFormat="1" x14ac:dyDescent="0.2">
      <c r="A191" s="8"/>
      <c r="B191" s="2"/>
      <c r="C191" s="10"/>
      <c r="D191" s="10"/>
      <c r="E191" s="9"/>
      <c r="F191" s="8"/>
      <c r="G191" s="28"/>
    </row>
    <row r="192" spans="1:7" s="4" customFormat="1" x14ac:dyDescent="0.2">
      <c r="A192" s="8"/>
      <c r="B192" s="2"/>
      <c r="C192" s="10"/>
      <c r="D192" s="10"/>
      <c r="E192" s="9"/>
      <c r="F192" s="8"/>
      <c r="G192" s="28"/>
    </row>
    <row r="193" spans="1:7" s="4" customFormat="1" x14ac:dyDescent="0.2">
      <c r="A193" s="8"/>
      <c r="B193" s="2"/>
      <c r="C193" s="10"/>
      <c r="D193" s="10"/>
      <c r="E193" s="9"/>
      <c r="F193" s="8"/>
      <c r="G193" s="28"/>
    </row>
    <row r="194" spans="1:7" s="4" customFormat="1" x14ac:dyDescent="0.2">
      <c r="A194" s="8"/>
      <c r="B194" s="2"/>
      <c r="C194" s="10"/>
      <c r="D194" s="10"/>
      <c r="E194" s="9"/>
      <c r="F194" s="8"/>
      <c r="G194" s="28"/>
    </row>
    <row r="195" spans="1:7" s="4" customFormat="1" x14ac:dyDescent="0.2">
      <c r="A195" s="8"/>
      <c r="B195" s="2"/>
      <c r="C195" s="10"/>
      <c r="D195" s="10"/>
      <c r="E195" s="9"/>
      <c r="F195" s="8"/>
      <c r="G195" s="28"/>
    </row>
    <row r="196" spans="1:7" s="4" customFormat="1" x14ac:dyDescent="0.2">
      <c r="A196" s="8"/>
      <c r="B196" s="2"/>
      <c r="C196" s="10"/>
      <c r="D196" s="10"/>
      <c r="E196" s="9"/>
      <c r="F196" s="8"/>
      <c r="G196" s="28"/>
    </row>
    <row r="197" spans="1:7" s="4" customFormat="1" x14ac:dyDescent="0.2">
      <c r="A197" s="8"/>
      <c r="B197" s="2"/>
      <c r="C197" s="10"/>
      <c r="D197" s="10"/>
      <c r="E197" s="9"/>
      <c r="F197" s="8"/>
      <c r="G197" s="28"/>
    </row>
    <row r="198" spans="1:7" s="4" customFormat="1" x14ac:dyDescent="0.2">
      <c r="A198" s="8"/>
      <c r="B198" s="2"/>
      <c r="C198" s="10"/>
      <c r="D198" s="10"/>
      <c r="E198" s="9"/>
      <c r="F198" s="8"/>
      <c r="G198" s="28"/>
    </row>
    <row r="199" spans="1:7" s="4" customFormat="1" x14ac:dyDescent="0.2">
      <c r="A199" s="8"/>
      <c r="B199" s="2"/>
      <c r="C199" s="10"/>
      <c r="D199" s="10"/>
      <c r="E199" s="9"/>
      <c r="F199" s="8"/>
      <c r="G199" s="28"/>
    </row>
    <row r="200" spans="1:7" s="4" customFormat="1" x14ac:dyDescent="0.2">
      <c r="A200" s="8"/>
      <c r="B200" s="2"/>
      <c r="C200" s="10"/>
      <c r="D200" s="10"/>
      <c r="E200" s="9"/>
      <c r="F200" s="8"/>
      <c r="G200" s="28"/>
    </row>
    <row r="201" spans="1:7" s="4" customFormat="1" x14ac:dyDescent="0.2">
      <c r="A201" s="8"/>
      <c r="B201" s="2"/>
      <c r="C201" s="10"/>
      <c r="D201" s="10"/>
      <c r="E201" s="9"/>
      <c r="F201" s="8"/>
      <c r="G201" s="28"/>
    </row>
    <row r="202" spans="1:7" s="4" customFormat="1" x14ac:dyDescent="0.2">
      <c r="A202" s="8"/>
      <c r="B202" s="2"/>
      <c r="C202" s="10"/>
      <c r="D202" s="10"/>
      <c r="E202" s="9"/>
      <c r="F202" s="8"/>
      <c r="G202" s="28"/>
    </row>
  </sheetData>
  <mergeCells count="1">
    <mergeCell ref="D92:E92"/>
  </mergeCells>
  <conditionalFormatting sqref="H141:Q141">
    <cfRule type="cellIs" dxfId="1215" priority="51" stopIfTrue="1" operator="greaterThan">
      <formula>$E$141</formula>
    </cfRule>
    <cfRule type="cellIs" dxfId="1214" priority="52" stopIfTrue="1" operator="lessThanOrEqual">
      <formula>$E$141</formula>
    </cfRule>
  </conditionalFormatting>
  <conditionalFormatting sqref="H143:Q143">
    <cfRule type="cellIs" dxfId="1213" priority="49" stopIfTrue="1" operator="lessThanOrEqual">
      <formula>$E$143</formula>
    </cfRule>
    <cfRule type="cellIs" dxfId="1212" priority="50" stopIfTrue="1" operator="greaterThan">
      <formula>$E$143</formula>
    </cfRule>
  </conditionalFormatting>
  <conditionalFormatting sqref="H121:Q121">
    <cfRule type="cellIs" dxfId="1211" priority="47" operator="greaterThan">
      <formula>$E$121</formula>
    </cfRule>
    <cfRule type="cellIs" dxfId="1210" priority="48" operator="lessThanOrEqual">
      <formula>$E$121</formula>
    </cfRule>
  </conditionalFormatting>
  <conditionalFormatting sqref="H124:Q124">
    <cfRule type="cellIs" dxfId="1209" priority="45" stopIfTrue="1" operator="greaterThanOrEqual">
      <formula>$E$124</formula>
    </cfRule>
    <cfRule type="cellIs" dxfId="1208" priority="46" stopIfTrue="1" operator="lessThan">
      <formula>$E$124</formula>
    </cfRule>
  </conditionalFormatting>
  <conditionalFormatting sqref="H126:Q126">
    <cfRule type="cellIs" dxfId="1207" priority="43" stopIfTrue="1" operator="lessThan">
      <formula>$E$126</formula>
    </cfRule>
    <cfRule type="cellIs" dxfId="1206" priority="44" stopIfTrue="1" operator="greaterThanOrEqual">
      <formula>$E$126</formula>
    </cfRule>
  </conditionalFormatting>
  <conditionalFormatting sqref="H125:Q125">
    <cfRule type="cellIs" dxfId="1205" priority="41" stopIfTrue="1" operator="greaterThan">
      <formula>$E$125</formula>
    </cfRule>
    <cfRule type="cellIs" dxfId="1204" priority="42" stopIfTrue="1" operator="lessThanOrEqual">
      <formula>$E$125</formula>
    </cfRule>
  </conditionalFormatting>
  <conditionalFormatting sqref="H122:Q122">
    <cfRule type="cellIs" dxfId="1203" priority="30" stopIfTrue="1" operator="between">
      <formula>$D$122</formula>
      <formula>$E$122</formula>
    </cfRule>
    <cfRule type="cellIs" dxfId="1202" priority="39" stopIfTrue="1" operator="lessThanOrEqual">
      <formula>$D$122</formula>
    </cfRule>
    <cfRule type="cellIs" dxfId="1201" priority="40" stopIfTrue="1" operator="greaterThan">
      <formula>$E$122</formula>
    </cfRule>
  </conditionalFormatting>
  <conditionalFormatting sqref="H142:Q142">
    <cfRule type="cellIs" dxfId="1200" priority="37" stopIfTrue="1" operator="greaterThan">
      <formula>$E$142</formula>
    </cfRule>
    <cfRule type="cellIs" dxfId="1199" priority="38" stopIfTrue="1" operator="lessThanOrEqual">
      <formula>$E$142</formula>
    </cfRule>
  </conditionalFormatting>
  <conditionalFormatting sqref="H130:Q130">
    <cfRule type="cellIs" dxfId="1198" priority="35" stopIfTrue="1" operator="greaterThan">
      <formula>$E$130</formula>
    </cfRule>
    <cfRule type="cellIs" dxfId="1197" priority="36" stopIfTrue="1" operator="lessThanOrEqual">
      <formula>$E$130</formula>
    </cfRule>
  </conditionalFormatting>
  <conditionalFormatting sqref="H131:Q131">
    <cfRule type="cellIs" dxfId="1196" priority="33" stopIfTrue="1" operator="lessThan">
      <formula>$E$131</formula>
    </cfRule>
    <cfRule type="cellIs" dxfId="1195" priority="34" stopIfTrue="1" operator="greaterThanOrEqual">
      <formula>$E$131</formula>
    </cfRule>
  </conditionalFormatting>
  <conditionalFormatting sqref="H114:Q114">
    <cfRule type="cellIs" dxfId="1194" priority="53" stopIfTrue="1" operator="lessThan">
      <formula>$D$114</formula>
    </cfRule>
    <cfRule type="cellIs" dxfId="1193" priority="54" stopIfTrue="1" operator="between">
      <formula>$D$114</formula>
      <formula>$E$114</formula>
    </cfRule>
    <cfRule type="cellIs" dxfId="1192" priority="55" stopIfTrue="1" operator="greaterThan">
      <formula>$E$114</formula>
    </cfRule>
  </conditionalFormatting>
  <conditionalFormatting sqref="H138:Q138">
    <cfRule type="cellIs" dxfId="1191" priority="56" stopIfTrue="1" operator="lessThan">
      <formula>$E$138</formula>
    </cfRule>
    <cfRule type="cellIs" dxfId="1190" priority="57" stopIfTrue="1" operator="between">
      <formula>$D$138</formula>
      <formula>$E$138</formula>
    </cfRule>
    <cfRule type="cellIs" dxfId="1189" priority="58" stopIfTrue="1" operator="greaterThanOrEqual">
      <formula>$D$138</formula>
    </cfRule>
  </conditionalFormatting>
  <conditionalFormatting sqref="H111:Q111">
    <cfRule type="cellIs" dxfId="1188" priority="31" stopIfTrue="1" operator="lessThan">
      <formula>$E$111</formula>
    </cfRule>
    <cfRule type="cellIs" dxfId="1187" priority="32" stopIfTrue="1" operator="greaterThan">
      <formula>$E$111</formula>
    </cfRule>
  </conditionalFormatting>
  <conditionalFormatting sqref="R141:S141">
    <cfRule type="cellIs" dxfId="1186" priority="22" stopIfTrue="1" operator="greaterThan">
      <formula>$E$141</formula>
    </cfRule>
    <cfRule type="cellIs" dxfId="1185" priority="23" stopIfTrue="1" operator="lessThanOrEqual">
      <formula>$E$141</formula>
    </cfRule>
  </conditionalFormatting>
  <conditionalFormatting sqref="R143:S143">
    <cfRule type="cellIs" dxfId="1184" priority="20" stopIfTrue="1" operator="lessThanOrEqual">
      <formula>$E$143</formula>
    </cfRule>
    <cfRule type="cellIs" dxfId="1183" priority="21" stopIfTrue="1" operator="greaterThan">
      <formula>$E$143</formula>
    </cfRule>
  </conditionalFormatting>
  <conditionalFormatting sqref="R121:S121">
    <cfRule type="cellIs" dxfId="1182" priority="18" operator="greaterThan">
      <formula>$E$121</formula>
    </cfRule>
    <cfRule type="cellIs" dxfId="1181" priority="19" operator="lessThanOrEqual">
      <formula>$E$121</formula>
    </cfRule>
  </conditionalFormatting>
  <conditionalFormatting sqref="R124:S124">
    <cfRule type="cellIs" dxfId="1180" priority="16" stopIfTrue="1" operator="greaterThanOrEqual">
      <formula>$E$124</formula>
    </cfRule>
    <cfRule type="cellIs" dxfId="1179" priority="17" stopIfTrue="1" operator="lessThan">
      <formula>$E$124</formula>
    </cfRule>
  </conditionalFormatting>
  <conditionalFormatting sqref="R126:S126">
    <cfRule type="cellIs" dxfId="1178" priority="14" stopIfTrue="1" operator="lessThan">
      <formula>$E$126</formula>
    </cfRule>
    <cfRule type="cellIs" dxfId="1177" priority="15" stopIfTrue="1" operator="greaterThanOrEqual">
      <formula>$E$126</formula>
    </cfRule>
  </conditionalFormatting>
  <conditionalFormatting sqref="R125:S125">
    <cfRule type="cellIs" dxfId="1176" priority="12" stopIfTrue="1" operator="greaterThan">
      <formula>$E$125</formula>
    </cfRule>
    <cfRule type="cellIs" dxfId="1175" priority="13" stopIfTrue="1" operator="lessThanOrEqual">
      <formula>$E$125</formula>
    </cfRule>
  </conditionalFormatting>
  <conditionalFormatting sqref="R122:S122">
    <cfRule type="cellIs" dxfId="1174" priority="1" stopIfTrue="1" operator="between">
      <formula>$D$122</formula>
      <formula>$E$122</formula>
    </cfRule>
    <cfRule type="cellIs" dxfId="1173" priority="10" stopIfTrue="1" operator="lessThanOrEqual">
      <formula>$D$122</formula>
    </cfRule>
    <cfRule type="cellIs" dxfId="1172" priority="11" stopIfTrue="1" operator="greaterThan">
      <formula>$E$122</formula>
    </cfRule>
  </conditionalFormatting>
  <conditionalFormatting sqref="R142:S142">
    <cfRule type="cellIs" dxfId="1171" priority="8" stopIfTrue="1" operator="greaterThan">
      <formula>$E$142</formula>
    </cfRule>
    <cfRule type="cellIs" dxfId="1170" priority="9" stopIfTrue="1" operator="lessThanOrEqual">
      <formula>$E$142</formula>
    </cfRule>
  </conditionalFormatting>
  <conditionalFormatting sqref="R130:S130">
    <cfRule type="cellIs" dxfId="1169" priority="6" stopIfTrue="1" operator="greaterThan">
      <formula>$E$130</formula>
    </cfRule>
    <cfRule type="cellIs" dxfId="1168" priority="7" stopIfTrue="1" operator="lessThanOrEqual">
      <formula>$E$130</formula>
    </cfRule>
  </conditionalFormatting>
  <conditionalFormatting sqref="R131:S131">
    <cfRule type="cellIs" dxfId="1167" priority="4" stopIfTrue="1" operator="lessThan">
      <formula>$E$131</formula>
    </cfRule>
    <cfRule type="cellIs" dxfId="1166" priority="5" stopIfTrue="1" operator="greaterThanOrEqual">
      <formula>$E$131</formula>
    </cfRule>
  </conditionalFormatting>
  <conditionalFormatting sqref="R114:S114">
    <cfRule type="cellIs" dxfId="1165" priority="24" stopIfTrue="1" operator="lessThan">
      <formula>$D$114</formula>
    </cfRule>
    <cfRule type="cellIs" dxfId="1164" priority="25" stopIfTrue="1" operator="between">
      <formula>$D$114</formula>
      <formula>$E$114</formula>
    </cfRule>
    <cfRule type="cellIs" dxfId="1163" priority="26" stopIfTrue="1" operator="greaterThan">
      <formula>$E$114</formula>
    </cfRule>
  </conditionalFormatting>
  <conditionalFormatting sqref="R138:S138">
    <cfRule type="cellIs" dxfId="1162" priority="27" stopIfTrue="1" operator="lessThan">
      <formula>$E$138</formula>
    </cfRule>
    <cfRule type="cellIs" dxfId="1161" priority="28" stopIfTrue="1" operator="between">
      <formula>$D$138</formula>
      <formula>$E$138</formula>
    </cfRule>
    <cfRule type="cellIs" dxfId="1160" priority="29" stopIfTrue="1" operator="greaterThanOrEqual">
      <formula>$D$138</formula>
    </cfRule>
  </conditionalFormatting>
  <conditionalFormatting sqref="R111:S111">
    <cfRule type="cellIs" dxfId="1159" priority="2" stopIfTrue="1" operator="lessThan">
      <formula>$E$111</formula>
    </cfRule>
    <cfRule type="cellIs" dxfId="1158" priority="3" stopIfTrue="1" operator="greaterThan">
      <formula>$E$111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D69A3F-29B7-43F7-81DD-178094AC8FB8}">
  <sheetPr>
    <pageSetUpPr fitToPage="1"/>
  </sheetPr>
  <dimension ref="A1:IP152"/>
  <sheetViews>
    <sheetView workbookViewId="0">
      <selection activeCell="G1" sqref="G1"/>
    </sheetView>
  </sheetViews>
  <sheetFormatPr defaultColWidth="11.5703125" defaultRowHeight="15" x14ac:dyDescent="0.25"/>
  <cols>
    <col min="1" max="1" width="5.85546875" style="333" customWidth="1"/>
    <col min="2" max="2" width="5.85546875" style="311" customWidth="1"/>
    <col min="3" max="3" width="4.85546875" style="336" customWidth="1"/>
    <col min="4" max="4" width="7.140625" style="336" customWidth="1"/>
    <col min="5" max="5" width="2" style="334" customWidth="1"/>
    <col min="6" max="6" width="2.140625" style="333" customWidth="1"/>
    <col min="7" max="7" width="21.5703125" style="388" customWidth="1"/>
    <col min="8" max="12" width="8.7109375" style="373" customWidth="1"/>
    <col min="13" max="250" width="9.140625" style="373" customWidth="1"/>
    <col min="251" max="256" width="11.5703125" style="367"/>
    <col min="257" max="258" width="5.85546875" style="367" customWidth="1"/>
    <col min="259" max="259" width="4.85546875" style="367" customWidth="1"/>
    <col min="260" max="260" width="7.140625" style="367" customWidth="1"/>
    <col min="261" max="261" width="2" style="367" customWidth="1"/>
    <col min="262" max="262" width="2.140625" style="367" customWidth="1"/>
    <col min="263" max="263" width="21.5703125" style="367" customWidth="1"/>
    <col min="264" max="268" width="8.7109375" style="367" customWidth="1"/>
    <col min="269" max="506" width="9.140625" style="367" customWidth="1"/>
    <col min="507" max="512" width="11.5703125" style="367"/>
    <col min="513" max="514" width="5.85546875" style="367" customWidth="1"/>
    <col min="515" max="515" width="4.85546875" style="367" customWidth="1"/>
    <col min="516" max="516" width="7.140625" style="367" customWidth="1"/>
    <col min="517" max="517" width="2" style="367" customWidth="1"/>
    <col min="518" max="518" width="2.140625" style="367" customWidth="1"/>
    <col min="519" max="519" width="21.5703125" style="367" customWidth="1"/>
    <col min="520" max="524" width="8.7109375" style="367" customWidth="1"/>
    <col min="525" max="762" width="9.140625" style="367" customWidth="1"/>
    <col min="763" max="768" width="11.5703125" style="367"/>
    <col min="769" max="770" width="5.85546875" style="367" customWidth="1"/>
    <col min="771" max="771" width="4.85546875" style="367" customWidth="1"/>
    <col min="772" max="772" width="7.140625" style="367" customWidth="1"/>
    <col min="773" max="773" width="2" style="367" customWidth="1"/>
    <col min="774" max="774" width="2.140625" style="367" customWidth="1"/>
    <col min="775" max="775" width="21.5703125" style="367" customWidth="1"/>
    <col min="776" max="780" width="8.7109375" style="367" customWidth="1"/>
    <col min="781" max="1018" width="9.140625" style="367" customWidth="1"/>
    <col min="1019" max="1024" width="11.5703125" style="367"/>
    <col min="1025" max="1026" width="5.85546875" style="367" customWidth="1"/>
    <col min="1027" max="1027" width="4.85546875" style="367" customWidth="1"/>
    <col min="1028" max="1028" width="7.140625" style="367" customWidth="1"/>
    <col min="1029" max="1029" width="2" style="367" customWidth="1"/>
    <col min="1030" max="1030" width="2.140625" style="367" customWidth="1"/>
    <col min="1031" max="1031" width="21.5703125" style="367" customWidth="1"/>
    <col min="1032" max="1036" width="8.7109375" style="367" customWidth="1"/>
    <col min="1037" max="1274" width="9.140625" style="367" customWidth="1"/>
    <col min="1275" max="1280" width="11.5703125" style="367"/>
    <col min="1281" max="1282" width="5.85546875" style="367" customWidth="1"/>
    <col min="1283" max="1283" width="4.85546875" style="367" customWidth="1"/>
    <col min="1284" max="1284" width="7.140625" style="367" customWidth="1"/>
    <col min="1285" max="1285" width="2" style="367" customWidth="1"/>
    <col min="1286" max="1286" width="2.140625" style="367" customWidth="1"/>
    <col min="1287" max="1287" width="21.5703125" style="367" customWidth="1"/>
    <col min="1288" max="1292" width="8.7109375" style="367" customWidth="1"/>
    <col min="1293" max="1530" width="9.140625" style="367" customWidth="1"/>
    <col min="1531" max="1536" width="11.5703125" style="367"/>
    <col min="1537" max="1538" width="5.85546875" style="367" customWidth="1"/>
    <col min="1539" max="1539" width="4.85546875" style="367" customWidth="1"/>
    <col min="1540" max="1540" width="7.140625" style="367" customWidth="1"/>
    <col min="1541" max="1541" width="2" style="367" customWidth="1"/>
    <col min="1542" max="1542" width="2.140625" style="367" customWidth="1"/>
    <col min="1543" max="1543" width="21.5703125" style="367" customWidth="1"/>
    <col min="1544" max="1548" width="8.7109375" style="367" customWidth="1"/>
    <col min="1549" max="1786" width="9.140625" style="367" customWidth="1"/>
    <col min="1787" max="1792" width="11.5703125" style="367"/>
    <col min="1793" max="1794" width="5.85546875" style="367" customWidth="1"/>
    <col min="1795" max="1795" width="4.85546875" style="367" customWidth="1"/>
    <col min="1796" max="1796" width="7.140625" style="367" customWidth="1"/>
    <col min="1797" max="1797" width="2" style="367" customWidth="1"/>
    <col min="1798" max="1798" width="2.140625" style="367" customWidth="1"/>
    <col min="1799" max="1799" width="21.5703125" style="367" customWidth="1"/>
    <col min="1800" max="1804" width="8.7109375" style="367" customWidth="1"/>
    <col min="1805" max="2042" width="9.140625" style="367" customWidth="1"/>
    <col min="2043" max="2048" width="11.5703125" style="367"/>
    <col min="2049" max="2050" width="5.85546875" style="367" customWidth="1"/>
    <col min="2051" max="2051" width="4.85546875" style="367" customWidth="1"/>
    <col min="2052" max="2052" width="7.140625" style="367" customWidth="1"/>
    <col min="2053" max="2053" width="2" style="367" customWidth="1"/>
    <col min="2054" max="2054" width="2.140625" style="367" customWidth="1"/>
    <col min="2055" max="2055" width="21.5703125" style="367" customWidth="1"/>
    <col min="2056" max="2060" width="8.7109375" style="367" customWidth="1"/>
    <col min="2061" max="2298" width="9.140625" style="367" customWidth="1"/>
    <col min="2299" max="2304" width="11.5703125" style="367"/>
    <col min="2305" max="2306" width="5.85546875" style="367" customWidth="1"/>
    <col min="2307" max="2307" width="4.85546875" style="367" customWidth="1"/>
    <col min="2308" max="2308" width="7.140625" style="367" customWidth="1"/>
    <col min="2309" max="2309" width="2" style="367" customWidth="1"/>
    <col min="2310" max="2310" width="2.140625" style="367" customWidth="1"/>
    <col min="2311" max="2311" width="21.5703125" style="367" customWidth="1"/>
    <col min="2312" max="2316" width="8.7109375" style="367" customWidth="1"/>
    <col min="2317" max="2554" width="9.140625" style="367" customWidth="1"/>
    <col min="2555" max="2560" width="11.5703125" style="367"/>
    <col min="2561" max="2562" width="5.85546875" style="367" customWidth="1"/>
    <col min="2563" max="2563" width="4.85546875" style="367" customWidth="1"/>
    <col min="2564" max="2564" width="7.140625" style="367" customWidth="1"/>
    <col min="2565" max="2565" width="2" style="367" customWidth="1"/>
    <col min="2566" max="2566" width="2.140625" style="367" customWidth="1"/>
    <col min="2567" max="2567" width="21.5703125" style="367" customWidth="1"/>
    <col min="2568" max="2572" width="8.7109375" style="367" customWidth="1"/>
    <col min="2573" max="2810" width="9.140625" style="367" customWidth="1"/>
    <col min="2811" max="2816" width="11.5703125" style="367"/>
    <col min="2817" max="2818" width="5.85546875" style="367" customWidth="1"/>
    <col min="2819" max="2819" width="4.85546875" style="367" customWidth="1"/>
    <col min="2820" max="2820" width="7.140625" style="367" customWidth="1"/>
    <col min="2821" max="2821" width="2" style="367" customWidth="1"/>
    <col min="2822" max="2822" width="2.140625" style="367" customWidth="1"/>
    <col min="2823" max="2823" width="21.5703125" style="367" customWidth="1"/>
    <col min="2824" max="2828" width="8.7109375" style="367" customWidth="1"/>
    <col min="2829" max="3066" width="9.140625" style="367" customWidth="1"/>
    <col min="3067" max="3072" width="11.5703125" style="367"/>
    <col min="3073" max="3074" width="5.85546875" style="367" customWidth="1"/>
    <col min="3075" max="3075" width="4.85546875" style="367" customWidth="1"/>
    <col min="3076" max="3076" width="7.140625" style="367" customWidth="1"/>
    <col min="3077" max="3077" width="2" style="367" customWidth="1"/>
    <col min="3078" max="3078" width="2.140625" style="367" customWidth="1"/>
    <col min="3079" max="3079" width="21.5703125" style="367" customWidth="1"/>
    <col min="3080" max="3084" width="8.7109375" style="367" customWidth="1"/>
    <col min="3085" max="3322" width="9.140625" style="367" customWidth="1"/>
    <col min="3323" max="3328" width="11.5703125" style="367"/>
    <col min="3329" max="3330" width="5.85546875" style="367" customWidth="1"/>
    <col min="3331" max="3331" width="4.85546875" style="367" customWidth="1"/>
    <col min="3332" max="3332" width="7.140625" style="367" customWidth="1"/>
    <col min="3333" max="3333" width="2" style="367" customWidth="1"/>
    <col min="3334" max="3334" width="2.140625" style="367" customWidth="1"/>
    <col min="3335" max="3335" width="21.5703125" style="367" customWidth="1"/>
    <col min="3336" max="3340" width="8.7109375" style="367" customWidth="1"/>
    <col min="3341" max="3578" width="9.140625" style="367" customWidth="1"/>
    <col min="3579" max="3584" width="11.5703125" style="367"/>
    <col min="3585" max="3586" width="5.85546875" style="367" customWidth="1"/>
    <col min="3587" max="3587" width="4.85546875" style="367" customWidth="1"/>
    <col min="3588" max="3588" width="7.140625" style="367" customWidth="1"/>
    <col min="3589" max="3589" width="2" style="367" customWidth="1"/>
    <col min="3590" max="3590" width="2.140625" style="367" customWidth="1"/>
    <col min="3591" max="3591" width="21.5703125" style="367" customWidth="1"/>
    <col min="3592" max="3596" width="8.7109375" style="367" customWidth="1"/>
    <col min="3597" max="3834" width="9.140625" style="367" customWidth="1"/>
    <col min="3835" max="3840" width="11.5703125" style="367"/>
    <col min="3841" max="3842" width="5.85546875" style="367" customWidth="1"/>
    <col min="3843" max="3843" width="4.85546875" style="367" customWidth="1"/>
    <col min="3844" max="3844" width="7.140625" style="367" customWidth="1"/>
    <col min="3845" max="3845" width="2" style="367" customWidth="1"/>
    <col min="3846" max="3846" width="2.140625" style="367" customWidth="1"/>
    <col min="3847" max="3847" width="21.5703125" style="367" customWidth="1"/>
    <col min="3848" max="3852" width="8.7109375" style="367" customWidth="1"/>
    <col min="3853" max="4090" width="9.140625" style="367" customWidth="1"/>
    <col min="4091" max="4096" width="11.5703125" style="367"/>
    <col min="4097" max="4098" width="5.85546875" style="367" customWidth="1"/>
    <col min="4099" max="4099" width="4.85546875" style="367" customWidth="1"/>
    <col min="4100" max="4100" width="7.140625" style="367" customWidth="1"/>
    <col min="4101" max="4101" width="2" style="367" customWidth="1"/>
    <col min="4102" max="4102" width="2.140625" style="367" customWidth="1"/>
    <col min="4103" max="4103" width="21.5703125" style="367" customWidth="1"/>
    <col min="4104" max="4108" width="8.7109375" style="367" customWidth="1"/>
    <col min="4109" max="4346" width="9.140625" style="367" customWidth="1"/>
    <col min="4347" max="4352" width="11.5703125" style="367"/>
    <col min="4353" max="4354" width="5.85546875" style="367" customWidth="1"/>
    <col min="4355" max="4355" width="4.85546875" style="367" customWidth="1"/>
    <col min="4356" max="4356" width="7.140625" style="367" customWidth="1"/>
    <col min="4357" max="4357" width="2" style="367" customWidth="1"/>
    <col min="4358" max="4358" width="2.140625" style="367" customWidth="1"/>
    <col min="4359" max="4359" width="21.5703125" style="367" customWidth="1"/>
    <col min="4360" max="4364" width="8.7109375" style="367" customWidth="1"/>
    <col min="4365" max="4602" width="9.140625" style="367" customWidth="1"/>
    <col min="4603" max="4608" width="11.5703125" style="367"/>
    <col min="4609" max="4610" width="5.85546875" style="367" customWidth="1"/>
    <col min="4611" max="4611" width="4.85546875" style="367" customWidth="1"/>
    <col min="4612" max="4612" width="7.140625" style="367" customWidth="1"/>
    <col min="4613" max="4613" width="2" style="367" customWidth="1"/>
    <col min="4614" max="4614" width="2.140625" style="367" customWidth="1"/>
    <col min="4615" max="4615" width="21.5703125" style="367" customWidth="1"/>
    <col min="4616" max="4620" width="8.7109375" style="367" customWidth="1"/>
    <col min="4621" max="4858" width="9.140625" style="367" customWidth="1"/>
    <col min="4859" max="4864" width="11.5703125" style="367"/>
    <col min="4865" max="4866" width="5.85546875" style="367" customWidth="1"/>
    <col min="4867" max="4867" width="4.85546875" style="367" customWidth="1"/>
    <col min="4868" max="4868" width="7.140625" style="367" customWidth="1"/>
    <col min="4869" max="4869" width="2" style="367" customWidth="1"/>
    <col min="4870" max="4870" width="2.140625" style="367" customWidth="1"/>
    <col min="4871" max="4871" width="21.5703125" style="367" customWidth="1"/>
    <col min="4872" max="4876" width="8.7109375" style="367" customWidth="1"/>
    <col min="4877" max="5114" width="9.140625" style="367" customWidth="1"/>
    <col min="5115" max="5120" width="11.5703125" style="367"/>
    <col min="5121" max="5122" width="5.85546875" style="367" customWidth="1"/>
    <col min="5123" max="5123" width="4.85546875" style="367" customWidth="1"/>
    <col min="5124" max="5124" width="7.140625" style="367" customWidth="1"/>
    <col min="5125" max="5125" width="2" style="367" customWidth="1"/>
    <col min="5126" max="5126" width="2.140625" style="367" customWidth="1"/>
    <col min="5127" max="5127" width="21.5703125" style="367" customWidth="1"/>
    <col min="5128" max="5132" width="8.7109375" style="367" customWidth="1"/>
    <col min="5133" max="5370" width="9.140625" style="367" customWidth="1"/>
    <col min="5371" max="5376" width="11.5703125" style="367"/>
    <col min="5377" max="5378" width="5.85546875" style="367" customWidth="1"/>
    <col min="5379" max="5379" width="4.85546875" style="367" customWidth="1"/>
    <col min="5380" max="5380" width="7.140625" style="367" customWidth="1"/>
    <col min="5381" max="5381" width="2" style="367" customWidth="1"/>
    <col min="5382" max="5382" width="2.140625" style="367" customWidth="1"/>
    <col min="5383" max="5383" width="21.5703125" style="367" customWidth="1"/>
    <col min="5384" max="5388" width="8.7109375" style="367" customWidth="1"/>
    <col min="5389" max="5626" width="9.140625" style="367" customWidth="1"/>
    <col min="5627" max="5632" width="11.5703125" style="367"/>
    <col min="5633" max="5634" width="5.85546875" style="367" customWidth="1"/>
    <col min="5635" max="5635" width="4.85546875" style="367" customWidth="1"/>
    <col min="5636" max="5636" width="7.140625" style="367" customWidth="1"/>
    <col min="5637" max="5637" width="2" style="367" customWidth="1"/>
    <col min="5638" max="5638" width="2.140625" style="367" customWidth="1"/>
    <col min="5639" max="5639" width="21.5703125" style="367" customWidth="1"/>
    <col min="5640" max="5644" width="8.7109375" style="367" customWidth="1"/>
    <col min="5645" max="5882" width="9.140625" style="367" customWidth="1"/>
    <col min="5883" max="5888" width="11.5703125" style="367"/>
    <col min="5889" max="5890" width="5.85546875" style="367" customWidth="1"/>
    <col min="5891" max="5891" width="4.85546875" style="367" customWidth="1"/>
    <col min="5892" max="5892" width="7.140625" style="367" customWidth="1"/>
    <col min="5893" max="5893" width="2" style="367" customWidth="1"/>
    <col min="5894" max="5894" width="2.140625" style="367" customWidth="1"/>
    <col min="5895" max="5895" width="21.5703125" style="367" customWidth="1"/>
    <col min="5896" max="5900" width="8.7109375" style="367" customWidth="1"/>
    <col min="5901" max="6138" width="9.140625" style="367" customWidth="1"/>
    <col min="6139" max="6144" width="11.5703125" style="367"/>
    <col min="6145" max="6146" width="5.85546875" style="367" customWidth="1"/>
    <col min="6147" max="6147" width="4.85546875" style="367" customWidth="1"/>
    <col min="6148" max="6148" width="7.140625" style="367" customWidth="1"/>
    <col min="6149" max="6149" width="2" style="367" customWidth="1"/>
    <col min="6150" max="6150" width="2.140625" style="367" customWidth="1"/>
    <col min="6151" max="6151" width="21.5703125" style="367" customWidth="1"/>
    <col min="6152" max="6156" width="8.7109375" style="367" customWidth="1"/>
    <col min="6157" max="6394" width="9.140625" style="367" customWidth="1"/>
    <col min="6395" max="6400" width="11.5703125" style="367"/>
    <col min="6401" max="6402" width="5.85546875" style="367" customWidth="1"/>
    <col min="6403" max="6403" width="4.85546875" style="367" customWidth="1"/>
    <col min="6404" max="6404" width="7.140625" style="367" customWidth="1"/>
    <col min="6405" max="6405" width="2" style="367" customWidth="1"/>
    <col min="6406" max="6406" width="2.140625" style="367" customWidth="1"/>
    <col min="6407" max="6407" width="21.5703125" style="367" customWidth="1"/>
    <col min="6408" max="6412" width="8.7109375" style="367" customWidth="1"/>
    <col min="6413" max="6650" width="9.140625" style="367" customWidth="1"/>
    <col min="6651" max="6656" width="11.5703125" style="367"/>
    <col min="6657" max="6658" width="5.85546875" style="367" customWidth="1"/>
    <col min="6659" max="6659" width="4.85546875" style="367" customWidth="1"/>
    <col min="6660" max="6660" width="7.140625" style="367" customWidth="1"/>
    <col min="6661" max="6661" width="2" style="367" customWidth="1"/>
    <col min="6662" max="6662" width="2.140625" style="367" customWidth="1"/>
    <col min="6663" max="6663" width="21.5703125" style="367" customWidth="1"/>
    <col min="6664" max="6668" width="8.7109375" style="367" customWidth="1"/>
    <col min="6669" max="6906" width="9.140625" style="367" customWidth="1"/>
    <col min="6907" max="6912" width="11.5703125" style="367"/>
    <col min="6913" max="6914" width="5.85546875" style="367" customWidth="1"/>
    <col min="6915" max="6915" width="4.85546875" style="367" customWidth="1"/>
    <col min="6916" max="6916" width="7.140625" style="367" customWidth="1"/>
    <col min="6917" max="6917" width="2" style="367" customWidth="1"/>
    <col min="6918" max="6918" width="2.140625" style="367" customWidth="1"/>
    <col min="6919" max="6919" width="21.5703125" style="367" customWidth="1"/>
    <col min="6920" max="6924" width="8.7109375" style="367" customWidth="1"/>
    <col min="6925" max="7162" width="9.140625" style="367" customWidth="1"/>
    <col min="7163" max="7168" width="11.5703125" style="367"/>
    <col min="7169" max="7170" width="5.85546875" style="367" customWidth="1"/>
    <col min="7171" max="7171" width="4.85546875" style="367" customWidth="1"/>
    <col min="7172" max="7172" width="7.140625" style="367" customWidth="1"/>
    <col min="7173" max="7173" width="2" style="367" customWidth="1"/>
    <col min="7174" max="7174" width="2.140625" style="367" customWidth="1"/>
    <col min="7175" max="7175" width="21.5703125" style="367" customWidth="1"/>
    <col min="7176" max="7180" width="8.7109375" style="367" customWidth="1"/>
    <col min="7181" max="7418" width="9.140625" style="367" customWidth="1"/>
    <col min="7419" max="7424" width="11.5703125" style="367"/>
    <col min="7425" max="7426" width="5.85546875" style="367" customWidth="1"/>
    <col min="7427" max="7427" width="4.85546875" style="367" customWidth="1"/>
    <col min="7428" max="7428" width="7.140625" style="367" customWidth="1"/>
    <col min="7429" max="7429" width="2" style="367" customWidth="1"/>
    <col min="7430" max="7430" width="2.140625" style="367" customWidth="1"/>
    <col min="7431" max="7431" width="21.5703125" style="367" customWidth="1"/>
    <col min="7432" max="7436" width="8.7109375" style="367" customWidth="1"/>
    <col min="7437" max="7674" width="9.140625" style="367" customWidth="1"/>
    <col min="7675" max="7680" width="11.5703125" style="367"/>
    <col min="7681" max="7682" width="5.85546875" style="367" customWidth="1"/>
    <col min="7683" max="7683" width="4.85546875" style="367" customWidth="1"/>
    <col min="7684" max="7684" width="7.140625" style="367" customWidth="1"/>
    <col min="7685" max="7685" width="2" style="367" customWidth="1"/>
    <col min="7686" max="7686" width="2.140625" style="367" customWidth="1"/>
    <col min="7687" max="7687" width="21.5703125" style="367" customWidth="1"/>
    <col min="7688" max="7692" width="8.7109375" style="367" customWidth="1"/>
    <col min="7693" max="7930" width="9.140625" style="367" customWidth="1"/>
    <col min="7931" max="7936" width="11.5703125" style="367"/>
    <col min="7937" max="7938" width="5.85546875" style="367" customWidth="1"/>
    <col min="7939" max="7939" width="4.85546875" style="367" customWidth="1"/>
    <col min="7940" max="7940" width="7.140625" style="367" customWidth="1"/>
    <col min="7941" max="7941" width="2" style="367" customWidth="1"/>
    <col min="7942" max="7942" width="2.140625" style="367" customWidth="1"/>
    <col min="7943" max="7943" width="21.5703125" style="367" customWidth="1"/>
    <col min="7944" max="7948" width="8.7109375" style="367" customWidth="1"/>
    <col min="7949" max="8186" width="9.140625" style="367" customWidth="1"/>
    <col min="8187" max="8192" width="11.5703125" style="367"/>
    <col min="8193" max="8194" width="5.85546875" style="367" customWidth="1"/>
    <col min="8195" max="8195" width="4.85546875" style="367" customWidth="1"/>
    <col min="8196" max="8196" width="7.140625" style="367" customWidth="1"/>
    <col min="8197" max="8197" width="2" style="367" customWidth="1"/>
    <col min="8198" max="8198" width="2.140625" style="367" customWidth="1"/>
    <col min="8199" max="8199" width="21.5703125" style="367" customWidth="1"/>
    <col min="8200" max="8204" width="8.7109375" style="367" customWidth="1"/>
    <col min="8205" max="8442" width="9.140625" style="367" customWidth="1"/>
    <col min="8443" max="8448" width="11.5703125" style="367"/>
    <col min="8449" max="8450" width="5.85546875" style="367" customWidth="1"/>
    <col min="8451" max="8451" width="4.85546875" style="367" customWidth="1"/>
    <col min="8452" max="8452" width="7.140625" style="367" customWidth="1"/>
    <col min="8453" max="8453" width="2" style="367" customWidth="1"/>
    <col min="8454" max="8454" width="2.140625" style="367" customWidth="1"/>
    <col min="8455" max="8455" width="21.5703125" style="367" customWidth="1"/>
    <col min="8456" max="8460" width="8.7109375" style="367" customWidth="1"/>
    <col min="8461" max="8698" width="9.140625" style="367" customWidth="1"/>
    <col min="8699" max="8704" width="11.5703125" style="367"/>
    <col min="8705" max="8706" width="5.85546875" style="367" customWidth="1"/>
    <col min="8707" max="8707" width="4.85546875" style="367" customWidth="1"/>
    <col min="8708" max="8708" width="7.140625" style="367" customWidth="1"/>
    <col min="8709" max="8709" width="2" style="367" customWidth="1"/>
    <col min="8710" max="8710" width="2.140625" style="367" customWidth="1"/>
    <col min="8711" max="8711" width="21.5703125" style="367" customWidth="1"/>
    <col min="8712" max="8716" width="8.7109375" style="367" customWidth="1"/>
    <col min="8717" max="8954" width="9.140625" style="367" customWidth="1"/>
    <col min="8955" max="8960" width="11.5703125" style="367"/>
    <col min="8961" max="8962" width="5.85546875" style="367" customWidth="1"/>
    <col min="8963" max="8963" width="4.85546875" style="367" customWidth="1"/>
    <col min="8964" max="8964" width="7.140625" style="367" customWidth="1"/>
    <col min="8965" max="8965" width="2" style="367" customWidth="1"/>
    <col min="8966" max="8966" width="2.140625" style="367" customWidth="1"/>
    <col min="8967" max="8967" width="21.5703125" style="367" customWidth="1"/>
    <col min="8968" max="8972" width="8.7109375" style="367" customWidth="1"/>
    <col min="8973" max="9210" width="9.140625" style="367" customWidth="1"/>
    <col min="9211" max="9216" width="11.5703125" style="367"/>
    <col min="9217" max="9218" width="5.85546875" style="367" customWidth="1"/>
    <col min="9219" max="9219" width="4.85546875" style="367" customWidth="1"/>
    <col min="9220" max="9220" width="7.140625" style="367" customWidth="1"/>
    <col min="9221" max="9221" width="2" style="367" customWidth="1"/>
    <col min="9222" max="9222" width="2.140625" style="367" customWidth="1"/>
    <col min="9223" max="9223" width="21.5703125" style="367" customWidth="1"/>
    <col min="9224" max="9228" width="8.7109375" style="367" customWidth="1"/>
    <col min="9229" max="9466" width="9.140625" style="367" customWidth="1"/>
    <col min="9467" max="9472" width="11.5703125" style="367"/>
    <col min="9473" max="9474" width="5.85546875" style="367" customWidth="1"/>
    <col min="9475" max="9475" width="4.85546875" style="367" customWidth="1"/>
    <col min="9476" max="9476" width="7.140625" style="367" customWidth="1"/>
    <col min="9477" max="9477" width="2" style="367" customWidth="1"/>
    <col min="9478" max="9478" width="2.140625" style="367" customWidth="1"/>
    <col min="9479" max="9479" width="21.5703125" style="367" customWidth="1"/>
    <col min="9480" max="9484" width="8.7109375" style="367" customWidth="1"/>
    <col min="9485" max="9722" width="9.140625" style="367" customWidth="1"/>
    <col min="9723" max="9728" width="11.5703125" style="367"/>
    <col min="9729" max="9730" width="5.85546875" style="367" customWidth="1"/>
    <col min="9731" max="9731" width="4.85546875" style="367" customWidth="1"/>
    <col min="9732" max="9732" width="7.140625" style="367" customWidth="1"/>
    <col min="9733" max="9733" width="2" style="367" customWidth="1"/>
    <col min="9734" max="9734" width="2.140625" style="367" customWidth="1"/>
    <col min="9735" max="9735" width="21.5703125" style="367" customWidth="1"/>
    <col min="9736" max="9740" width="8.7109375" style="367" customWidth="1"/>
    <col min="9741" max="9978" width="9.140625" style="367" customWidth="1"/>
    <col min="9979" max="9984" width="11.5703125" style="367"/>
    <col min="9985" max="9986" width="5.85546875" style="367" customWidth="1"/>
    <col min="9987" max="9987" width="4.85546875" style="367" customWidth="1"/>
    <col min="9988" max="9988" width="7.140625" style="367" customWidth="1"/>
    <col min="9989" max="9989" width="2" style="367" customWidth="1"/>
    <col min="9990" max="9990" width="2.140625" style="367" customWidth="1"/>
    <col min="9991" max="9991" width="21.5703125" style="367" customWidth="1"/>
    <col min="9992" max="9996" width="8.7109375" style="367" customWidth="1"/>
    <col min="9997" max="10234" width="9.140625" style="367" customWidth="1"/>
    <col min="10235" max="10240" width="11.5703125" style="367"/>
    <col min="10241" max="10242" width="5.85546875" style="367" customWidth="1"/>
    <col min="10243" max="10243" width="4.85546875" style="367" customWidth="1"/>
    <col min="10244" max="10244" width="7.140625" style="367" customWidth="1"/>
    <col min="10245" max="10245" width="2" style="367" customWidth="1"/>
    <col min="10246" max="10246" width="2.140625" style="367" customWidth="1"/>
    <col min="10247" max="10247" width="21.5703125" style="367" customWidth="1"/>
    <col min="10248" max="10252" width="8.7109375" style="367" customWidth="1"/>
    <col min="10253" max="10490" width="9.140625" style="367" customWidth="1"/>
    <col min="10491" max="10496" width="11.5703125" style="367"/>
    <col min="10497" max="10498" width="5.85546875" style="367" customWidth="1"/>
    <col min="10499" max="10499" width="4.85546875" style="367" customWidth="1"/>
    <col min="10500" max="10500" width="7.140625" style="367" customWidth="1"/>
    <col min="10501" max="10501" width="2" style="367" customWidth="1"/>
    <col min="10502" max="10502" width="2.140625" style="367" customWidth="1"/>
    <col min="10503" max="10503" width="21.5703125" style="367" customWidth="1"/>
    <col min="10504" max="10508" width="8.7109375" style="367" customWidth="1"/>
    <col min="10509" max="10746" width="9.140625" style="367" customWidth="1"/>
    <col min="10747" max="10752" width="11.5703125" style="367"/>
    <col min="10753" max="10754" width="5.85546875" style="367" customWidth="1"/>
    <col min="10755" max="10755" width="4.85546875" style="367" customWidth="1"/>
    <col min="10756" max="10756" width="7.140625" style="367" customWidth="1"/>
    <col min="10757" max="10757" width="2" style="367" customWidth="1"/>
    <col min="10758" max="10758" width="2.140625" style="367" customWidth="1"/>
    <col min="10759" max="10759" width="21.5703125" style="367" customWidth="1"/>
    <col min="10760" max="10764" width="8.7109375" style="367" customWidth="1"/>
    <col min="10765" max="11002" width="9.140625" style="367" customWidth="1"/>
    <col min="11003" max="11008" width="11.5703125" style="367"/>
    <col min="11009" max="11010" width="5.85546875" style="367" customWidth="1"/>
    <col min="11011" max="11011" width="4.85546875" style="367" customWidth="1"/>
    <col min="11012" max="11012" width="7.140625" style="367" customWidth="1"/>
    <col min="11013" max="11013" width="2" style="367" customWidth="1"/>
    <col min="11014" max="11014" width="2.140625" style="367" customWidth="1"/>
    <col min="11015" max="11015" width="21.5703125" style="367" customWidth="1"/>
    <col min="11016" max="11020" width="8.7109375" style="367" customWidth="1"/>
    <col min="11021" max="11258" width="9.140625" style="367" customWidth="1"/>
    <col min="11259" max="11264" width="11.5703125" style="367"/>
    <col min="11265" max="11266" width="5.85546875" style="367" customWidth="1"/>
    <col min="11267" max="11267" width="4.85546875" style="367" customWidth="1"/>
    <col min="11268" max="11268" width="7.140625" style="367" customWidth="1"/>
    <col min="11269" max="11269" width="2" style="367" customWidth="1"/>
    <col min="11270" max="11270" width="2.140625" style="367" customWidth="1"/>
    <col min="11271" max="11271" width="21.5703125" style="367" customWidth="1"/>
    <col min="11272" max="11276" width="8.7109375" style="367" customWidth="1"/>
    <col min="11277" max="11514" width="9.140625" style="367" customWidth="1"/>
    <col min="11515" max="11520" width="11.5703125" style="367"/>
    <col min="11521" max="11522" width="5.85546875" style="367" customWidth="1"/>
    <col min="11523" max="11523" width="4.85546875" style="367" customWidth="1"/>
    <col min="11524" max="11524" width="7.140625" style="367" customWidth="1"/>
    <col min="11525" max="11525" width="2" style="367" customWidth="1"/>
    <col min="11526" max="11526" width="2.140625" style="367" customWidth="1"/>
    <col min="11527" max="11527" width="21.5703125" style="367" customWidth="1"/>
    <col min="11528" max="11532" width="8.7109375" style="367" customWidth="1"/>
    <col min="11533" max="11770" width="9.140625" style="367" customWidth="1"/>
    <col min="11771" max="11776" width="11.5703125" style="367"/>
    <col min="11777" max="11778" width="5.85546875" style="367" customWidth="1"/>
    <col min="11779" max="11779" width="4.85546875" style="367" customWidth="1"/>
    <col min="11780" max="11780" width="7.140625" style="367" customWidth="1"/>
    <col min="11781" max="11781" width="2" style="367" customWidth="1"/>
    <col min="11782" max="11782" width="2.140625" style="367" customWidth="1"/>
    <col min="11783" max="11783" width="21.5703125" style="367" customWidth="1"/>
    <col min="11784" max="11788" width="8.7109375" style="367" customWidth="1"/>
    <col min="11789" max="12026" width="9.140625" style="367" customWidth="1"/>
    <col min="12027" max="12032" width="11.5703125" style="367"/>
    <col min="12033" max="12034" width="5.85546875" style="367" customWidth="1"/>
    <col min="12035" max="12035" width="4.85546875" style="367" customWidth="1"/>
    <col min="12036" max="12036" width="7.140625" style="367" customWidth="1"/>
    <col min="12037" max="12037" width="2" style="367" customWidth="1"/>
    <col min="12038" max="12038" width="2.140625" style="367" customWidth="1"/>
    <col min="12039" max="12039" width="21.5703125" style="367" customWidth="1"/>
    <col min="12040" max="12044" width="8.7109375" style="367" customWidth="1"/>
    <col min="12045" max="12282" width="9.140625" style="367" customWidth="1"/>
    <col min="12283" max="12288" width="11.5703125" style="367"/>
    <col min="12289" max="12290" width="5.85546875" style="367" customWidth="1"/>
    <col min="12291" max="12291" width="4.85546875" style="367" customWidth="1"/>
    <col min="12292" max="12292" width="7.140625" style="367" customWidth="1"/>
    <col min="12293" max="12293" width="2" style="367" customWidth="1"/>
    <col min="12294" max="12294" width="2.140625" style="367" customWidth="1"/>
    <col min="12295" max="12295" width="21.5703125" style="367" customWidth="1"/>
    <col min="12296" max="12300" width="8.7109375" style="367" customWidth="1"/>
    <col min="12301" max="12538" width="9.140625" style="367" customWidth="1"/>
    <col min="12539" max="12544" width="11.5703125" style="367"/>
    <col min="12545" max="12546" width="5.85546875" style="367" customWidth="1"/>
    <col min="12547" max="12547" width="4.85546875" style="367" customWidth="1"/>
    <col min="12548" max="12548" width="7.140625" style="367" customWidth="1"/>
    <col min="12549" max="12549" width="2" style="367" customWidth="1"/>
    <col min="12550" max="12550" width="2.140625" style="367" customWidth="1"/>
    <col min="12551" max="12551" width="21.5703125" style="367" customWidth="1"/>
    <col min="12552" max="12556" width="8.7109375" style="367" customWidth="1"/>
    <col min="12557" max="12794" width="9.140625" style="367" customWidth="1"/>
    <col min="12795" max="12800" width="11.5703125" style="367"/>
    <col min="12801" max="12802" width="5.85546875" style="367" customWidth="1"/>
    <col min="12803" max="12803" width="4.85546875" style="367" customWidth="1"/>
    <col min="12804" max="12804" width="7.140625" style="367" customWidth="1"/>
    <col min="12805" max="12805" width="2" style="367" customWidth="1"/>
    <col min="12806" max="12806" width="2.140625" style="367" customWidth="1"/>
    <col min="12807" max="12807" width="21.5703125" style="367" customWidth="1"/>
    <col min="12808" max="12812" width="8.7109375" style="367" customWidth="1"/>
    <col min="12813" max="13050" width="9.140625" style="367" customWidth="1"/>
    <col min="13051" max="13056" width="11.5703125" style="367"/>
    <col min="13057" max="13058" width="5.85546875" style="367" customWidth="1"/>
    <col min="13059" max="13059" width="4.85546875" style="367" customWidth="1"/>
    <col min="13060" max="13060" width="7.140625" style="367" customWidth="1"/>
    <col min="13061" max="13061" width="2" style="367" customWidth="1"/>
    <col min="13062" max="13062" width="2.140625" style="367" customWidth="1"/>
    <col min="13063" max="13063" width="21.5703125" style="367" customWidth="1"/>
    <col min="13064" max="13068" width="8.7109375" style="367" customWidth="1"/>
    <col min="13069" max="13306" width="9.140625" style="367" customWidth="1"/>
    <col min="13307" max="13312" width="11.5703125" style="367"/>
    <col min="13313" max="13314" width="5.85546875" style="367" customWidth="1"/>
    <col min="13315" max="13315" width="4.85546875" style="367" customWidth="1"/>
    <col min="13316" max="13316" width="7.140625" style="367" customWidth="1"/>
    <col min="13317" max="13317" width="2" style="367" customWidth="1"/>
    <col min="13318" max="13318" width="2.140625" style="367" customWidth="1"/>
    <col min="13319" max="13319" width="21.5703125" style="367" customWidth="1"/>
    <col min="13320" max="13324" width="8.7109375" style="367" customWidth="1"/>
    <col min="13325" max="13562" width="9.140625" style="367" customWidth="1"/>
    <col min="13563" max="13568" width="11.5703125" style="367"/>
    <col min="13569" max="13570" width="5.85546875" style="367" customWidth="1"/>
    <col min="13571" max="13571" width="4.85546875" style="367" customWidth="1"/>
    <col min="13572" max="13572" width="7.140625" style="367" customWidth="1"/>
    <col min="13573" max="13573" width="2" style="367" customWidth="1"/>
    <col min="13574" max="13574" width="2.140625" style="367" customWidth="1"/>
    <col min="13575" max="13575" width="21.5703125" style="367" customWidth="1"/>
    <col min="13576" max="13580" width="8.7109375" style="367" customWidth="1"/>
    <col min="13581" max="13818" width="9.140625" style="367" customWidth="1"/>
    <col min="13819" max="13824" width="11.5703125" style="367"/>
    <col min="13825" max="13826" width="5.85546875" style="367" customWidth="1"/>
    <col min="13827" max="13827" width="4.85546875" style="367" customWidth="1"/>
    <col min="13828" max="13828" width="7.140625" style="367" customWidth="1"/>
    <col min="13829" max="13829" width="2" style="367" customWidth="1"/>
    <col min="13830" max="13830" width="2.140625" style="367" customWidth="1"/>
    <col min="13831" max="13831" width="21.5703125" style="367" customWidth="1"/>
    <col min="13832" max="13836" width="8.7109375" style="367" customWidth="1"/>
    <col min="13837" max="14074" width="9.140625" style="367" customWidth="1"/>
    <col min="14075" max="14080" width="11.5703125" style="367"/>
    <col min="14081" max="14082" width="5.85546875" style="367" customWidth="1"/>
    <col min="14083" max="14083" width="4.85546875" style="367" customWidth="1"/>
    <col min="14084" max="14084" width="7.140625" style="367" customWidth="1"/>
    <col min="14085" max="14085" width="2" style="367" customWidth="1"/>
    <col min="14086" max="14086" width="2.140625" style="367" customWidth="1"/>
    <col min="14087" max="14087" width="21.5703125" style="367" customWidth="1"/>
    <col min="14088" max="14092" width="8.7109375" style="367" customWidth="1"/>
    <col min="14093" max="14330" width="9.140625" style="367" customWidth="1"/>
    <col min="14331" max="14336" width="11.5703125" style="367"/>
    <col min="14337" max="14338" width="5.85546875" style="367" customWidth="1"/>
    <col min="14339" max="14339" width="4.85546875" style="367" customWidth="1"/>
    <col min="14340" max="14340" width="7.140625" style="367" customWidth="1"/>
    <col min="14341" max="14341" width="2" style="367" customWidth="1"/>
    <col min="14342" max="14342" width="2.140625" style="367" customWidth="1"/>
    <col min="14343" max="14343" width="21.5703125" style="367" customWidth="1"/>
    <col min="14344" max="14348" width="8.7109375" style="367" customWidth="1"/>
    <col min="14349" max="14586" width="9.140625" style="367" customWidth="1"/>
    <col min="14587" max="14592" width="11.5703125" style="367"/>
    <col min="14593" max="14594" width="5.85546875" style="367" customWidth="1"/>
    <col min="14595" max="14595" width="4.85546875" style="367" customWidth="1"/>
    <col min="14596" max="14596" width="7.140625" style="367" customWidth="1"/>
    <col min="14597" max="14597" width="2" style="367" customWidth="1"/>
    <col min="14598" max="14598" width="2.140625" style="367" customWidth="1"/>
    <col min="14599" max="14599" width="21.5703125" style="367" customWidth="1"/>
    <col min="14600" max="14604" width="8.7109375" style="367" customWidth="1"/>
    <col min="14605" max="14842" width="9.140625" style="367" customWidth="1"/>
    <col min="14843" max="14848" width="11.5703125" style="367"/>
    <col min="14849" max="14850" width="5.85546875" style="367" customWidth="1"/>
    <col min="14851" max="14851" width="4.85546875" style="367" customWidth="1"/>
    <col min="14852" max="14852" width="7.140625" style="367" customWidth="1"/>
    <col min="14853" max="14853" width="2" style="367" customWidth="1"/>
    <col min="14854" max="14854" width="2.140625" style="367" customWidth="1"/>
    <col min="14855" max="14855" width="21.5703125" style="367" customWidth="1"/>
    <col min="14856" max="14860" width="8.7109375" style="367" customWidth="1"/>
    <col min="14861" max="15098" width="9.140625" style="367" customWidth="1"/>
    <col min="15099" max="15104" width="11.5703125" style="367"/>
    <col min="15105" max="15106" width="5.85546875" style="367" customWidth="1"/>
    <col min="15107" max="15107" width="4.85546875" style="367" customWidth="1"/>
    <col min="15108" max="15108" width="7.140625" style="367" customWidth="1"/>
    <col min="15109" max="15109" width="2" style="367" customWidth="1"/>
    <col min="15110" max="15110" width="2.140625" style="367" customWidth="1"/>
    <col min="15111" max="15111" width="21.5703125" style="367" customWidth="1"/>
    <col min="15112" max="15116" width="8.7109375" style="367" customWidth="1"/>
    <col min="15117" max="15354" width="9.140625" style="367" customWidth="1"/>
    <col min="15355" max="15360" width="11.5703125" style="367"/>
    <col min="15361" max="15362" width="5.85546875" style="367" customWidth="1"/>
    <col min="15363" max="15363" width="4.85546875" style="367" customWidth="1"/>
    <col min="15364" max="15364" width="7.140625" style="367" customWidth="1"/>
    <col min="15365" max="15365" width="2" style="367" customWidth="1"/>
    <col min="15366" max="15366" width="2.140625" style="367" customWidth="1"/>
    <col min="15367" max="15367" width="21.5703125" style="367" customWidth="1"/>
    <col min="15368" max="15372" width="8.7109375" style="367" customWidth="1"/>
    <col min="15373" max="15610" width="9.140625" style="367" customWidth="1"/>
    <col min="15611" max="15616" width="11.5703125" style="367"/>
    <col min="15617" max="15618" width="5.85546875" style="367" customWidth="1"/>
    <col min="15619" max="15619" width="4.85546875" style="367" customWidth="1"/>
    <col min="15620" max="15620" width="7.140625" style="367" customWidth="1"/>
    <col min="15621" max="15621" width="2" style="367" customWidth="1"/>
    <col min="15622" max="15622" width="2.140625" style="367" customWidth="1"/>
    <col min="15623" max="15623" width="21.5703125" style="367" customWidth="1"/>
    <col min="15624" max="15628" width="8.7109375" style="367" customWidth="1"/>
    <col min="15629" max="15866" width="9.140625" style="367" customWidth="1"/>
    <col min="15867" max="15872" width="11.5703125" style="367"/>
    <col min="15873" max="15874" width="5.85546875" style="367" customWidth="1"/>
    <col min="15875" max="15875" width="4.85546875" style="367" customWidth="1"/>
    <col min="15876" max="15876" width="7.140625" style="367" customWidth="1"/>
    <col min="15877" max="15877" width="2" style="367" customWidth="1"/>
    <col min="15878" max="15878" width="2.140625" style="367" customWidth="1"/>
    <col min="15879" max="15879" width="21.5703125" style="367" customWidth="1"/>
    <col min="15880" max="15884" width="8.7109375" style="367" customWidth="1"/>
    <col min="15885" max="16122" width="9.140625" style="367" customWidth="1"/>
    <col min="16123" max="16128" width="11.5703125" style="367"/>
    <col min="16129" max="16130" width="5.85546875" style="367" customWidth="1"/>
    <col min="16131" max="16131" width="4.85546875" style="367" customWidth="1"/>
    <col min="16132" max="16132" width="7.140625" style="367" customWidth="1"/>
    <col min="16133" max="16133" width="2" style="367" customWidth="1"/>
    <col min="16134" max="16134" width="2.140625" style="367" customWidth="1"/>
    <col min="16135" max="16135" width="21.5703125" style="367" customWidth="1"/>
    <col min="16136" max="16140" width="8.7109375" style="367" customWidth="1"/>
    <col min="16141" max="16378" width="9.140625" style="367" customWidth="1"/>
    <col min="16379" max="16384" width="11.5703125" style="367"/>
  </cols>
  <sheetData>
    <row r="1" spans="1:13" x14ac:dyDescent="0.25">
      <c r="A1" s="310"/>
      <c r="C1" s="312"/>
      <c r="D1" s="312"/>
      <c r="E1" s="310"/>
      <c r="F1" s="310"/>
      <c r="G1" s="603" t="s">
        <v>571</v>
      </c>
    </row>
    <row r="2" spans="1:13" x14ac:dyDescent="0.25">
      <c r="A2" s="310"/>
      <c r="C2" s="312"/>
      <c r="D2" s="312"/>
      <c r="E2" s="310"/>
      <c r="F2" s="310"/>
      <c r="G2" s="604" t="s">
        <v>473</v>
      </c>
      <c r="H2" s="373" t="s">
        <v>572</v>
      </c>
    </row>
    <row r="3" spans="1:13" x14ac:dyDescent="0.25">
      <c r="A3" s="310"/>
      <c r="C3" s="312"/>
      <c r="D3" s="312"/>
      <c r="E3" s="310"/>
      <c r="F3" s="310"/>
      <c r="G3" s="603"/>
    </row>
    <row r="4" spans="1:13" x14ac:dyDescent="0.25">
      <c r="A4" s="312" t="s">
        <v>0</v>
      </c>
      <c r="B4" s="315" t="s">
        <v>1</v>
      </c>
      <c r="C4" s="312" t="s">
        <v>2</v>
      </c>
      <c r="D4" s="312"/>
      <c r="E4" s="310" t="s">
        <v>3</v>
      </c>
      <c r="F4" s="310"/>
      <c r="G4" s="605" t="s">
        <v>573</v>
      </c>
      <c r="H4" s="606"/>
      <c r="I4" s="606"/>
      <c r="J4" s="606"/>
      <c r="K4" s="606"/>
      <c r="L4" s="606"/>
    </row>
    <row r="5" spans="1:13" x14ac:dyDescent="0.25">
      <c r="A5" s="310"/>
      <c r="B5" s="324"/>
      <c r="C5" s="312"/>
      <c r="D5" s="312"/>
      <c r="E5" s="310"/>
      <c r="F5" s="310"/>
      <c r="G5" s="390" t="s">
        <v>4</v>
      </c>
      <c r="H5" s="607">
        <v>43100</v>
      </c>
      <c r="I5" s="607">
        <v>43465</v>
      </c>
      <c r="J5" s="607">
        <v>43830</v>
      </c>
      <c r="K5" s="607">
        <v>44196</v>
      </c>
      <c r="L5" s="607">
        <v>44561</v>
      </c>
      <c r="M5" s="607">
        <v>44926</v>
      </c>
    </row>
    <row r="6" spans="1:13" x14ac:dyDescent="0.25">
      <c r="A6" s="329"/>
      <c r="B6" s="311" t="s">
        <v>5</v>
      </c>
      <c r="C6" s="312">
        <v>1</v>
      </c>
      <c r="D6" s="312"/>
      <c r="E6" s="315"/>
      <c r="F6" s="329"/>
      <c r="G6" s="399" t="s">
        <v>6</v>
      </c>
      <c r="H6" s="343">
        <f t="shared" ref="H6:M6" si="0">H7+H12</f>
        <v>273</v>
      </c>
      <c r="I6" s="343">
        <f t="shared" si="0"/>
        <v>198</v>
      </c>
      <c r="J6" s="343">
        <f t="shared" si="0"/>
        <v>600</v>
      </c>
      <c r="K6" s="343">
        <f t="shared" si="0"/>
        <v>1019</v>
      </c>
      <c r="L6" s="343">
        <f t="shared" si="0"/>
        <v>947</v>
      </c>
      <c r="M6" s="343">
        <f t="shared" si="0"/>
        <v>873</v>
      </c>
    </row>
    <row r="7" spans="1:13" x14ac:dyDescent="0.25">
      <c r="B7" s="311" t="s">
        <v>7</v>
      </c>
      <c r="C7" s="312">
        <v>10</v>
      </c>
      <c r="D7" s="312"/>
      <c r="G7" s="407" t="s">
        <v>8</v>
      </c>
      <c r="H7" s="343">
        <f t="shared" ref="H7:M7" si="1">SUM(H8:H11)</f>
        <v>67</v>
      </c>
      <c r="I7" s="343">
        <f t="shared" si="1"/>
        <v>28</v>
      </c>
      <c r="J7" s="343">
        <f t="shared" si="1"/>
        <v>11</v>
      </c>
      <c r="K7" s="343">
        <f t="shared" si="1"/>
        <v>11</v>
      </c>
      <c r="L7" s="343">
        <f t="shared" si="1"/>
        <v>11</v>
      </c>
      <c r="M7" s="343">
        <f t="shared" si="1"/>
        <v>9</v>
      </c>
    </row>
    <row r="8" spans="1:13" x14ac:dyDescent="0.25">
      <c r="B8" s="311" t="s">
        <v>9</v>
      </c>
      <c r="C8" s="336" t="s">
        <v>10</v>
      </c>
      <c r="E8" s="337" t="s">
        <v>11</v>
      </c>
      <c r="G8" s="407" t="s">
        <v>12</v>
      </c>
      <c r="H8" s="339">
        <v>65</v>
      </c>
      <c r="I8" s="339">
        <v>28</v>
      </c>
      <c r="J8" s="339">
        <v>10</v>
      </c>
      <c r="K8" s="339">
        <v>10</v>
      </c>
      <c r="L8" s="339">
        <v>11</v>
      </c>
      <c r="M8" s="608">
        <v>9</v>
      </c>
    </row>
    <row r="9" spans="1:13" x14ac:dyDescent="0.25">
      <c r="B9" s="311" t="s">
        <v>13</v>
      </c>
      <c r="C9" s="336" t="s">
        <v>14</v>
      </c>
      <c r="E9" s="337" t="s">
        <v>11</v>
      </c>
      <c r="G9" s="407" t="s">
        <v>15</v>
      </c>
      <c r="H9" s="339">
        <v>2</v>
      </c>
      <c r="I9" s="339">
        <v>0</v>
      </c>
      <c r="J9" s="339">
        <v>1</v>
      </c>
      <c r="K9" s="339">
        <v>1</v>
      </c>
      <c r="L9" s="339">
        <v>0</v>
      </c>
      <c r="M9" s="339">
        <v>0</v>
      </c>
    </row>
    <row r="10" spans="1:13" x14ac:dyDescent="0.25">
      <c r="B10" s="311" t="s">
        <v>16</v>
      </c>
      <c r="C10" s="336" t="s">
        <v>17</v>
      </c>
      <c r="E10" s="337" t="s">
        <v>11</v>
      </c>
      <c r="G10" s="407" t="s">
        <v>18</v>
      </c>
      <c r="H10" s="339">
        <v>0</v>
      </c>
      <c r="I10" s="339">
        <v>0</v>
      </c>
      <c r="J10" s="339">
        <v>0</v>
      </c>
      <c r="K10" s="339">
        <v>0</v>
      </c>
      <c r="L10" s="339">
        <v>0</v>
      </c>
      <c r="M10" s="339">
        <v>0</v>
      </c>
    </row>
    <row r="11" spans="1:13" x14ac:dyDescent="0.25">
      <c r="B11" s="311" t="s">
        <v>19</v>
      </c>
      <c r="C11" s="336">
        <v>108</v>
      </c>
      <c r="E11" s="340"/>
      <c r="G11" s="407" t="s">
        <v>20</v>
      </c>
      <c r="H11" s="339">
        <v>0</v>
      </c>
      <c r="I11" s="339">
        <v>0</v>
      </c>
      <c r="J11" s="339">
        <v>0</v>
      </c>
      <c r="K11" s="339">
        <v>0</v>
      </c>
      <c r="L11" s="339">
        <v>0</v>
      </c>
      <c r="M11" s="339">
        <v>0</v>
      </c>
    </row>
    <row r="12" spans="1:13" x14ac:dyDescent="0.25">
      <c r="A12" s="341"/>
      <c r="B12" s="311" t="s">
        <v>21</v>
      </c>
      <c r="C12" s="342">
        <v>15</v>
      </c>
      <c r="D12" s="342"/>
      <c r="E12" s="340"/>
      <c r="F12" s="341"/>
      <c r="G12" s="407" t="s">
        <v>22</v>
      </c>
      <c r="H12" s="343">
        <f t="shared" ref="H12:M12" si="2">SUM(H13:H18)</f>
        <v>206</v>
      </c>
      <c r="I12" s="343">
        <f t="shared" si="2"/>
        <v>170</v>
      </c>
      <c r="J12" s="343">
        <f t="shared" si="2"/>
        <v>589</v>
      </c>
      <c r="K12" s="343">
        <f t="shared" si="2"/>
        <v>1008</v>
      </c>
      <c r="L12" s="343">
        <f t="shared" si="2"/>
        <v>936</v>
      </c>
      <c r="M12" s="343">
        <f t="shared" si="2"/>
        <v>864</v>
      </c>
    </row>
    <row r="13" spans="1:13" x14ac:dyDescent="0.25">
      <c r="A13" s="341"/>
      <c r="B13" s="311" t="s">
        <v>23</v>
      </c>
      <c r="C13" s="342">
        <v>150</v>
      </c>
      <c r="D13" s="342"/>
      <c r="E13" s="337" t="s">
        <v>11</v>
      </c>
      <c r="F13" s="341"/>
      <c r="G13" s="407" t="s">
        <v>24</v>
      </c>
      <c r="H13" s="339">
        <v>0</v>
      </c>
      <c r="I13" s="339">
        <v>0</v>
      </c>
      <c r="J13" s="339">
        <v>0</v>
      </c>
      <c r="K13" s="339">
        <v>0</v>
      </c>
      <c r="L13" s="339">
        <v>0</v>
      </c>
      <c r="M13" s="339">
        <v>0</v>
      </c>
    </row>
    <row r="14" spans="1:13" x14ac:dyDescent="0.25">
      <c r="A14" s="341"/>
      <c r="B14" s="311" t="s">
        <v>25</v>
      </c>
      <c r="C14" s="342">
        <v>151</v>
      </c>
      <c r="D14" s="342"/>
      <c r="E14" s="337" t="s">
        <v>11</v>
      </c>
      <c r="F14" s="341"/>
      <c r="G14" s="407" t="s">
        <v>26</v>
      </c>
      <c r="H14" s="339">
        <v>0</v>
      </c>
      <c r="I14" s="339">
        <v>0</v>
      </c>
      <c r="J14" s="339">
        <v>0</v>
      </c>
      <c r="K14" s="339">
        <v>0</v>
      </c>
      <c r="L14" s="339">
        <v>0</v>
      </c>
      <c r="M14" s="339">
        <v>0</v>
      </c>
    </row>
    <row r="15" spans="1:13" x14ac:dyDescent="0.25">
      <c r="B15" s="311" t="s">
        <v>27</v>
      </c>
      <c r="C15" s="336" t="s">
        <v>28</v>
      </c>
      <c r="E15" s="337" t="s">
        <v>11</v>
      </c>
      <c r="G15" s="407" t="s">
        <v>29</v>
      </c>
      <c r="H15" s="339">
        <v>2</v>
      </c>
      <c r="I15" s="339">
        <v>0</v>
      </c>
      <c r="J15" s="339">
        <v>0</v>
      </c>
      <c r="K15" s="339">
        <v>0</v>
      </c>
      <c r="L15" s="339">
        <v>0</v>
      </c>
      <c r="M15" s="339">
        <v>0</v>
      </c>
    </row>
    <row r="16" spans="1:13" x14ac:dyDescent="0.25">
      <c r="B16" s="311" t="s">
        <v>30</v>
      </c>
      <c r="C16" s="336">
        <v>154</v>
      </c>
      <c r="E16" s="337" t="s">
        <v>11</v>
      </c>
      <c r="G16" s="407" t="s">
        <v>31</v>
      </c>
      <c r="H16" s="339">
        <v>0</v>
      </c>
      <c r="I16" s="339">
        <v>0</v>
      </c>
      <c r="J16" s="339">
        <v>0</v>
      </c>
      <c r="K16" s="339">
        <v>0</v>
      </c>
      <c r="L16" s="339">
        <v>0</v>
      </c>
      <c r="M16" s="339">
        <v>0</v>
      </c>
    </row>
    <row r="17" spans="1:13" x14ac:dyDescent="0.25">
      <c r="B17" s="311" t="s">
        <v>32</v>
      </c>
      <c r="C17" s="336" t="s">
        <v>33</v>
      </c>
      <c r="E17" s="337" t="s">
        <v>11</v>
      </c>
      <c r="G17" s="407" t="s">
        <v>34</v>
      </c>
      <c r="H17" s="339">
        <v>204</v>
      </c>
      <c r="I17" s="339">
        <v>170</v>
      </c>
      <c r="J17" s="339">
        <v>589</v>
      </c>
      <c r="K17" s="339">
        <v>1008</v>
      </c>
      <c r="L17" s="339">
        <v>936</v>
      </c>
      <c r="M17" s="339">
        <v>864</v>
      </c>
    </row>
    <row r="18" spans="1:13" x14ac:dyDescent="0.25">
      <c r="B18" s="311" t="s">
        <v>35</v>
      </c>
      <c r="C18" s="336">
        <v>157</v>
      </c>
      <c r="E18" s="337" t="s">
        <v>11</v>
      </c>
      <c r="G18" s="407" t="s">
        <v>36</v>
      </c>
      <c r="H18" s="339">
        <v>0</v>
      </c>
      <c r="I18" s="339">
        <v>0</v>
      </c>
      <c r="J18" s="339">
        <v>0</v>
      </c>
      <c r="K18" s="339">
        <v>0</v>
      </c>
      <c r="L18" s="339">
        <v>0</v>
      </c>
      <c r="M18" s="339">
        <v>0</v>
      </c>
    </row>
    <row r="19" spans="1:13" s="478" customFormat="1" ht="12" x14ac:dyDescent="0.2">
      <c r="A19" s="344"/>
      <c r="B19" s="311" t="s">
        <v>37</v>
      </c>
      <c r="C19" s="344" t="s">
        <v>38</v>
      </c>
      <c r="D19" s="344"/>
      <c r="E19" s="337" t="s">
        <v>11</v>
      </c>
      <c r="F19" s="346"/>
      <c r="G19" s="609" t="s">
        <v>39</v>
      </c>
      <c r="H19" s="350">
        <v>0</v>
      </c>
      <c r="I19" s="350">
        <v>0</v>
      </c>
      <c r="J19" s="350">
        <v>0</v>
      </c>
      <c r="K19" s="350">
        <v>0</v>
      </c>
      <c r="L19" s="350">
        <v>0</v>
      </c>
      <c r="M19" s="350">
        <v>0</v>
      </c>
    </row>
    <row r="20" spans="1:13" x14ac:dyDescent="0.25">
      <c r="B20" s="311" t="s">
        <v>40</v>
      </c>
      <c r="C20" s="336">
        <v>2</v>
      </c>
      <c r="E20" s="340"/>
      <c r="G20" s="407" t="s">
        <v>41</v>
      </c>
      <c r="H20" s="343">
        <f t="shared" ref="H20:M20" si="3">H21+H29</f>
        <v>273</v>
      </c>
      <c r="I20" s="343">
        <f t="shared" si="3"/>
        <v>198</v>
      </c>
      <c r="J20" s="343">
        <f t="shared" si="3"/>
        <v>600</v>
      </c>
      <c r="K20" s="343">
        <f t="shared" si="3"/>
        <v>1019</v>
      </c>
      <c r="L20" s="343">
        <f t="shared" si="3"/>
        <v>947</v>
      </c>
      <c r="M20" s="343">
        <f t="shared" si="3"/>
        <v>873</v>
      </c>
    </row>
    <row r="21" spans="1:13" x14ac:dyDescent="0.25">
      <c r="B21" s="311" t="s">
        <v>42</v>
      </c>
      <c r="C21" s="336" t="s">
        <v>43</v>
      </c>
      <c r="E21" s="340"/>
      <c r="G21" s="407" t="s">
        <v>44</v>
      </c>
      <c r="H21" s="343">
        <f t="shared" ref="H21:M21" si="4">SUM(H23:H28)</f>
        <v>91</v>
      </c>
      <c r="I21" s="343">
        <f t="shared" si="4"/>
        <v>48</v>
      </c>
      <c r="J21" s="343">
        <f t="shared" si="4"/>
        <v>481</v>
      </c>
      <c r="K21" s="343">
        <f t="shared" si="4"/>
        <v>936</v>
      </c>
      <c r="L21" s="343">
        <f t="shared" si="4"/>
        <v>24</v>
      </c>
      <c r="M21" s="343">
        <f t="shared" si="4"/>
        <v>24</v>
      </c>
    </row>
    <row r="22" spans="1:13" s="480" customFormat="1" ht="12" x14ac:dyDescent="0.2">
      <c r="A22" s="351"/>
      <c r="B22" s="311" t="s">
        <v>45</v>
      </c>
      <c r="C22" s="344" t="s">
        <v>46</v>
      </c>
      <c r="D22" s="344"/>
      <c r="E22" s="337" t="s">
        <v>11</v>
      </c>
      <c r="F22" s="351"/>
      <c r="G22" s="609" t="s">
        <v>47</v>
      </c>
      <c r="H22" s="354">
        <v>0</v>
      </c>
      <c r="I22" s="354">
        <v>0</v>
      </c>
      <c r="J22" s="354">
        <v>0</v>
      </c>
      <c r="K22" s="354">
        <v>0</v>
      </c>
      <c r="L22" s="354">
        <v>0</v>
      </c>
      <c r="M22" s="354">
        <v>0</v>
      </c>
    </row>
    <row r="23" spans="1:13" x14ac:dyDescent="0.25">
      <c r="B23" s="311" t="s">
        <v>48</v>
      </c>
      <c r="C23" s="355" t="s">
        <v>49</v>
      </c>
      <c r="D23" s="355"/>
      <c r="E23" s="337" t="s">
        <v>11</v>
      </c>
      <c r="G23" s="407" t="s">
        <v>50</v>
      </c>
      <c r="H23" s="339">
        <v>17</v>
      </c>
      <c r="I23" s="339">
        <v>23</v>
      </c>
      <c r="J23" s="339">
        <v>23</v>
      </c>
      <c r="K23" s="339">
        <v>24</v>
      </c>
      <c r="L23" s="339">
        <v>24</v>
      </c>
      <c r="M23" s="339">
        <v>24</v>
      </c>
    </row>
    <row r="24" spans="1:13" x14ac:dyDescent="0.25">
      <c r="B24" s="311" t="s">
        <v>51</v>
      </c>
      <c r="C24" s="336" t="s">
        <v>52</v>
      </c>
      <c r="E24" s="337" t="s">
        <v>11</v>
      </c>
      <c r="G24" s="407" t="s">
        <v>53</v>
      </c>
      <c r="H24" s="339">
        <v>0</v>
      </c>
      <c r="I24" s="339">
        <v>0</v>
      </c>
      <c r="J24" s="339">
        <v>0</v>
      </c>
      <c r="K24" s="339">
        <v>0</v>
      </c>
      <c r="L24" s="339">
        <v>0</v>
      </c>
      <c r="M24" s="339">
        <v>0</v>
      </c>
    </row>
    <row r="25" spans="1:13" x14ac:dyDescent="0.25">
      <c r="B25" s="311" t="s">
        <v>54</v>
      </c>
      <c r="C25" s="336">
        <v>257</v>
      </c>
      <c r="E25" s="337" t="s">
        <v>11</v>
      </c>
      <c r="G25" s="407" t="s">
        <v>55</v>
      </c>
      <c r="H25" s="339">
        <v>74</v>
      </c>
      <c r="I25" s="339">
        <v>25</v>
      </c>
      <c r="J25" s="339">
        <v>458</v>
      </c>
      <c r="K25" s="339">
        <v>912</v>
      </c>
      <c r="L25" s="339">
        <v>0</v>
      </c>
      <c r="M25" s="339">
        <v>0</v>
      </c>
    </row>
    <row r="26" spans="1:13" x14ac:dyDescent="0.25">
      <c r="A26" s="356"/>
      <c r="B26" s="311" t="s">
        <v>56</v>
      </c>
      <c r="C26" s="336" t="s">
        <v>57</v>
      </c>
      <c r="E26" s="337" t="s">
        <v>11</v>
      </c>
      <c r="F26" s="356"/>
      <c r="G26" s="407" t="s">
        <v>58</v>
      </c>
      <c r="H26" s="339">
        <v>0</v>
      </c>
      <c r="I26" s="339">
        <v>0</v>
      </c>
      <c r="J26" s="339">
        <v>0</v>
      </c>
      <c r="K26" s="339">
        <v>0</v>
      </c>
      <c r="L26" s="339">
        <v>0</v>
      </c>
      <c r="M26" s="339">
        <v>0</v>
      </c>
    </row>
    <row r="27" spans="1:13" x14ac:dyDescent="0.25">
      <c r="A27" s="356"/>
      <c r="B27" s="311" t="s">
        <v>59</v>
      </c>
      <c r="C27" s="336" t="s">
        <v>60</v>
      </c>
      <c r="E27" s="337" t="s">
        <v>11</v>
      </c>
      <c r="F27" s="356"/>
      <c r="G27" s="407" t="s">
        <v>61</v>
      </c>
      <c r="H27" s="339">
        <v>0</v>
      </c>
      <c r="I27" s="339">
        <v>0</v>
      </c>
      <c r="J27" s="339">
        <v>0</v>
      </c>
      <c r="K27" s="339">
        <v>0</v>
      </c>
      <c r="L27" s="339">
        <v>0</v>
      </c>
      <c r="M27" s="339">
        <v>0</v>
      </c>
    </row>
    <row r="28" spans="1:13" x14ac:dyDescent="0.25">
      <c r="B28" s="311" t="s">
        <v>62</v>
      </c>
      <c r="C28" s="336">
        <v>28</v>
      </c>
      <c r="E28" s="337" t="s">
        <v>11</v>
      </c>
      <c r="G28" s="407" t="s">
        <v>63</v>
      </c>
      <c r="H28" s="339">
        <v>0</v>
      </c>
      <c r="I28" s="339">
        <v>0</v>
      </c>
      <c r="J28" s="339">
        <v>0</v>
      </c>
      <c r="K28" s="339">
        <v>0</v>
      </c>
      <c r="L28" s="339">
        <v>0</v>
      </c>
      <c r="M28" s="339">
        <v>0</v>
      </c>
    </row>
    <row r="29" spans="1:13" x14ac:dyDescent="0.25">
      <c r="B29" s="311" t="s">
        <v>64</v>
      </c>
      <c r="C29" s="336">
        <v>29</v>
      </c>
      <c r="E29" s="340"/>
      <c r="G29" s="407" t="s">
        <v>65</v>
      </c>
      <c r="H29" s="343">
        <f t="shared" ref="H29:M29" si="5">SUM(H30:H32)</f>
        <v>182</v>
      </c>
      <c r="I29" s="343">
        <f t="shared" si="5"/>
        <v>150</v>
      </c>
      <c r="J29" s="343">
        <f t="shared" si="5"/>
        <v>119</v>
      </c>
      <c r="K29" s="343">
        <f t="shared" si="5"/>
        <v>83</v>
      </c>
      <c r="L29" s="343">
        <f t="shared" si="5"/>
        <v>923</v>
      </c>
      <c r="M29" s="343">
        <f t="shared" si="5"/>
        <v>849</v>
      </c>
    </row>
    <row r="30" spans="1:13" x14ac:dyDescent="0.25">
      <c r="B30" s="311" t="s">
        <v>66</v>
      </c>
      <c r="C30" s="333" t="s">
        <v>67</v>
      </c>
      <c r="D30" s="333"/>
      <c r="E30" s="337" t="s">
        <v>11</v>
      </c>
      <c r="G30" s="407" t="s">
        <v>68</v>
      </c>
      <c r="H30" s="339">
        <v>220</v>
      </c>
      <c r="I30" s="339">
        <v>220</v>
      </c>
      <c r="J30" s="339">
        <v>220</v>
      </c>
      <c r="K30" s="339">
        <v>220</v>
      </c>
      <c r="L30" s="339">
        <v>220</v>
      </c>
      <c r="M30" s="339">
        <v>220</v>
      </c>
    </row>
    <row r="31" spans="1:13" x14ac:dyDescent="0.25">
      <c r="B31" s="311" t="s">
        <v>69</v>
      </c>
      <c r="C31" s="336">
        <v>298</v>
      </c>
      <c r="E31" s="337" t="s">
        <v>11</v>
      </c>
      <c r="G31" s="407" t="s">
        <v>70</v>
      </c>
      <c r="H31" s="339">
        <v>1</v>
      </c>
      <c r="I31" s="339">
        <v>-38</v>
      </c>
      <c r="J31" s="339">
        <v>-70</v>
      </c>
      <c r="K31" s="339">
        <f>J31+J32</f>
        <v>-101</v>
      </c>
      <c r="L31" s="339">
        <f>K31+K32</f>
        <v>-137</v>
      </c>
      <c r="M31" s="339">
        <f>L31+L32</f>
        <v>703</v>
      </c>
    </row>
    <row r="32" spans="1:13" x14ac:dyDescent="0.25">
      <c r="B32" s="311" t="s">
        <v>71</v>
      </c>
      <c r="C32" s="336">
        <v>299</v>
      </c>
      <c r="E32" s="337" t="s">
        <v>72</v>
      </c>
      <c r="G32" s="407" t="s">
        <v>73</v>
      </c>
      <c r="H32" s="339">
        <f t="shared" ref="H32:M32" si="6">H53</f>
        <v>-39</v>
      </c>
      <c r="I32" s="339">
        <f t="shared" si="6"/>
        <v>-32</v>
      </c>
      <c r="J32" s="339">
        <f t="shared" si="6"/>
        <v>-31</v>
      </c>
      <c r="K32" s="339">
        <f t="shared" si="6"/>
        <v>-36</v>
      </c>
      <c r="L32" s="339">
        <f t="shared" si="6"/>
        <v>840</v>
      </c>
      <c r="M32" s="339">
        <f t="shared" si="6"/>
        <v>-74</v>
      </c>
    </row>
    <row r="33" spans="1:13" s="486" customFormat="1" ht="11.25" x14ac:dyDescent="0.2">
      <c r="A33" s="357"/>
      <c r="B33" s="324"/>
      <c r="C33" s="359"/>
      <c r="D33" s="359"/>
      <c r="E33" s="360"/>
      <c r="F33" s="357"/>
      <c r="G33" s="610" t="s">
        <v>74</v>
      </c>
      <c r="H33" s="363">
        <f t="shared" ref="H33:M33" si="7">H6-H20</f>
        <v>0</v>
      </c>
      <c r="I33" s="363">
        <f t="shared" si="7"/>
        <v>0</v>
      </c>
      <c r="J33" s="363">
        <f t="shared" si="7"/>
        <v>0</v>
      </c>
      <c r="K33" s="363">
        <f t="shared" si="7"/>
        <v>0</v>
      </c>
      <c r="L33" s="363">
        <f t="shared" si="7"/>
        <v>0</v>
      </c>
      <c r="M33" s="363">
        <f t="shared" si="7"/>
        <v>0</v>
      </c>
    </row>
    <row r="34" spans="1:13" x14ac:dyDescent="0.25">
      <c r="G34" s="390" t="s">
        <v>75</v>
      </c>
      <c r="H34" s="611">
        <v>2017</v>
      </c>
      <c r="I34" s="611">
        <f>H34+1</f>
        <v>2018</v>
      </c>
      <c r="J34" s="611">
        <f>I34+1</f>
        <v>2019</v>
      </c>
      <c r="K34" s="611">
        <f>J34+1</f>
        <v>2020</v>
      </c>
      <c r="L34" s="611">
        <f>K34+1</f>
        <v>2021</v>
      </c>
      <c r="M34" s="611">
        <f>L34+1</f>
        <v>2022</v>
      </c>
    </row>
    <row r="35" spans="1:13" x14ac:dyDescent="0.25">
      <c r="B35" s="311" t="s">
        <v>76</v>
      </c>
      <c r="C35" s="336">
        <v>3</v>
      </c>
      <c r="G35" s="399" t="s">
        <v>77</v>
      </c>
      <c r="H35" s="343">
        <f t="shared" ref="H35:M35" si="8">SUM(H36:H39)</f>
        <v>207</v>
      </c>
      <c r="I35" s="343">
        <f t="shared" si="8"/>
        <v>222</v>
      </c>
      <c r="J35" s="343">
        <f t="shared" si="8"/>
        <v>222</v>
      </c>
      <c r="K35" s="343">
        <f t="shared" si="8"/>
        <v>222</v>
      </c>
      <c r="L35" s="343">
        <f t="shared" si="8"/>
        <v>1140</v>
      </c>
      <c r="M35" s="343">
        <f t="shared" si="8"/>
        <v>223</v>
      </c>
    </row>
    <row r="36" spans="1:13" x14ac:dyDescent="0.25">
      <c r="B36" s="311" t="s">
        <v>78</v>
      </c>
      <c r="C36" s="336">
        <v>30</v>
      </c>
      <c r="E36" s="337" t="s">
        <v>11</v>
      </c>
      <c r="G36" s="407" t="s">
        <v>79</v>
      </c>
      <c r="H36" s="339">
        <v>0</v>
      </c>
      <c r="I36" s="339">
        <v>0</v>
      </c>
      <c r="J36" s="339">
        <v>0</v>
      </c>
      <c r="K36" s="339">
        <v>0</v>
      </c>
      <c r="L36" s="339">
        <v>0</v>
      </c>
      <c r="M36" s="612">
        <v>0</v>
      </c>
    </row>
    <row r="37" spans="1:13" x14ac:dyDescent="0.25">
      <c r="B37" s="311" t="s">
        <v>80</v>
      </c>
      <c r="C37" s="336">
        <v>32</v>
      </c>
      <c r="E37" s="337" t="s">
        <v>11</v>
      </c>
      <c r="G37" s="407" t="s">
        <v>81</v>
      </c>
      <c r="H37" s="339">
        <v>32</v>
      </c>
      <c r="I37" s="339">
        <v>24</v>
      </c>
      <c r="J37" s="339">
        <v>24</v>
      </c>
      <c r="K37" s="339">
        <v>24</v>
      </c>
      <c r="L37" s="339">
        <v>24</v>
      </c>
      <c r="M37" s="612">
        <v>24</v>
      </c>
    </row>
    <row r="38" spans="1:13" x14ac:dyDescent="0.25">
      <c r="A38" s="341"/>
      <c r="B38" s="311" t="s">
        <v>82</v>
      </c>
      <c r="C38" s="336">
        <v>35</v>
      </c>
      <c r="E38" s="337" t="s">
        <v>11</v>
      </c>
      <c r="F38" s="341"/>
      <c r="G38" s="407" t="s">
        <v>83</v>
      </c>
      <c r="H38" s="339">
        <v>175</v>
      </c>
      <c r="I38" s="339">
        <v>198</v>
      </c>
      <c r="J38" s="339">
        <v>198</v>
      </c>
      <c r="K38" s="339">
        <v>198</v>
      </c>
      <c r="L38" s="339">
        <v>198</v>
      </c>
      <c r="M38" s="612">
        <v>198</v>
      </c>
    </row>
    <row r="39" spans="1:13" x14ac:dyDescent="0.25">
      <c r="B39" s="311" t="s">
        <v>84</v>
      </c>
      <c r="C39" s="336">
        <v>38</v>
      </c>
      <c r="E39" s="337" t="s">
        <v>11</v>
      </c>
      <c r="G39" s="407" t="s">
        <v>574</v>
      </c>
      <c r="H39" s="339">
        <v>0</v>
      </c>
      <c r="I39" s="339">
        <v>0</v>
      </c>
      <c r="J39" s="339">
        <v>0</v>
      </c>
      <c r="K39" s="339">
        <v>0</v>
      </c>
      <c r="L39" s="339">
        <v>918</v>
      </c>
      <c r="M39" s="613">
        <v>1</v>
      </c>
    </row>
    <row r="40" spans="1:13" x14ac:dyDescent="0.25">
      <c r="B40" s="311" t="s">
        <v>86</v>
      </c>
      <c r="C40" s="336">
        <v>4</v>
      </c>
      <c r="E40" s="368"/>
      <c r="G40" s="407" t="s">
        <v>87</v>
      </c>
      <c r="H40" s="343">
        <f t="shared" ref="H40:M40" si="9">H41+H42</f>
        <v>0</v>
      </c>
      <c r="I40" s="343">
        <f t="shared" si="9"/>
        <v>0</v>
      </c>
      <c r="J40" s="343">
        <f t="shared" si="9"/>
        <v>0</v>
      </c>
      <c r="K40" s="343">
        <f t="shared" si="9"/>
        <v>0</v>
      </c>
      <c r="L40" s="343">
        <f t="shared" si="9"/>
        <v>0</v>
      </c>
      <c r="M40" s="343">
        <f t="shared" si="9"/>
        <v>0</v>
      </c>
    </row>
    <row r="41" spans="1:13" x14ac:dyDescent="0.25">
      <c r="B41" s="311" t="s">
        <v>88</v>
      </c>
      <c r="C41" s="336">
        <v>41</v>
      </c>
      <c r="E41" s="337" t="s">
        <v>89</v>
      </c>
      <c r="G41" s="407" t="s">
        <v>90</v>
      </c>
      <c r="H41" s="339">
        <v>0</v>
      </c>
      <c r="I41" s="339">
        <v>0</v>
      </c>
      <c r="J41" s="339">
        <v>0</v>
      </c>
      <c r="K41" s="339">
        <v>0</v>
      </c>
      <c r="L41" s="339">
        <v>0</v>
      </c>
      <c r="M41" s="339">
        <v>0</v>
      </c>
    </row>
    <row r="42" spans="1:13" x14ac:dyDescent="0.25">
      <c r="B42" s="311" t="s">
        <v>91</v>
      </c>
      <c r="C42" s="336">
        <v>45</v>
      </c>
      <c r="E42" s="337" t="s">
        <v>89</v>
      </c>
      <c r="G42" s="407" t="s">
        <v>92</v>
      </c>
      <c r="H42" s="339">
        <v>0</v>
      </c>
      <c r="I42" s="339">
        <v>0</v>
      </c>
      <c r="J42" s="339">
        <v>0</v>
      </c>
      <c r="K42" s="339">
        <v>0</v>
      </c>
      <c r="L42" s="339">
        <v>0</v>
      </c>
      <c r="M42" s="339">
        <v>0</v>
      </c>
    </row>
    <row r="43" spans="1:13" x14ac:dyDescent="0.25">
      <c r="A43" s="341"/>
      <c r="B43" s="311" t="s">
        <v>93</v>
      </c>
      <c r="C43" s="336" t="s">
        <v>94</v>
      </c>
      <c r="E43" s="368"/>
      <c r="F43" s="341"/>
      <c r="G43" s="407" t="s">
        <v>95</v>
      </c>
      <c r="H43" s="343">
        <f t="shared" ref="H43:M43" si="10">SUM(H44:H47)</f>
        <v>-246</v>
      </c>
      <c r="I43" s="343">
        <f t="shared" si="10"/>
        <v>-254</v>
      </c>
      <c r="J43" s="343">
        <f t="shared" si="10"/>
        <v>-258</v>
      </c>
      <c r="K43" s="343">
        <f t="shared" si="10"/>
        <v>-258</v>
      </c>
      <c r="L43" s="343">
        <f t="shared" si="10"/>
        <v>-300</v>
      </c>
      <c r="M43" s="343">
        <f t="shared" si="10"/>
        <v>-300</v>
      </c>
    </row>
    <row r="44" spans="1:13" x14ac:dyDescent="0.25">
      <c r="B44" s="311" t="s">
        <v>96</v>
      </c>
      <c r="C44" s="336">
        <v>50</v>
      </c>
      <c r="E44" s="337" t="s">
        <v>89</v>
      </c>
      <c r="G44" s="407" t="s">
        <v>97</v>
      </c>
      <c r="H44" s="339">
        <v>-167</v>
      </c>
      <c r="I44" s="339">
        <v>-182</v>
      </c>
      <c r="J44" s="339">
        <v>-182</v>
      </c>
      <c r="K44" s="339">
        <v>-182</v>
      </c>
      <c r="L44" s="339">
        <v>-182</v>
      </c>
      <c r="M44" s="613">
        <v>-182</v>
      </c>
    </row>
    <row r="45" spans="1:13" x14ac:dyDescent="0.25">
      <c r="B45" s="311" t="s">
        <v>98</v>
      </c>
      <c r="C45" s="336">
        <v>55</v>
      </c>
      <c r="E45" s="337" t="s">
        <v>89</v>
      </c>
      <c r="G45" s="407" t="s">
        <v>99</v>
      </c>
      <c r="H45" s="339">
        <v>-49</v>
      </c>
      <c r="I45" s="339">
        <v>-40</v>
      </c>
      <c r="J45" s="339">
        <v>-40</v>
      </c>
      <c r="K45" s="339">
        <v>-40</v>
      </c>
      <c r="L45" s="339">
        <v>-40</v>
      </c>
      <c r="M45" s="612">
        <v>-40</v>
      </c>
    </row>
    <row r="46" spans="1:13" x14ac:dyDescent="0.25">
      <c r="A46" s="341"/>
      <c r="B46" s="311" t="s">
        <v>100</v>
      </c>
      <c r="C46" s="336">
        <v>60</v>
      </c>
      <c r="E46" s="337" t="s">
        <v>89</v>
      </c>
      <c r="F46" s="341"/>
      <c r="G46" s="407" t="s">
        <v>101</v>
      </c>
      <c r="H46" s="339">
        <v>-3</v>
      </c>
      <c r="I46" s="339">
        <v>-5</v>
      </c>
      <c r="J46" s="339">
        <v>-5</v>
      </c>
      <c r="K46" s="339">
        <v>-5</v>
      </c>
      <c r="L46" s="339">
        <v>-6</v>
      </c>
      <c r="M46" s="612">
        <v>-6</v>
      </c>
    </row>
    <row r="47" spans="1:13" x14ac:dyDescent="0.25">
      <c r="B47" s="311" t="s">
        <v>102</v>
      </c>
      <c r="C47" s="336">
        <v>61</v>
      </c>
      <c r="E47" s="337" t="s">
        <v>89</v>
      </c>
      <c r="G47" s="407" t="s">
        <v>103</v>
      </c>
      <c r="H47" s="339">
        <v>-27</v>
      </c>
      <c r="I47" s="339">
        <v>-27</v>
      </c>
      <c r="J47" s="339">
        <v>-31</v>
      </c>
      <c r="K47" s="339">
        <v>-31</v>
      </c>
      <c r="L47" s="339">
        <v>-72</v>
      </c>
      <c r="M47" s="612">
        <v>-72</v>
      </c>
    </row>
    <row r="48" spans="1:13" x14ac:dyDescent="0.25">
      <c r="B48" s="311" t="s">
        <v>104</v>
      </c>
      <c r="G48" s="407" t="s">
        <v>105</v>
      </c>
      <c r="H48" s="343">
        <f>H35+H40+H43</f>
        <v>-39</v>
      </c>
      <c r="I48" s="343">
        <f>I35+I40+I43</f>
        <v>-32</v>
      </c>
      <c r="J48" s="343">
        <v>-31</v>
      </c>
      <c r="K48" s="343">
        <f>K35+K40+K43</f>
        <v>-36</v>
      </c>
      <c r="L48" s="343">
        <f>L35+L40+L43</f>
        <v>840</v>
      </c>
      <c r="M48" s="614">
        <f>M35+M40+M43</f>
        <v>-77</v>
      </c>
    </row>
    <row r="49" spans="1:13" x14ac:dyDescent="0.25">
      <c r="B49" s="311" t="s">
        <v>106</v>
      </c>
      <c r="C49" s="336">
        <v>65</v>
      </c>
      <c r="E49" s="337" t="s">
        <v>72</v>
      </c>
      <c r="G49" s="407" t="s">
        <v>107</v>
      </c>
      <c r="H49" s="339">
        <v>0</v>
      </c>
      <c r="I49" s="339">
        <v>0</v>
      </c>
      <c r="J49" s="339">
        <v>0</v>
      </c>
      <c r="K49" s="339">
        <v>0</v>
      </c>
      <c r="L49" s="339">
        <v>0</v>
      </c>
      <c r="M49" s="613">
        <v>1</v>
      </c>
    </row>
    <row r="50" spans="1:13" x14ac:dyDescent="0.25">
      <c r="B50" s="311" t="s">
        <v>108</v>
      </c>
      <c r="G50" s="407" t="s">
        <v>109</v>
      </c>
      <c r="H50" s="343">
        <f t="shared" ref="H50:M50" si="11">H48+H49</f>
        <v>-39</v>
      </c>
      <c r="I50" s="343">
        <f t="shared" si="11"/>
        <v>-32</v>
      </c>
      <c r="J50" s="343">
        <f t="shared" si="11"/>
        <v>-31</v>
      </c>
      <c r="K50" s="343">
        <f t="shared" si="11"/>
        <v>-36</v>
      </c>
      <c r="L50" s="343">
        <f t="shared" si="11"/>
        <v>840</v>
      </c>
      <c r="M50" s="614">
        <f t="shared" si="11"/>
        <v>-76</v>
      </c>
    </row>
    <row r="51" spans="1:13" x14ac:dyDescent="0.25">
      <c r="B51" s="311" t="s">
        <v>110</v>
      </c>
      <c r="C51" s="336">
        <v>68</v>
      </c>
      <c r="E51" s="337" t="s">
        <v>89</v>
      </c>
      <c r="G51" s="407" t="s">
        <v>111</v>
      </c>
      <c r="H51" s="339">
        <v>0</v>
      </c>
      <c r="I51" s="339">
        <v>0</v>
      </c>
      <c r="J51" s="339">
        <v>0</v>
      </c>
      <c r="K51" s="339">
        <v>0</v>
      </c>
      <c r="L51" s="339">
        <v>0</v>
      </c>
      <c r="M51" s="613">
        <v>1</v>
      </c>
    </row>
    <row r="52" spans="1:13" x14ac:dyDescent="0.25">
      <c r="B52" s="311" t="s">
        <v>112</v>
      </c>
      <c r="C52" s="336">
        <v>69</v>
      </c>
      <c r="E52" s="337" t="s">
        <v>11</v>
      </c>
      <c r="G52" s="407" t="s">
        <v>113</v>
      </c>
      <c r="H52" s="339">
        <v>0</v>
      </c>
      <c r="I52" s="339">
        <v>0</v>
      </c>
      <c r="J52" s="339">
        <v>0</v>
      </c>
      <c r="K52" s="339">
        <v>0</v>
      </c>
      <c r="L52" s="339">
        <v>0</v>
      </c>
      <c r="M52" s="613">
        <v>1</v>
      </c>
    </row>
    <row r="53" spans="1:13" x14ac:dyDescent="0.25">
      <c r="B53" s="311" t="s">
        <v>114</v>
      </c>
      <c r="G53" s="407" t="s">
        <v>115</v>
      </c>
      <c r="H53" s="343">
        <f t="shared" ref="H53:M53" si="12">H50+H51+H52</f>
        <v>-39</v>
      </c>
      <c r="I53" s="343">
        <f t="shared" si="12"/>
        <v>-32</v>
      </c>
      <c r="J53" s="343">
        <f t="shared" si="12"/>
        <v>-31</v>
      </c>
      <c r="K53" s="343">
        <f t="shared" si="12"/>
        <v>-36</v>
      </c>
      <c r="L53" s="343">
        <f t="shared" si="12"/>
        <v>840</v>
      </c>
      <c r="M53" s="614">
        <f t="shared" si="12"/>
        <v>-74</v>
      </c>
    </row>
    <row r="54" spans="1:13" x14ac:dyDescent="0.25">
      <c r="A54" s="369"/>
      <c r="C54" s="370"/>
      <c r="D54" s="370"/>
      <c r="E54" s="371"/>
      <c r="F54" s="369"/>
      <c r="G54" s="610" t="s">
        <v>116</v>
      </c>
      <c r="H54" s="363">
        <f t="shared" ref="H54:M54" si="13">H32-H53</f>
        <v>0</v>
      </c>
      <c r="I54" s="363">
        <f t="shared" si="13"/>
        <v>0</v>
      </c>
      <c r="J54" s="363">
        <f t="shared" si="13"/>
        <v>0</v>
      </c>
      <c r="K54" s="363">
        <f t="shared" si="13"/>
        <v>0</v>
      </c>
      <c r="L54" s="363">
        <f t="shared" si="13"/>
        <v>0</v>
      </c>
      <c r="M54" s="615">
        <f t="shared" si="13"/>
        <v>0</v>
      </c>
    </row>
    <row r="55" spans="1:13" x14ac:dyDescent="0.25">
      <c r="G55" s="426" t="s">
        <v>117</v>
      </c>
    </row>
    <row r="56" spans="1:13" x14ac:dyDescent="0.25">
      <c r="C56" s="336">
        <v>90</v>
      </c>
      <c r="E56" s="337" t="s">
        <v>11</v>
      </c>
      <c r="G56" s="426" t="s">
        <v>118</v>
      </c>
      <c r="H56" s="339">
        <v>11</v>
      </c>
      <c r="I56" s="339">
        <v>11</v>
      </c>
      <c r="J56" s="339">
        <v>11</v>
      </c>
      <c r="K56" s="339">
        <v>11</v>
      </c>
      <c r="L56" s="339">
        <v>11</v>
      </c>
      <c r="M56" s="339">
        <v>11</v>
      </c>
    </row>
    <row r="57" spans="1:13" x14ac:dyDescent="0.25">
      <c r="E57" s="337" t="s">
        <v>11</v>
      </c>
      <c r="G57" s="426" t="s">
        <v>119</v>
      </c>
      <c r="H57" s="377"/>
      <c r="I57" s="377"/>
      <c r="J57" s="377"/>
      <c r="K57" s="377"/>
      <c r="L57" s="377"/>
      <c r="M57" s="377"/>
    </row>
    <row r="59" spans="1:13" x14ac:dyDescent="0.25">
      <c r="D59" s="379" t="s">
        <v>120</v>
      </c>
      <c r="E59" s="380" t="s">
        <v>3</v>
      </c>
      <c r="F59" s="334"/>
      <c r="G59" s="390" t="s">
        <v>121</v>
      </c>
      <c r="H59" s="366">
        <f t="shared" ref="H59:M59" si="14">H34</f>
        <v>2017</v>
      </c>
      <c r="I59" s="366">
        <f t="shared" si="14"/>
        <v>2018</v>
      </c>
      <c r="J59" s="366">
        <f t="shared" si="14"/>
        <v>2019</v>
      </c>
      <c r="K59" s="366">
        <f t="shared" si="14"/>
        <v>2020</v>
      </c>
      <c r="L59" s="366">
        <f t="shared" si="14"/>
        <v>2021</v>
      </c>
      <c r="M59" s="366">
        <f t="shared" si="14"/>
        <v>2022</v>
      </c>
    </row>
    <row r="60" spans="1:13" ht="11.25" customHeight="1" x14ac:dyDescent="0.25">
      <c r="B60" s="381" t="s">
        <v>122</v>
      </c>
      <c r="C60" s="333" t="s">
        <v>123</v>
      </c>
      <c r="D60" s="382" t="s">
        <v>124</v>
      </c>
      <c r="E60" s="337" t="s">
        <v>89</v>
      </c>
      <c r="F60" s="340"/>
      <c r="G60" s="399" t="s">
        <v>125</v>
      </c>
      <c r="H60" s="339">
        <v>0</v>
      </c>
      <c r="I60" s="339">
        <v>-450</v>
      </c>
      <c r="J60" s="339">
        <v>-450</v>
      </c>
      <c r="K60" s="339">
        <v>0</v>
      </c>
      <c r="L60" s="339">
        <v>0</v>
      </c>
      <c r="M60" s="339">
        <v>0</v>
      </c>
    </row>
    <row r="61" spans="1:13" ht="23.25" x14ac:dyDescent="0.25">
      <c r="B61" s="381" t="s">
        <v>126</v>
      </c>
      <c r="C61" s="383" t="s">
        <v>127</v>
      </c>
      <c r="D61" s="382" t="s">
        <v>128</v>
      </c>
      <c r="E61" s="337" t="s">
        <v>11</v>
      </c>
      <c r="F61" s="340"/>
      <c r="G61" s="616" t="s">
        <v>129</v>
      </c>
      <c r="H61" s="339">
        <v>0.377</v>
      </c>
      <c r="I61" s="339">
        <v>0.377</v>
      </c>
      <c r="J61" s="339">
        <v>0.377</v>
      </c>
      <c r="K61" s="339">
        <v>0.377</v>
      </c>
      <c r="L61" s="339">
        <v>0.377</v>
      </c>
      <c r="M61" s="339">
        <v>0.377</v>
      </c>
    </row>
    <row r="62" spans="1:13" x14ac:dyDescent="0.25">
      <c r="B62" s="381" t="s">
        <v>130</v>
      </c>
      <c r="C62" s="333" t="s">
        <v>492</v>
      </c>
      <c r="D62" s="382" t="s">
        <v>131</v>
      </c>
      <c r="E62" s="337" t="s">
        <v>11</v>
      </c>
      <c r="F62" s="340"/>
      <c r="G62" s="407" t="s">
        <v>132</v>
      </c>
      <c r="H62" s="339">
        <v>0</v>
      </c>
      <c r="I62" s="339">
        <v>0</v>
      </c>
      <c r="J62" s="339">
        <v>0</v>
      </c>
      <c r="K62" s="339">
        <v>0</v>
      </c>
      <c r="L62" s="339">
        <v>0</v>
      </c>
      <c r="M62" s="339">
        <v>0</v>
      </c>
    </row>
    <row r="63" spans="1:13" x14ac:dyDescent="0.25">
      <c r="B63" s="381" t="s">
        <v>133</v>
      </c>
      <c r="C63" s="333" t="s">
        <v>134</v>
      </c>
      <c r="D63" s="333" t="s">
        <v>135</v>
      </c>
      <c r="E63" s="337" t="s">
        <v>89</v>
      </c>
      <c r="F63" s="340"/>
      <c r="G63" s="407" t="s">
        <v>136</v>
      </c>
      <c r="H63" s="339">
        <v>0</v>
      </c>
      <c r="I63" s="339">
        <v>0</v>
      </c>
      <c r="J63" s="339">
        <v>0</v>
      </c>
      <c r="K63" s="339">
        <v>0</v>
      </c>
      <c r="L63" s="339">
        <v>0</v>
      </c>
      <c r="M63" s="339">
        <v>0</v>
      </c>
    </row>
    <row r="64" spans="1:13" x14ac:dyDescent="0.25">
      <c r="B64" s="381" t="s">
        <v>137</v>
      </c>
      <c r="C64" s="336">
        <v>253800</v>
      </c>
      <c r="D64" s="333" t="s">
        <v>131</v>
      </c>
      <c r="E64" s="337" t="s">
        <v>11</v>
      </c>
      <c r="F64" s="340"/>
      <c r="G64" s="407" t="s">
        <v>138</v>
      </c>
      <c r="H64" s="339">
        <v>0</v>
      </c>
      <c r="I64" s="339">
        <v>0</v>
      </c>
      <c r="J64" s="339">
        <v>0</v>
      </c>
      <c r="K64" s="339">
        <v>0</v>
      </c>
      <c r="L64" s="339">
        <v>0</v>
      </c>
      <c r="M64" s="339">
        <v>0</v>
      </c>
    </row>
    <row r="65" spans="2:13" x14ac:dyDescent="0.25">
      <c r="B65" s="381" t="s">
        <v>139</v>
      </c>
      <c r="C65" s="336">
        <v>150</v>
      </c>
      <c r="D65" s="333" t="s">
        <v>135</v>
      </c>
      <c r="E65" s="337" t="s">
        <v>89</v>
      </c>
      <c r="F65" s="340"/>
      <c r="G65" s="407" t="s">
        <v>140</v>
      </c>
      <c r="H65" s="339">
        <v>0</v>
      </c>
      <c r="I65" s="339">
        <v>0</v>
      </c>
      <c r="J65" s="339">
        <v>0</v>
      </c>
      <c r="K65" s="339">
        <v>0</v>
      </c>
      <c r="L65" s="339">
        <v>0</v>
      </c>
      <c r="M65" s="339">
        <v>0</v>
      </c>
    </row>
    <row r="66" spans="2:13" x14ac:dyDescent="0.25">
      <c r="B66" s="381" t="s">
        <v>141</v>
      </c>
      <c r="C66" s="333" t="s">
        <v>142</v>
      </c>
      <c r="D66" s="333" t="s">
        <v>131</v>
      </c>
      <c r="E66" s="337" t="s">
        <v>11</v>
      </c>
      <c r="F66" s="340"/>
      <c r="G66" s="407" t="s">
        <v>143</v>
      </c>
      <c r="H66" s="339">
        <v>0</v>
      </c>
      <c r="I66" s="339">
        <v>0</v>
      </c>
      <c r="J66" s="339">
        <v>0</v>
      </c>
      <c r="K66" s="339">
        <v>0</v>
      </c>
      <c r="L66" s="339">
        <v>0</v>
      </c>
      <c r="M66" s="339">
        <v>0</v>
      </c>
    </row>
    <row r="67" spans="2:13" x14ac:dyDescent="0.25">
      <c r="B67" s="381" t="s">
        <v>144</v>
      </c>
      <c r="C67" s="333" t="s">
        <v>493</v>
      </c>
      <c r="D67" s="333" t="s">
        <v>135</v>
      </c>
      <c r="E67" s="337" t="s">
        <v>89</v>
      </c>
      <c r="F67" s="340"/>
      <c r="G67" s="407" t="s">
        <v>145</v>
      </c>
      <c r="H67" s="339">
        <v>0</v>
      </c>
      <c r="I67" s="339">
        <v>0</v>
      </c>
      <c r="J67" s="339">
        <v>0</v>
      </c>
      <c r="K67" s="339">
        <v>0</v>
      </c>
      <c r="L67" s="339">
        <v>0</v>
      </c>
      <c r="M67" s="339">
        <v>0</v>
      </c>
    </row>
    <row r="68" spans="2:13" x14ac:dyDescent="0.25">
      <c r="B68" s="381" t="s">
        <v>146</v>
      </c>
      <c r="C68" s="333" t="s">
        <v>493</v>
      </c>
      <c r="D68" s="333" t="s">
        <v>131</v>
      </c>
      <c r="E68" s="337" t="s">
        <v>11</v>
      </c>
      <c r="F68" s="340"/>
      <c r="G68" s="407" t="s">
        <v>147</v>
      </c>
      <c r="H68" s="339">
        <v>0</v>
      </c>
      <c r="I68" s="339">
        <v>0</v>
      </c>
      <c r="J68" s="339">
        <v>0</v>
      </c>
      <c r="K68" s="339">
        <v>0</v>
      </c>
      <c r="L68" s="339">
        <v>0</v>
      </c>
      <c r="M68" s="339">
        <v>0</v>
      </c>
    </row>
    <row r="69" spans="2:13" x14ac:dyDescent="0.25">
      <c r="B69" s="381" t="s">
        <v>148</v>
      </c>
      <c r="C69" s="333" t="s">
        <v>149</v>
      </c>
      <c r="D69" s="333" t="s">
        <v>135</v>
      </c>
      <c r="E69" s="337" t="s">
        <v>89</v>
      </c>
      <c r="F69" s="340"/>
      <c r="G69" s="407" t="s">
        <v>150</v>
      </c>
      <c r="H69" s="339">
        <v>0</v>
      </c>
      <c r="I69" s="339">
        <v>0</v>
      </c>
      <c r="J69" s="339">
        <v>0</v>
      </c>
      <c r="K69" s="339">
        <v>0</v>
      </c>
      <c r="L69" s="339">
        <v>0</v>
      </c>
      <c r="M69" s="339">
        <v>0</v>
      </c>
    </row>
    <row r="70" spans="2:13" x14ac:dyDescent="0.25">
      <c r="B70" s="381" t="s">
        <v>151</v>
      </c>
      <c r="C70" s="333" t="s">
        <v>149</v>
      </c>
      <c r="D70" s="333" t="s">
        <v>131</v>
      </c>
      <c r="E70" s="337" t="s">
        <v>11</v>
      </c>
      <c r="F70" s="340"/>
      <c r="G70" s="407" t="s">
        <v>152</v>
      </c>
      <c r="H70" s="339">
        <v>0</v>
      </c>
      <c r="I70" s="339">
        <v>0</v>
      </c>
      <c r="J70" s="339">
        <v>0</v>
      </c>
      <c r="K70" s="339">
        <v>0</v>
      </c>
      <c r="L70" s="339">
        <v>0</v>
      </c>
      <c r="M70" s="339">
        <v>0</v>
      </c>
    </row>
    <row r="71" spans="2:13" x14ac:dyDescent="0.25">
      <c r="B71" s="381" t="s">
        <v>153</v>
      </c>
      <c r="C71" s="333" t="s">
        <v>142</v>
      </c>
      <c r="D71" s="333" t="s">
        <v>131</v>
      </c>
      <c r="E71" s="337" t="s">
        <v>11</v>
      </c>
      <c r="F71" s="340"/>
      <c r="G71" s="407" t="s">
        <v>154</v>
      </c>
      <c r="H71" s="339">
        <v>0</v>
      </c>
      <c r="I71" s="339">
        <v>0</v>
      </c>
      <c r="J71" s="339">
        <v>0</v>
      </c>
      <c r="K71" s="339">
        <v>0</v>
      </c>
      <c r="L71" s="339">
        <v>0</v>
      </c>
      <c r="M71" s="339">
        <v>0</v>
      </c>
    </row>
    <row r="72" spans="2:13" x14ac:dyDescent="0.25">
      <c r="B72" s="381" t="s">
        <v>155</v>
      </c>
      <c r="C72" s="355" t="s">
        <v>156</v>
      </c>
      <c r="D72" s="333"/>
      <c r="E72" s="337" t="s">
        <v>72</v>
      </c>
      <c r="F72" s="340"/>
      <c r="G72" s="407" t="s">
        <v>107</v>
      </c>
      <c r="H72" s="339">
        <v>0</v>
      </c>
      <c r="I72" s="339">
        <v>0</v>
      </c>
      <c r="J72" s="339">
        <v>0</v>
      </c>
      <c r="K72" s="339">
        <v>0</v>
      </c>
      <c r="L72" s="339">
        <v>0</v>
      </c>
      <c r="M72" s="339">
        <v>0</v>
      </c>
    </row>
    <row r="73" spans="2:13" x14ac:dyDescent="0.25">
      <c r="B73" s="381" t="s">
        <v>157</v>
      </c>
      <c r="D73" s="333"/>
      <c r="E73" s="340"/>
      <c r="F73" s="340"/>
      <c r="G73" s="395" t="s">
        <v>158</v>
      </c>
      <c r="H73" s="343">
        <f t="shared" ref="H73:M73" si="15">SUM(H60:H72)</f>
        <v>0.377</v>
      </c>
      <c r="I73" s="343">
        <f t="shared" si="15"/>
        <v>-449.62299999999999</v>
      </c>
      <c r="J73" s="343">
        <f t="shared" si="15"/>
        <v>-449.62299999999999</v>
      </c>
      <c r="K73" s="343">
        <f t="shared" si="15"/>
        <v>0.377</v>
      </c>
      <c r="L73" s="343">
        <f t="shared" si="15"/>
        <v>0.377</v>
      </c>
      <c r="M73" s="343">
        <f t="shared" si="15"/>
        <v>0.377</v>
      </c>
    </row>
    <row r="74" spans="2:13" x14ac:dyDescent="0.25">
      <c r="D74" s="333"/>
    </row>
    <row r="75" spans="2:13" x14ac:dyDescent="0.25">
      <c r="D75" s="379" t="s">
        <v>120</v>
      </c>
      <c r="E75" s="380" t="s">
        <v>3</v>
      </c>
      <c r="F75" s="334"/>
      <c r="G75" s="390" t="s">
        <v>159</v>
      </c>
      <c r="H75" s="366">
        <f t="shared" ref="H75:M75" si="16">H59</f>
        <v>2017</v>
      </c>
      <c r="I75" s="366">
        <f t="shared" si="16"/>
        <v>2018</v>
      </c>
      <c r="J75" s="366">
        <f t="shared" si="16"/>
        <v>2019</v>
      </c>
      <c r="K75" s="366">
        <f t="shared" si="16"/>
        <v>2020</v>
      </c>
      <c r="L75" s="366">
        <f t="shared" si="16"/>
        <v>2021</v>
      </c>
      <c r="M75" s="366">
        <f t="shared" si="16"/>
        <v>2022</v>
      </c>
    </row>
    <row r="76" spans="2:13" x14ac:dyDescent="0.25">
      <c r="B76" s="311" t="s">
        <v>160</v>
      </c>
      <c r="C76" s="333" t="s">
        <v>161</v>
      </c>
      <c r="D76" s="333" t="s">
        <v>128</v>
      </c>
      <c r="E76" s="337" t="s">
        <v>11</v>
      </c>
      <c r="G76" s="399" t="s">
        <v>162</v>
      </c>
      <c r="H76" s="339">
        <v>0</v>
      </c>
      <c r="I76" s="339">
        <v>0</v>
      </c>
      <c r="J76" s="339">
        <v>0</v>
      </c>
      <c r="K76" s="339">
        <v>0</v>
      </c>
      <c r="L76" s="339">
        <v>0</v>
      </c>
      <c r="M76" s="339">
        <v>0</v>
      </c>
    </row>
    <row r="77" spans="2:13" x14ac:dyDescent="0.25">
      <c r="B77" s="311" t="s">
        <v>163</v>
      </c>
      <c r="C77" s="333" t="s">
        <v>161</v>
      </c>
      <c r="D77" s="333" t="s">
        <v>124</v>
      </c>
      <c r="E77" s="337" t="s">
        <v>89</v>
      </c>
      <c r="F77" s="340"/>
      <c r="G77" s="407" t="s">
        <v>164</v>
      </c>
      <c r="H77" s="339">
        <v>0</v>
      </c>
      <c r="I77" s="339">
        <v>0</v>
      </c>
      <c r="J77" s="339">
        <v>0</v>
      </c>
      <c r="K77" s="339">
        <v>0</v>
      </c>
      <c r="L77" s="339">
        <v>0</v>
      </c>
      <c r="M77" s="339">
        <v>0</v>
      </c>
    </row>
    <row r="78" spans="2:13" x14ac:dyDescent="0.25">
      <c r="B78" s="311" t="s">
        <v>165</v>
      </c>
      <c r="C78" s="333" t="s">
        <v>166</v>
      </c>
      <c r="D78" s="333" t="s">
        <v>131</v>
      </c>
      <c r="E78" s="337" t="s">
        <v>11</v>
      </c>
      <c r="G78" s="407" t="s">
        <v>167</v>
      </c>
      <c r="H78" s="339">
        <v>0</v>
      </c>
      <c r="I78" s="339">
        <v>0</v>
      </c>
      <c r="J78" s="339">
        <v>0</v>
      </c>
      <c r="K78" s="339">
        <v>0</v>
      </c>
      <c r="L78" s="339">
        <v>0</v>
      </c>
      <c r="M78" s="339">
        <v>0</v>
      </c>
    </row>
    <row r="79" spans="2:13" x14ac:dyDescent="0.25">
      <c r="B79" s="311" t="s">
        <v>168</v>
      </c>
      <c r="C79" s="333" t="s">
        <v>166</v>
      </c>
      <c r="D79" s="333" t="s">
        <v>135</v>
      </c>
      <c r="E79" s="337" t="s">
        <v>89</v>
      </c>
      <c r="F79" s="340"/>
      <c r="G79" s="407" t="s">
        <v>169</v>
      </c>
      <c r="H79" s="339">
        <v>0</v>
      </c>
      <c r="I79" s="339">
        <v>0</v>
      </c>
      <c r="J79" s="339">
        <v>0</v>
      </c>
      <c r="K79" s="339">
        <v>0</v>
      </c>
      <c r="L79" s="339">
        <v>0</v>
      </c>
      <c r="M79" s="339">
        <v>0</v>
      </c>
    </row>
    <row r="80" spans="2:13" x14ac:dyDescent="0.25">
      <c r="B80" s="311" t="s">
        <v>170</v>
      </c>
      <c r="C80" s="333" t="s">
        <v>171</v>
      </c>
      <c r="D80" s="333" t="s">
        <v>135</v>
      </c>
      <c r="E80" s="337" t="s">
        <v>89</v>
      </c>
      <c r="F80" s="340"/>
      <c r="G80" s="407" t="s">
        <v>172</v>
      </c>
      <c r="H80" s="339">
        <v>0</v>
      </c>
      <c r="I80" s="339">
        <v>0</v>
      </c>
      <c r="J80" s="339">
        <v>0</v>
      </c>
      <c r="K80" s="339">
        <v>0</v>
      </c>
      <c r="L80" s="339">
        <v>0</v>
      </c>
      <c r="M80" s="339">
        <v>0</v>
      </c>
    </row>
    <row r="81" spans="1:13" x14ac:dyDescent="0.25">
      <c r="B81" s="311" t="s">
        <v>173</v>
      </c>
      <c r="C81" s="333" t="s">
        <v>174</v>
      </c>
      <c r="D81" s="333" t="s">
        <v>135</v>
      </c>
      <c r="E81" s="337" t="s">
        <v>89</v>
      </c>
      <c r="F81" s="340"/>
      <c r="G81" s="407" t="s">
        <v>175</v>
      </c>
      <c r="H81" s="339">
        <v>0</v>
      </c>
      <c r="I81" s="339">
        <v>0</v>
      </c>
      <c r="J81" s="339">
        <v>0</v>
      </c>
      <c r="K81" s="339">
        <v>0</v>
      </c>
      <c r="L81" s="339">
        <v>0</v>
      </c>
      <c r="M81" s="339">
        <v>0</v>
      </c>
    </row>
    <row r="82" spans="1:13" x14ac:dyDescent="0.25">
      <c r="B82" s="311" t="s">
        <v>176</v>
      </c>
      <c r="C82" s="333" t="s">
        <v>177</v>
      </c>
      <c r="D82" s="333" t="s">
        <v>135</v>
      </c>
      <c r="E82" s="337" t="s">
        <v>89</v>
      </c>
      <c r="F82" s="340"/>
      <c r="G82" s="407" t="s">
        <v>178</v>
      </c>
      <c r="H82" s="339">
        <v>0</v>
      </c>
      <c r="I82" s="339">
        <v>0</v>
      </c>
      <c r="J82" s="339">
        <v>0</v>
      </c>
      <c r="K82" s="339">
        <v>0</v>
      </c>
      <c r="L82" s="339">
        <v>0</v>
      </c>
      <c r="M82" s="339">
        <v>0</v>
      </c>
    </row>
    <row r="83" spans="1:13" x14ac:dyDescent="0.25">
      <c r="B83" s="311" t="s">
        <v>179</v>
      </c>
      <c r="C83" s="333" t="s">
        <v>52</v>
      </c>
      <c r="D83" s="333" t="s">
        <v>135</v>
      </c>
      <c r="E83" s="337" t="s">
        <v>89</v>
      </c>
      <c r="F83" s="340"/>
      <c r="G83" s="407" t="s">
        <v>180</v>
      </c>
      <c r="H83" s="339">
        <v>0</v>
      </c>
      <c r="I83" s="339">
        <v>0</v>
      </c>
      <c r="J83" s="339">
        <v>0</v>
      </c>
      <c r="K83" s="339">
        <v>0</v>
      </c>
      <c r="L83" s="339">
        <v>0</v>
      </c>
      <c r="M83" s="339">
        <v>0</v>
      </c>
    </row>
    <row r="84" spans="1:13" x14ac:dyDescent="0.25">
      <c r="B84" s="311" t="s">
        <v>181</v>
      </c>
      <c r="C84" s="333" t="s">
        <v>182</v>
      </c>
      <c r="D84" s="333" t="s">
        <v>131</v>
      </c>
      <c r="E84" s="337" t="s">
        <v>11</v>
      </c>
      <c r="G84" s="407" t="s">
        <v>183</v>
      </c>
      <c r="H84" s="339">
        <v>0</v>
      </c>
      <c r="I84" s="339">
        <v>0</v>
      </c>
      <c r="J84" s="339">
        <v>0</v>
      </c>
      <c r="K84" s="339">
        <v>0</v>
      </c>
      <c r="L84" s="339">
        <v>0</v>
      </c>
      <c r="M84" s="339">
        <v>0</v>
      </c>
    </row>
    <row r="85" spans="1:13" x14ac:dyDescent="0.25">
      <c r="B85" s="311" t="s">
        <v>184</v>
      </c>
      <c r="C85" s="333" t="s">
        <v>182</v>
      </c>
      <c r="D85" s="333" t="s">
        <v>135</v>
      </c>
      <c r="E85" s="337" t="s">
        <v>89</v>
      </c>
      <c r="F85" s="340"/>
      <c r="G85" s="407" t="s">
        <v>494</v>
      </c>
      <c r="H85" s="339">
        <v>0</v>
      </c>
      <c r="I85" s="339">
        <v>0</v>
      </c>
      <c r="J85" s="339">
        <v>0</v>
      </c>
      <c r="K85" s="339">
        <v>0</v>
      </c>
      <c r="L85" s="339">
        <v>0</v>
      </c>
      <c r="M85" s="339">
        <v>0</v>
      </c>
    </row>
    <row r="86" spans="1:13" x14ac:dyDescent="0.25">
      <c r="B86" s="311" t="s">
        <v>185</v>
      </c>
      <c r="C86" s="336">
        <v>68</v>
      </c>
      <c r="D86" s="333" t="s">
        <v>135</v>
      </c>
      <c r="E86" s="337" t="s">
        <v>89</v>
      </c>
      <c r="F86" s="340"/>
      <c r="G86" s="403" t="s">
        <v>111</v>
      </c>
      <c r="H86" s="339">
        <v>0</v>
      </c>
      <c r="I86" s="339">
        <v>0</v>
      </c>
      <c r="J86" s="339">
        <v>0</v>
      </c>
      <c r="K86" s="339">
        <v>0</v>
      </c>
      <c r="L86" s="339">
        <v>0</v>
      </c>
      <c r="M86" s="339">
        <v>0</v>
      </c>
    </row>
    <row r="87" spans="1:13" x14ac:dyDescent="0.25">
      <c r="B87" s="311" t="s">
        <v>186</v>
      </c>
      <c r="G87" s="403" t="s">
        <v>158</v>
      </c>
      <c r="H87" s="343">
        <f t="shared" ref="H87:M87" si="17">SUM(H76:H86)</f>
        <v>0</v>
      </c>
      <c r="I87" s="343">
        <f t="shared" si="17"/>
        <v>0</v>
      </c>
      <c r="J87" s="343">
        <f t="shared" si="17"/>
        <v>0</v>
      </c>
      <c r="K87" s="343">
        <f t="shared" si="17"/>
        <v>0</v>
      </c>
      <c r="L87" s="343">
        <f t="shared" si="17"/>
        <v>0</v>
      </c>
      <c r="M87" s="343">
        <f t="shared" si="17"/>
        <v>0</v>
      </c>
    </row>
    <row r="89" spans="1:13" x14ac:dyDescent="0.25">
      <c r="A89" s="341" t="s">
        <v>0</v>
      </c>
      <c r="D89" s="768" t="s">
        <v>187</v>
      </c>
      <c r="E89" s="768"/>
      <c r="G89" s="390" t="s">
        <v>495</v>
      </c>
      <c r="H89" s="366">
        <f t="shared" ref="H89:M89" si="18">H34</f>
        <v>2017</v>
      </c>
      <c r="I89" s="366">
        <f t="shared" si="18"/>
        <v>2018</v>
      </c>
      <c r="J89" s="366">
        <f t="shared" si="18"/>
        <v>2019</v>
      </c>
      <c r="K89" s="366">
        <f t="shared" si="18"/>
        <v>2020</v>
      </c>
      <c r="L89" s="366">
        <f t="shared" si="18"/>
        <v>2021</v>
      </c>
      <c r="M89" s="366">
        <f t="shared" si="18"/>
        <v>2022</v>
      </c>
    </row>
    <row r="90" spans="1:13" x14ac:dyDescent="0.25">
      <c r="A90" s="333" t="s">
        <v>496</v>
      </c>
      <c r="B90" s="311" t="s">
        <v>188</v>
      </c>
      <c r="C90" s="333" t="s">
        <v>497</v>
      </c>
      <c r="E90" s="406"/>
      <c r="G90" s="399" t="s">
        <v>498</v>
      </c>
      <c r="H90" s="343">
        <f t="shared" ref="H90:M90" si="19">H48+H73</f>
        <v>-38.622999999999998</v>
      </c>
      <c r="I90" s="343">
        <f t="shared" si="19"/>
        <v>-481.62299999999999</v>
      </c>
      <c r="J90" s="343">
        <f t="shared" si="19"/>
        <v>-480.62299999999999</v>
      </c>
      <c r="K90" s="343">
        <f t="shared" si="19"/>
        <v>-35.622999999999998</v>
      </c>
      <c r="L90" s="343">
        <f t="shared" si="19"/>
        <v>840.37699999999995</v>
      </c>
      <c r="M90" s="343">
        <f t="shared" si="19"/>
        <v>-76.623000000000005</v>
      </c>
    </row>
    <row r="91" spans="1:13" x14ac:dyDescent="0.25">
      <c r="A91" s="333" t="s">
        <v>499</v>
      </c>
      <c r="B91" s="311" t="s">
        <v>189</v>
      </c>
      <c r="C91" s="333" t="s">
        <v>190</v>
      </c>
      <c r="E91" s="406"/>
      <c r="G91" s="399" t="s">
        <v>191</v>
      </c>
      <c r="H91" s="343">
        <f t="shared" ref="H91:M91" si="20">H35+H40+H43-H47</f>
        <v>-12</v>
      </c>
      <c r="I91" s="343">
        <f t="shared" si="20"/>
        <v>-5</v>
      </c>
      <c r="J91" s="343">
        <f t="shared" si="20"/>
        <v>-5</v>
      </c>
      <c r="K91" s="343">
        <f t="shared" si="20"/>
        <v>-5</v>
      </c>
      <c r="L91" s="343">
        <f t="shared" si="20"/>
        <v>912</v>
      </c>
      <c r="M91" s="343">
        <f t="shared" si="20"/>
        <v>-5</v>
      </c>
    </row>
    <row r="92" spans="1:13" x14ac:dyDescent="0.25">
      <c r="A92" s="333" t="s">
        <v>500</v>
      </c>
      <c r="B92" s="311" t="s">
        <v>192</v>
      </c>
      <c r="C92" s="333" t="s">
        <v>501</v>
      </c>
      <c r="E92" s="402">
        <v>0</v>
      </c>
      <c r="G92" s="403" t="s">
        <v>193</v>
      </c>
      <c r="H92" s="617">
        <f t="shared" ref="H92:M92" si="21">H91/H35</f>
        <v>-5.7971014492753624E-2</v>
      </c>
      <c r="I92" s="617">
        <f t="shared" si="21"/>
        <v>-2.2522522522522521E-2</v>
      </c>
      <c r="J92" s="617">
        <f t="shared" si="21"/>
        <v>-2.2522522522522521E-2</v>
      </c>
      <c r="K92" s="617">
        <f t="shared" si="21"/>
        <v>-2.2522522522522521E-2</v>
      </c>
      <c r="L92" s="617">
        <f t="shared" si="21"/>
        <v>0.8</v>
      </c>
      <c r="M92" s="617">
        <f t="shared" si="21"/>
        <v>-2.2421524663677129E-2</v>
      </c>
    </row>
    <row r="93" spans="1:13" x14ac:dyDescent="0.25">
      <c r="A93" s="333" t="s">
        <v>502</v>
      </c>
      <c r="B93" s="311" t="s">
        <v>194</v>
      </c>
      <c r="C93" s="333" t="s">
        <v>195</v>
      </c>
      <c r="E93" s="406"/>
      <c r="G93" s="407" t="s">
        <v>196</v>
      </c>
      <c r="H93" s="408">
        <f t="shared" ref="H93:M93" si="22">-H35/(H40+H43)</f>
        <v>0.84146341463414631</v>
      </c>
      <c r="I93" s="408">
        <f t="shared" si="22"/>
        <v>0.87401574803149606</v>
      </c>
      <c r="J93" s="408">
        <f t="shared" si="22"/>
        <v>0.86046511627906974</v>
      </c>
      <c r="K93" s="408">
        <f t="shared" si="22"/>
        <v>0.86046511627906974</v>
      </c>
      <c r="L93" s="408">
        <f t="shared" si="22"/>
        <v>3.8</v>
      </c>
      <c r="M93" s="408">
        <f t="shared" si="22"/>
        <v>0.74333333333333329</v>
      </c>
    </row>
    <row r="94" spans="1:13" x14ac:dyDescent="0.25">
      <c r="A94" s="333" t="s">
        <v>503</v>
      </c>
      <c r="B94" s="311" t="s">
        <v>197</v>
      </c>
      <c r="C94" s="333" t="s">
        <v>198</v>
      </c>
      <c r="E94" s="406"/>
      <c r="G94" s="399" t="s">
        <v>199</v>
      </c>
      <c r="H94" s="401">
        <f t="shared" ref="H94:M94" si="23">H48</f>
        <v>-39</v>
      </c>
      <c r="I94" s="401">
        <f t="shared" si="23"/>
        <v>-32</v>
      </c>
      <c r="J94" s="401">
        <f t="shared" si="23"/>
        <v>-31</v>
      </c>
      <c r="K94" s="401">
        <f t="shared" si="23"/>
        <v>-36</v>
      </c>
      <c r="L94" s="401">
        <f t="shared" si="23"/>
        <v>840</v>
      </c>
      <c r="M94" s="401">
        <f t="shared" si="23"/>
        <v>-77</v>
      </c>
    </row>
    <row r="95" spans="1:13" x14ac:dyDescent="0.25">
      <c r="A95" s="333" t="s">
        <v>504</v>
      </c>
      <c r="B95" s="311" t="s">
        <v>200</v>
      </c>
      <c r="C95" s="333" t="s">
        <v>201</v>
      </c>
      <c r="D95" s="402">
        <v>-0.3</v>
      </c>
      <c r="E95" s="402">
        <v>0</v>
      </c>
      <c r="G95" s="407" t="s">
        <v>202</v>
      </c>
      <c r="H95" s="618">
        <f t="shared" ref="H95:M95" si="24">H48/H35</f>
        <v>-0.18840579710144928</v>
      </c>
      <c r="I95" s="618">
        <f t="shared" si="24"/>
        <v>-0.14414414414414414</v>
      </c>
      <c r="J95" s="618">
        <f t="shared" si="24"/>
        <v>-0.13963963963963963</v>
      </c>
      <c r="K95" s="618">
        <f t="shared" si="24"/>
        <v>-0.16216216216216217</v>
      </c>
      <c r="L95" s="618">
        <f t="shared" si="24"/>
        <v>0.73684210526315785</v>
      </c>
      <c r="M95" s="618">
        <f t="shared" si="24"/>
        <v>-0.3452914798206278</v>
      </c>
    </row>
    <row r="96" spans="1:13" x14ac:dyDescent="0.25">
      <c r="A96" s="333" t="s">
        <v>505</v>
      </c>
      <c r="B96" s="311" t="s">
        <v>203</v>
      </c>
      <c r="C96" s="333" t="s">
        <v>204</v>
      </c>
      <c r="E96" s="406"/>
      <c r="G96" s="403" t="s">
        <v>205</v>
      </c>
      <c r="H96" s="401">
        <f t="shared" ref="H96:M96" si="25">H31+H32</f>
        <v>-38</v>
      </c>
      <c r="I96" s="401">
        <f t="shared" si="25"/>
        <v>-70</v>
      </c>
      <c r="J96" s="401">
        <f t="shared" si="25"/>
        <v>-101</v>
      </c>
      <c r="K96" s="401">
        <f t="shared" si="25"/>
        <v>-137</v>
      </c>
      <c r="L96" s="401">
        <f t="shared" si="25"/>
        <v>703</v>
      </c>
      <c r="M96" s="401">
        <f t="shared" si="25"/>
        <v>629</v>
      </c>
    </row>
    <row r="97" spans="1:13" x14ac:dyDescent="0.25">
      <c r="G97" s="619" t="s">
        <v>206</v>
      </c>
      <c r="H97" s="366">
        <f t="shared" ref="H97:M97" si="26">H89</f>
        <v>2017</v>
      </c>
      <c r="I97" s="366">
        <f t="shared" si="26"/>
        <v>2018</v>
      </c>
      <c r="J97" s="366">
        <f t="shared" si="26"/>
        <v>2019</v>
      </c>
      <c r="K97" s="366">
        <f t="shared" si="26"/>
        <v>2020</v>
      </c>
      <c r="L97" s="366">
        <f t="shared" si="26"/>
        <v>2021</v>
      </c>
      <c r="M97" s="366">
        <f t="shared" si="26"/>
        <v>2022</v>
      </c>
    </row>
    <row r="98" spans="1:13" x14ac:dyDescent="0.25">
      <c r="A98" s="333" t="s">
        <v>506</v>
      </c>
      <c r="B98" s="311" t="s">
        <v>207</v>
      </c>
      <c r="C98" s="336" t="s">
        <v>208</v>
      </c>
      <c r="E98" s="406"/>
      <c r="F98" s="411"/>
      <c r="G98" s="399" t="s">
        <v>209</v>
      </c>
      <c r="H98" s="343">
        <f t="shared" ref="H98:M98" si="27">H8+H14</f>
        <v>65</v>
      </c>
      <c r="I98" s="343">
        <f t="shared" si="27"/>
        <v>28</v>
      </c>
      <c r="J98" s="343">
        <f t="shared" si="27"/>
        <v>10</v>
      </c>
      <c r="K98" s="343">
        <f t="shared" si="27"/>
        <v>10</v>
      </c>
      <c r="L98" s="343">
        <f t="shared" si="27"/>
        <v>11</v>
      </c>
      <c r="M98" s="343">
        <f t="shared" si="27"/>
        <v>9</v>
      </c>
    </row>
    <row r="99" spans="1:13" x14ac:dyDescent="0.25">
      <c r="A99" s="333" t="s">
        <v>507</v>
      </c>
      <c r="B99" s="311" t="s">
        <v>210</v>
      </c>
      <c r="C99" s="333" t="s">
        <v>42</v>
      </c>
      <c r="E99" s="406"/>
      <c r="F99" s="411"/>
      <c r="G99" s="407" t="s">
        <v>211</v>
      </c>
      <c r="H99" s="401">
        <f t="shared" ref="H99:M99" si="28">H21</f>
        <v>91</v>
      </c>
      <c r="I99" s="401">
        <f t="shared" si="28"/>
        <v>48</v>
      </c>
      <c r="J99" s="401">
        <f t="shared" si="28"/>
        <v>481</v>
      </c>
      <c r="K99" s="401">
        <f t="shared" si="28"/>
        <v>936</v>
      </c>
      <c r="L99" s="401">
        <f t="shared" si="28"/>
        <v>24</v>
      </c>
      <c r="M99" s="401">
        <f t="shared" si="28"/>
        <v>24</v>
      </c>
    </row>
    <row r="100" spans="1:13" x14ac:dyDescent="0.25">
      <c r="A100" s="333" t="s">
        <v>508</v>
      </c>
      <c r="B100" s="311" t="s">
        <v>509</v>
      </c>
      <c r="C100" s="333" t="s">
        <v>510</v>
      </c>
      <c r="E100" s="406"/>
      <c r="F100" s="411"/>
      <c r="G100" s="407" t="s">
        <v>212</v>
      </c>
      <c r="H100" s="343">
        <f t="shared" ref="H100:M100" si="29">H99-H98</f>
        <v>26</v>
      </c>
      <c r="I100" s="343">
        <f t="shared" si="29"/>
        <v>20</v>
      </c>
      <c r="J100" s="343">
        <f t="shared" si="29"/>
        <v>471</v>
      </c>
      <c r="K100" s="343">
        <f t="shared" si="29"/>
        <v>926</v>
      </c>
      <c r="L100" s="343">
        <f t="shared" si="29"/>
        <v>13</v>
      </c>
      <c r="M100" s="343">
        <f t="shared" si="29"/>
        <v>15</v>
      </c>
    </row>
    <row r="101" spans="1:13" x14ac:dyDescent="0.25">
      <c r="A101" s="333" t="s">
        <v>511</v>
      </c>
      <c r="B101" s="311" t="s">
        <v>512</v>
      </c>
      <c r="C101" s="333" t="s">
        <v>513</v>
      </c>
      <c r="E101" s="402">
        <v>0.4</v>
      </c>
      <c r="F101" s="411"/>
      <c r="G101" s="407" t="s">
        <v>213</v>
      </c>
      <c r="H101" s="617">
        <f t="shared" ref="H101:M101" si="30">H100/H35</f>
        <v>0.12560386473429952</v>
      </c>
      <c r="I101" s="617">
        <f t="shared" si="30"/>
        <v>9.0090090090090086E-2</v>
      </c>
      <c r="J101" s="617">
        <f t="shared" si="30"/>
        <v>2.1216216216216215</v>
      </c>
      <c r="K101" s="617">
        <f t="shared" si="30"/>
        <v>4.1711711711711708</v>
      </c>
      <c r="L101" s="617">
        <f t="shared" si="30"/>
        <v>1.1403508771929825E-2</v>
      </c>
      <c r="M101" s="617">
        <f t="shared" si="30"/>
        <v>6.726457399103139E-2</v>
      </c>
    </row>
    <row r="102" spans="1:13" x14ac:dyDescent="0.25">
      <c r="A102" s="333" t="s">
        <v>514</v>
      </c>
      <c r="B102" s="311" t="s">
        <v>214</v>
      </c>
      <c r="C102" s="333" t="s">
        <v>515</v>
      </c>
      <c r="D102" s="414">
        <v>0</v>
      </c>
      <c r="E102" s="414">
        <v>5</v>
      </c>
      <c r="F102" s="411"/>
      <c r="G102" s="407" t="s">
        <v>215</v>
      </c>
      <c r="H102" s="408">
        <f t="shared" ref="H102:M102" si="31">H100/H91</f>
        <v>-2.1666666666666665</v>
      </c>
      <c r="I102" s="408">
        <f t="shared" si="31"/>
        <v>-4</v>
      </c>
      <c r="J102" s="408">
        <f t="shared" si="31"/>
        <v>-94.2</v>
      </c>
      <c r="K102" s="408">
        <f t="shared" si="31"/>
        <v>-185.2</v>
      </c>
      <c r="L102" s="408">
        <f t="shared" si="31"/>
        <v>1.425438596491228E-2</v>
      </c>
      <c r="M102" s="408">
        <f t="shared" si="31"/>
        <v>-3</v>
      </c>
    </row>
    <row r="103" spans="1:13" x14ac:dyDescent="0.25">
      <c r="A103" s="333" t="s">
        <v>516</v>
      </c>
      <c r="B103" s="311" t="s">
        <v>216</v>
      </c>
      <c r="C103" s="333" t="s">
        <v>217</v>
      </c>
      <c r="E103" s="406"/>
      <c r="F103" s="411"/>
      <c r="G103" s="407" t="s">
        <v>218</v>
      </c>
      <c r="H103" s="401">
        <f t="shared" ref="H103:M103" si="32">-(H77+H79+H80+H81+H82+H83)</f>
        <v>0</v>
      </c>
      <c r="I103" s="401">
        <f t="shared" si="32"/>
        <v>0</v>
      </c>
      <c r="J103" s="401">
        <f t="shared" si="32"/>
        <v>0</v>
      </c>
      <c r="K103" s="401">
        <f t="shared" si="32"/>
        <v>0</v>
      </c>
      <c r="L103" s="401">
        <f t="shared" si="32"/>
        <v>0</v>
      </c>
      <c r="M103" s="401">
        <f t="shared" si="32"/>
        <v>0</v>
      </c>
    </row>
    <row r="104" spans="1:13" x14ac:dyDescent="0.25">
      <c r="A104" s="333" t="s">
        <v>517</v>
      </c>
      <c r="B104" s="311" t="s">
        <v>219</v>
      </c>
      <c r="C104" s="333" t="s">
        <v>518</v>
      </c>
      <c r="E104" s="414">
        <v>1.2</v>
      </c>
      <c r="F104" s="411"/>
      <c r="G104" s="407" t="s">
        <v>220</v>
      </c>
      <c r="H104" s="408" t="e">
        <f t="shared" ref="H104:M104" si="33">H91/H103</f>
        <v>#DIV/0!</v>
      </c>
      <c r="I104" s="408" t="e">
        <f t="shared" si="33"/>
        <v>#DIV/0!</v>
      </c>
      <c r="J104" s="408" t="e">
        <f t="shared" si="33"/>
        <v>#DIV/0!</v>
      </c>
      <c r="K104" s="408" t="e">
        <f t="shared" si="33"/>
        <v>#DIV/0!</v>
      </c>
      <c r="L104" s="408" t="e">
        <f t="shared" si="33"/>
        <v>#DIV/0!</v>
      </c>
      <c r="M104" s="408" t="e">
        <f t="shared" si="33"/>
        <v>#DIV/0!</v>
      </c>
    </row>
    <row r="105" spans="1:13" x14ac:dyDescent="0.25">
      <c r="A105" s="620" t="s">
        <v>519</v>
      </c>
      <c r="B105" s="311" t="s">
        <v>221</v>
      </c>
      <c r="C105" s="333" t="s">
        <v>222</v>
      </c>
      <c r="E105" s="414">
        <v>0</v>
      </c>
      <c r="F105" s="411"/>
      <c r="G105" s="399" t="s">
        <v>223</v>
      </c>
      <c r="H105" s="401">
        <f t="shared" ref="H105:M105" si="34">H7-H22</f>
        <v>67</v>
      </c>
      <c r="I105" s="401">
        <f t="shared" si="34"/>
        <v>28</v>
      </c>
      <c r="J105" s="401">
        <f t="shared" si="34"/>
        <v>11</v>
      </c>
      <c r="K105" s="401">
        <f t="shared" si="34"/>
        <v>11</v>
      </c>
      <c r="L105" s="401">
        <f t="shared" si="34"/>
        <v>11</v>
      </c>
      <c r="M105" s="401">
        <f t="shared" si="34"/>
        <v>9</v>
      </c>
    </row>
    <row r="106" spans="1:13" x14ac:dyDescent="0.25">
      <c r="A106" s="333" t="s">
        <v>520</v>
      </c>
      <c r="B106" s="311" t="s">
        <v>224</v>
      </c>
      <c r="C106" s="333" t="s">
        <v>225</v>
      </c>
      <c r="E106" s="414">
        <v>1</v>
      </c>
      <c r="F106" s="411"/>
      <c r="G106" s="407" t="s">
        <v>226</v>
      </c>
      <c r="H106" s="415" t="e">
        <f t="shared" ref="H106:M106" si="35">H7/H22</f>
        <v>#DIV/0!</v>
      </c>
      <c r="I106" s="415" t="e">
        <f t="shared" si="35"/>
        <v>#DIV/0!</v>
      </c>
      <c r="J106" s="415" t="e">
        <f t="shared" si="35"/>
        <v>#DIV/0!</v>
      </c>
      <c r="K106" s="415" t="e">
        <f t="shared" si="35"/>
        <v>#DIV/0!</v>
      </c>
      <c r="L106" s="415" t="e">
        <f t="shared" si="35"/>
        <v>#DIV/0!</v>
      </c>
      <c r="M106" s="415" t="e">
        <f t="shared" si="35"/>
        <v>#DIV/0!</v>
      </c>
    </row>
    <row r="107" spans="1:13" x14ac:dyDescent="0.25">
      <c r="A107" s="333" t="s">
        <v>521</v>
      </c>
      <c r="B107" s="311" t="s">
        <v>227</v>
      </c>
      <c r="C107" s="333" t="s">
        <v>228</v>
      </c>
      <c r="E107" s="414">
        <v>1</v>
      </c>
      <c r="F107" s="411"/>
      <c r="G107" s="403" t="s">
        <v>229</v>
      </c>
      <c r="H107" s="415">
        <f t="shared" ref="H107:M107" si="36">-H8/((H40+H43-H47+H49)/12)</f>
        <v>3.5616438356164384</v>
      </c>
      <c r="I107" s="415">
        <f t="shared" si="36"/>
        <v>1.4801762114537445</v>
      </c>
      <c r="J107" s="415">
        <f t="shared" si="36"/>
        <v>0.52863436123348018</v>
      </c>
      <c r="K107" s="415">
        <f t="shared" si="36"/>
        <v>0.52863436123348018</v>
      </c>
      <c r="L107" s="415">
        <f t="shared" si="36"/>
        <v>0.57894736842105265</v>
      </c>
      <c r="M107" s="415">
        <f t="shared" si="36"/>
        <v>0.47577092511013214</v>
      </c>
    </row>
    <row r="108" spans="1:13" x14ac:dyDescent="0.25">
      <c r="C108" s="333"/>
      <c r="F108" s="411"/>
      <c r="G108" s="619" t="s">
        <v>230</v>
      </c>
      <c r="H108" s="366">
        <f t="shared" ref="H108:M108" si="37">H97</f>
        <v>2017</v>
      </c>
      <c r="I108" s="366">
        <f t="shared" si="37"/>
        <v>2018</v>
      </c>
      <c r="J108" s="366">
        <f t="shared" si="37"/>
        <v>2019</v>
      </c>
      <c r="K108" s="366">
        <f t="shared" si="37"/>
        <v>2020</v>
      </c>
      <c r="L108" s="366">
        <f t="shared" si="37"/>
        <v>2021</v>
      </c>
      <c r="M108" s="366">
        <f t="shared" si="37"/>
        <v>2022</v>
      </c>
    </row>
    <row r="109" spans="1:13" x14ac:dyDescent="0.25">
      <c r="A109" s="333" t="s">
        <v>522</v>
      </c>
      <c r="B109" s="311" t="s">
        <v>231</v>
      </c>
      <c r="C109" s="333" t="s">
        <v>232</v>
      </c>
      <c r="E109" s="402">
        <v>0.6</v>
      </c>
      <c r="F109" s="411"/>
      <c r="G109" s="399" t="s">
        <v>233</v>
      </c>
      <c r="H109" s="621">
        <f t="shared" ref="H109:M109" si="38">H19/H6</f>
        <v>0</v>
      </c>
      <c r="I109" s="621">
        <f t="shared" si="38"/>
        <v>0</v>
      </c>
      <c r="J109" s="621">
        <f t="shared" si="38"/>
        <v>0</v>
      </c>
      <c r="K109" s="621">
        <f t="shared" si="38"/>
        <v>0</v>
      </c>
      <c r="L109" s="621">
        <f t="shared" si="38"/>
        <v>0</v>
      </c>
      <c r="M109" s="621">
        <f t="shared" si="38"/>
        <v>0</v>
      </c>
    </row>
    <row r="110" spans="1:13" x14ac:dyDescent="0.25">
      <c r="A110" s="333" t="s">
        <v>523</v>
      </c>
      <c r="B110" s="311" t="s">
        <v>234</v>
      </c>
      <c r="C110" s="333" t="s">
        <v>235</v>
      </c>
      <c r="E110" s="402">
        <v>0.4</v>
      </c>
      <c r="F110" s="411"/>
      <c r="G110" s="403" t="s">
        <v>236</v>
      </c>
      <c r="H110" s="621" t="e">
        <f t="shared" ref="H110:M110" si="39">H29/H19</f>
        <v>#DIV/0!</v>
      </c>
      <c r="I110" s="621" t="e">
        <f t="shared" si="39"/>
        <v>#DIV/0!</v>
      </c>
      <c r="J110" s="621" t="e">
        <f t="shared" si="39"/>
        <v>#DIV/0!</v>
      </c>
      <c r="K110" s="621" t="e">
        <f t="shared" si="39"/>
        <v>#DIV/0!</v>
      </c>
      <c r="L110" s="621" t="e">
        <f t="shared" si="39"/>
        <v>#DIV/0!</v>
      </c>
      <c r="M110" s="621" t="e">
        <f t="shared" si="39"/>
        <v>#DIV/0!</v>
      </c>
    </row>
    <row r="111" spans="1:13" x14ac:dyDescent="0.25">
      <c r="C111" s="333"/>
      <c r="F111" s="411"/>
      <c r="G111" s="622" t="s">
        <v>237</v>
      </c>
      <c r="H111" s="366">
        <f t="shared" ref="H111:M111" si="40">H97</f>
        <v>2017</v>
      </c>
      <c r="I111" s="366">
        <f t="shared" si="40"/>
        <v>2018</v>
      </c>
      <c r="J111" s="366">
        <f t="shared" si="40"/>
        <v>2019</v>
      </c>
      <c r="K111" s="366">
        <f t="shared" si="40"/>
        <v>2020</v>
      </c>
      <c r="L111" s="366">
        <f t="shared" si="40"/>
        <v>2021</v>
      </c>
      <c r="M111" s="366">
        <f t="shared" si="40"/>
        <v>2022</v>
      </c>
    </row>
    <row r="112" spans="1:13" ht="22.5" x14ac:dyDescent="0.25">
      <c r="A112" s="333" t="s">
        <v>524</v>
      </c>
      <c r="B112" s="311" t="s">
        <v>238</v>
      </c>
      <c r="C112" s="417" t="s">
        <v>239</v>
      </c>
      <c r="E112" s="406"/>
      <c r="F112" s="411"/>
      <c r="G112" s="407" t="s">
        <v>240</v>
      </c>
      <c r="H112" s="418">
        <f t="shared" ref="H112:M112" si="41">H12/H6</f>
        <v>0.75457875457875456</v>
      </c>
      <c r="I112" s="418">
        <f t="shared" si="41"/>
        <v>0.85858585858585856</v>
      </c>
      <c r="J112" s="418">
        <f t="shared" si="41"/>
        <v>0.98166666666666669</v>
      </c>
      <c r="K112" s="418">
        <f t="shared" si="41"/>
        <v>0.98920510304219822</v>
      </c>
      <c r="L112" s="418">
        <f t="shared" si="41"/>
        <v>0.98838437170010562</v>
      </c>
      <c r="M112" s="418">
        <f t="shared" si="41"/>
        <v>0.98969072164948457</v>
      </c>
    </row>
    <row r="113" spans="1:13" ht="22.5" x14ac:dyDescent="0.25">
      <c r="A113" s="333" t="s">
        <v>525</v>
      </c>
      <c r="B113" s="311" t="s">
        <v>241</v>
      </c>
      <c r="C113" s="417" t="s">
        <v>242</v>
      </c>
      <c r="E113" s="406"/>
      <c r="F113" s="411"/>
      <c r="G113" s="407" t="s">
        <v>243</v>
      </c>
      <c r="H113" s="418">
        <f t="shared" ref="H113:M113" si="42">-(H60)/H17</f>
        <v>0</v>
      </c>
      <c r="I113" s="418">
        <f t="shared" si="42"/>
        <v>2.6470588235294117</v>
      </c>
      <c r="J113" s="418">
        <f t="shared" si="42"/>
        <v>0.76400679117147707</v>
      </c>
      <c r="K113" s="418">
        <f t="shared" si="42"/>
        <v>0</v>
      </c>
      <c r="L113" s="418">
        <f t="shared" si="42"/>
        <v>0</v>
      </c>
      <c r="M113" s="418">
        <f t="shared" si="42"/>
        <v>0</v>
      </c>
    </row>
    <row r="114" spans="1:13" x14ac:dyDescent="0.25">
      <c r="A114" s="333" t="s">
        <v>526</v>
      </c>
      <c r="B114" s="311" t="s">
        <v>244</v>
      </c>
      <c r="C114" s="333" t="s">
        <v>245</v>
      </c>
      <c r="E114" s="406"/>
      <c r="F114" s="411"/>
      <c r="G114" s="399" t="s">
        <v>246</v>
      </c>
      <c r="H114" s="408">
        <f t="shared" ref="H114:M114" si="43">H35/H6</f>
        <v>0.75824175824175821</v>
      </c>
      <c r="I114" s="408">
        <f t="shared" si="43"/>
        <v>1.1212121212121211</v>
      </c>
      <c r="J114" s="408">
        <f t="shared" si="43"/>
        <v>0.37</v>
      </c>
      <c r="K114" s="408">
        <f t="shared" si="43"/>
        <v>0.21786064769381747</v>
      </c>
      <c r="L114" s="408">
        <f t="shared" si="43"/>
        <v>1.2038014783526927</v>
      </c>
      <c r="M114" s="408">
        <f t="shared" si="43"/>
        <v>0.25544100801832759</v>
      </c>
    </row>
    <row r="115" spans="1:13" ht="22.5" x14ac:dyDescent="0.25">
      <c r="A115" s="333" t="s">
        <v>527</v>
      </c>
      <c r="B115" s="311" t="s">
        <v>247</v>
      </c>
      <c r="C115" s="417" t="s">
        <v>248</v>
      </c>
      <c r="E115" s="406"/>
      <c r="F115" s="411"/>
      <c r="G115" s="403" t="s">
        <v>249</v>
      </c>
      <c r="H115" s="408">
        <f t="shared" ref="H115:M115" si="44">H35/H17</f>
        <v>1.0147058823529411</v>
      </c>
      <c r="I115" s="408">
        <f t="shared" si="44"/>
        <v>1.3058823529411765</v>
      </c>
      <c r="J115" s="408">
        <f t="shared" si="44"/>
        <v>0.3769100169779287</v>
      </c>
      <c r="K115" s="408">
        <f t="shared" si="44"/>
        <v>0.22023809523809523</v>
      </c>
      <c r="L115" s="408">
        <f t="shared" si="44"/>
        <v>1.2179487179487178</v>
      </c>
      <c r="M115" s="408">
        <f t="shared" si="44"/>
        <v>0.25810185185185186</v>
      </c>
    </row>
    <row r="116" spans="1:13" ht="22.5" x14ac:dyDescent="0.25">
      <c r="A116" s="333" t="s">
        <v>528</v>
      </c>
      <c r="B116" s="311" t="s">
        <v>250</v>
      </c>
      <c r="C116" s="417" t="s">
        <v>251</v>
      </c>
      <c r="D116" s="402">
        <v>0.5</v>
      </c>
      <c r="E116" s="402">
        <f>1/3</f>
        <v>0.33333333333333331</v>
      </c>
      <c r="F116" s="411"/>
      <c r="G116" s="407" t="s">
        <v>252</v>
      </c>
      <c r="H116" s="623">
        <f t="shared" ref="H116:M116" si="45">H29/H6</f>
        <v>0.66666666666666663</v>
      </c>
      <c r="I116" s="623">
        <f t="shared" si="45"/>
        <v>0.75757575757575757</v>
      </c>
      <c r="J116" s="623">
        <f t="shared" si="45"/>
        <v>0.19833333333333333</v>
      </c>
      <c r="K116" s="623">
        <f t="shared" si="45"/>
        <v>8.1452404317958776E-2</v>
      </c>
      <c r="L116" s="623">
        <f t="shared" si="45"/>
        <v>0.97465681098204859</v>
      </c>
      <c r="M116" s="623">
        <f t="shared" si="45"/>
        <v>0.97250859106529208</v>
      </c>
    </row>
    <row r="117" spans="1:13" x14ac:dyDescent="0.25">
      <c r="A117" s="398"/>
      <c r="C117" s="398"/>
      <c r="D117" s="419"/>
      <c r="E117" s="420"/>
      <c r="F117" s="411"/>
      <c r="G117" s="390" t="s">
        <v>253</v>
      </c>
      <c r="H117" s="366">
        <f t="shared" ref="H117:M117" si="46">H111</f>
        <v>2017</v>
      </c>
      <c r="I117" s="366">
        <f t="shared" si="46"/>
        <v>2018</v>
      </c>
      <c r="J117" s="366">
        <f t="shared" si="46"/>
        <v>2019</v>
      </c>
      <c r="K117" s="366">
        <f t="shared" si="46"/>
        <v>2020</v>
      </c>
      <c r="L117" s="366">
        <f t="shared" si="46"/>
        <v>2021</v>
      </c>
      <c r="M117" s="366">
        <f t="shared" si="46"/>
        <v>2022</v>
      </c>
    </row>
    <row r="118" spans="1:13" x14ac:dyDescent="0.25">
      <c r="A118" s="333" t="s">
        <v>529</v>
      </c>
      <c r="B118" s="311" t="s">
        <v>254</v>
      </c>
      <c r="C118" s="333" t="s">
        <v>255</v>
      </c>
      <c r="D118" s="421"/>
      <c r="E118" s="402">
        <v>0.05</v>
      </c>
      <c r="G118" s="399" t="s">
        <v>256</v>
      </c>
      <c r="H118" s="617">
        <f t="shared" ref="H118:M118" si="47">H37/H35</f>
        <v>0.15458937198067632</v>
      </c>
      <c r="I118" s="617">
        <f t="shared" si="47"/>
        <v>0.10810810810810811</v>
      </c>
      <c r="J118" s="617">
        <f t="shared" si="47"/>
        <v>0.10810810810810811</v>
      </c>
      <c r="K118" s="617">
        <f t="shared" si="47"/>
        <v>0.10810810810810811</v>
      </c>
      <c r="L118" s="617">
        <f t="shared" si="47"/>
        <v>2.1052631578947368E-2</v>
      </c>
      <c r="M118" s="617">
        <f t="shared" si="47"/>
        <v>0.10762331838565023</v>
      </c>
    </row>
    <row r="119" spans="1:13" x14ac:dyDescent="0.25">
      <c r="A119" s="333" t="s">
        <v>530</v>
      </c>
      <c r="B119" s="311" t="s">
        <v>257</v>
      </c>
      <c r="C119" s="333" t="s">
        <v>258</v>
      </c>
      <c r="E119" s="402">
        <v>0.95</v>
      </c>
      <c r="G119" s="407" t="s">
        <v>259</v>
      </c>
      <c r="H119" s="623">
        <f t="shared" ref="H119:M119" si="48">(H38+H36)/H35</f>
        <v>0.84541062801932365</v>
      </c>
      <c r="I119" s="623">
        <f t="shared" si="48"/>
        <v>0.89189189189189189</v>
      </c>
      <c r="J119" s="623">
        <f t="shared" si="48"/>
        <v>0.89189189189189189</v>
      </c>
      <c r="K119" s="623">
        <f t="shared" si="48"/>
        <v>0.89189189189189189</v>
      </c>
      <c r="L119" s="623">
        <f t="shared" si="48"/>
        <v>0.1736842105263158</v>
      </c>
      <c r="M119" s="623">
        <f t="shared" si="48"/>
        <v>0.88789237668161436</v>
      </c>
    </row>
    <row r="120" spans="1:13" x14ac:dyDescent="0.25">
      <c r="A120" s="333" t="s">
        <v>531</v>
      </c>
      <c r="B120" s="311" t="s">
        <v>260</v>
      </c>
      <c r="C120" s="333" t="s">
        <v>261</v>
      </c>
      <c r="E120" s="402">
        <v>0.95</v>
      </c>
      <c r="G120" s="403" t="s">
        <v>262</v>
      </c>
      <c r="H120" s="617">
        <f t="shared" ref="H120:M120" si="49">H40/(H40+H43)</f>
        <v>0</v>
      </c>
      <c r="I120" s="617">
        <f t="shared" si="49"/>
        <v>0</v>
      </c>
      <c r="J120" s="617">
        <f t="shared" si="49"/>
        <v>0</v>
      </c>
      <c r="K120" s="617">
        <f t="shared" si="49"/>
        <v>0</v>
      </c>
      <c r="L120" s="617">
        <f t="shared" si="49"/>
        <v>0</v>
      </c>
      <c r="M120" s="617">
        <f t="shared" si="49"/>
        <v>0</v>
      </c>
    </row>
    <row r="121" spans="1:13" x14ac:dyDescent="0.25">
      <c r="A121" s="398"/>
      <c r="C121" s="419"/>
      <c r="D121" s="419"/>
      <c r="E121" s="420"/>
      <c r="F121" s="411"/>
      <c r="G121" s="390" t="s">
        <v>532</v>
      </c>
      <c r="H121" s="366">
        <f t="shared" ref="H121:M121" si="50">H117</f>
        <v>2017</v>
      </c>
      <c r="I121" s="366">
        <f t="shared" si="50"/>
        <v>2018</v>
      </c>
      <c r="J121" s="366">
        <f t="shared" si="50"/>
        <v>2019</v>
      </c>
      <c r="K121" s="366">
        <f t="shared" si="50"/>
        <v>2020</v>
      </c>
      <c r="L121" s="366">
        <f t="shared" si="50"/>
        <v>2021</v>
      </c>
      <c r="M121" s="366">
        <f t="shared" si="50"/>
        <v>2022</v>
      </c>
    </row>
    <row r="122" spans="1:13" s="373" customFormat="1" ht="11.25" x14ac:dyDescent="0.2">
      <c r="A122" s="373" t="s">
        <v>533</v>
      </c>
      <c r="B122" s="311" t="s">
        <v>263</v>
      </c>
      <c r="C122" s="333" t="s">
        <v>264</v>
      </c>
      <c r="D122" s="423">
        <v>0.5</v>
      </c>
      <c r="E122" s="424" t="s">
        <v>265</v>
      </c>
      <c r="G122" s="399" t="s">
        <v>266</v>
      </c>
      <c r="H122" s="408" t="str">
        <f t="shared" ref="H122:M122" si="51">IF(H118&lt;$D$122,$E$122,H37/H6)</f>
        <v>N/A</v>
      </c>
      <c r="I122" s="408" t="str">
        <f t="shared" si="51"/>
        <v>N/A</v>
      </c>
      <c r="J122" s="408" t="str">
        <f t="shared" si="51"/>
        <v>N/A</v>
      </c>
      <c r="K122" s="408" t="str">
        <f t="shared" si="51"/>
        <v>N/A</v>
      </c>
      <c r="L122" s="408" t="str">
        <f t="shared" si="51"/>
        <v>N/A</v>
      </c>
      <c r="M122" s="408" t="str">
        <f t="shared" si="51"/>
        <v>N/A</v>
      </c>
    </row>
    <row r="123" spans="1:13" s="373" customFormat="1" ht="11.25" x14ac:dyDescent="0.2">
      <c r="A123" s="373" t="s">
        <v>534</v>
      </c>
      <c r="B123" s="311" t="s">
        <v>535</v>
      </c>
      <c r="C123" s="333" t="s">
        <v>267</v>
      </c>
      <c r="D123" s="423">
        <v>0.5</v>
      </c>
      <c r="E123" s="424" t="s">
        <v>265</v>
      </c>
      <c r="G123" s="407" t="s">
        <v>268</v>
      </c>
      <c r="H123" s="408" t="str">
        <f t="shared" ref="H123:M123" si="52">IF(H118&lt;$D$123,$E$123,H37/H17)</f>
        <v>N/A</v>
      </c>
      <c r="I123" s="408" t="str">
        <f t="shared" si="52"/>
        <v>N/A</v>
      </c>
      <c r="J123" s="408" t="str">
        <f t="shared" si="52"/>
        <v>N/A</v>
      </c>
      <c r="K123" s="408" t="str">
        <f t="shared" si="52"/>
        <v>N/A</v>
      </c>
      <c r="L123" s="408" t="str">
        <f t="shared" si="52"/>
        <v>N/A</v>
      </c>
      <c r="M123" s="408" t="str">
        <f t="shared" si="52"/>
        <v>N/A</v>
      </c>
    </row>
    <row r="124" spans="1:13" s="373" customFormat="1" ht="11.25" x14ac:dyDescent="0.2">
      <c r="A124" s="373" t="s">
        <v>536</v>
      </c>
      <c r="B124" s="311" t="s">
        <v>537</v>
      </c>
      <c r="C124" s="333" t="s">
        <v>201</v>
      </c>
      <c r="D124" s="423">
        <v>0.5</v>
      </c>
      <c r="E124" s="424" t="s">
        <v>265</v>
      </c>
      <c r="G124" s="399" t="s">
        <v>269</v>
      </c>
      <c r="H124" s="418" t="str">
        <f t="shared" ref="H124:M124" si="53">IF(H118&lt;$D$124,$E$124,H48/H35)</f>
        <v>N/A</v>
      </c>
      <c r="I124" s="418" t="str">
        <f t="shared" si="53"/>
        <v>N/A</v>
      </c>
      <c r="J124" s="418" t="str">
        <f t="shared" si="53"/>
        <v>N/A</v>
      </c>
      <c r="K124" s="418" t="str">
        <f t="shared" si="53"/>
        <v>N/A</v>
      </c>
      <c r="L124" s="418" t="str">
        <f t="shared" si="53"/>
        <v>N/A</v>
      </c>
      <c r="M124" s="418" t="str">
        <f t="shared" si="53"/>
        <v>N/A</v>
      </c>
    </row>
    <row r="125" spans="1:13" s="373" customFormat="1" ht="11.25" x14ac:dyDescent="0.2">
      <c r="A125" s="373" t="s">
        <v>538</v>
      </c>
      <c r="B125" s="311" t="s">
        <v>539</v>
      </c>
      <c r="C125" s="333" t="s">
        <v>270</v>
      </c>
      <c r="D125" s="423">
        <v>0.5</v>
      </c>
      <c r="E125" s="424" t="s">
        <v>265</v>
      </c>
      <c r="G125" s="407" t="s">
        <v>271</v>
      </c>
      <c r="H125" s="418" t="str">
        <f t="shared" ref="H125:M125" si="54">IF(H118&lt;$D$124,$E$125,H53/H35)</f>
        <v>N/A</v>
      </c>
      <c r="I125" s="418" t="str">
        <f t="shared" si="54"/>
        <v>N/A</v>
      </c>
      <c r="J125" s="418" t="str">
        <f t="shared" si="54"/>
        <v>N/A</v>
      </c>
      <c r="K125" s="418" t="str">
        <f t="shared" si="54"/>
        <v>N/A</v>
      </c>
      <c r="L125" s="418" t="str">
        <f t="shared" si="54"/>
        <v>N/A</v>
      </c>
      <c r="M125" s="418" t="str">
        <f t="shared" si="54"/>
        <v>N/A</v>
      </c>
    </row>
    <row r="126" spans="1:13" s="373" customFormat="1" ht="11.25" x14ac:dyDescent="0.2">
      <c r="A126" s="373" t="s">
        <v>540</v>
      </c>
      <c r="B126" s="311" t="s">
        <v>541</v>
      </c>
      <c r="C126" s="333" t="s">
        <v>272</v>
      </c>
      <c r="D126" s="423">
        <v>0.5</v>
      </c>
      <c r="E126" s="424" t="s">
        <v>265</v>
      </c>
      <c r="G126" s="407" t="s">
        <v>273</v>
      </c>
      <c r="H126" s="418" t="str">
        <f t="shared" ref="H126:M126" si="55">IF(H118&lt;$D$126,$E$126,H53/H6)</f>
        <v>N/A</v>
      </c>
      <c r="I126" s="418" t="str">
        <f t="shared" si="55"/>
        <v>N/A</v>
      </c>
      <c r="J126" s="418" t="str">
        <f t="shared" si="55"/>
        <v>N/A</v>
      </c>
      <c r="K126" s="418" t="str">
        <f t="shared" si="55"/>
        <v>N/A</v>
      </c>
      <c r="L126" s="418" t="str">
        <f t="shared" si="55"/>
        <v>N/A</v>
      </c>
      <c r="M126" s="418" t="str">
        <f t="shared" si="55"/>
        <v>N/A</v>
      </c>
    </row>
    <row r="127" spans="1:13" s="373" customFormat="1" ht="11.25" x14ac:dyDescent="0.2">
      <c r="A127" s="373" t="s">
        <v>542</v>
      </c>
      <c r="B127" s="311" t="s">
        <v>543</v>
      </c>
      <c r="C127" s="333" t="s">
        <v>274</v>
      </c>
      <c r="D127" s="423">
        <v>0.5</v>
      </c>
      <c r="E127" s="424" t="s">
        <v>265</v>
      </c>
      <c r="G127" s="403" t="s">
        <v>275</v>
      </c>
      <c r="H127" s="418" t="str">
        <f t="shared" ref="H127:M127" si="56">IF(H118&lt;$D$127,$E$127,H53/H29)</f>
        <v>N/A</v>
      </c>
      <c r="I127" s="418" t="str">
        <f t="shared" si="56"/>
        <v>N/A</v>
      </c>
      <c r="J127" s="418" t="str">
        <f t="shared" si="56"/>
        <v>N/A</v>
      </c>
      <c r="K127" s="418" t="str">
        <f t="shared" si="56"/>
        <v>N/A</v>
      </c>
      <c r="L127" s="418" t="str">
        <f t="shared" si="56"/>
        <v>N/A</v>
      </c>
      <c r="M127" s="418" t="str">
        <f t="shared" si="56"/>
        <v>N/A</v>
      </c>
    </row>
    <row r="128" spans="1:13" x14ac:dyDescent="0.25">
      <c r="C128" s="419"/>
      <c r="D128" s="419"/>
      <c r="E128" s="420"/>
      <c r="F128" s="373"/>
      <c r="G128" s="333"/>
      <c r="H128" s="333"/>
      <c r="I128" s="333"/>
      <c r="J128" s="333"/>
      <c r="K128" s="333"/>
      <c r="L128" s="333"/>
      <c r="M128" s="333"/>
    </row>
    <row r="129" spans="6:13" x14ac:dyDescent="0.25">
      <c r="F129" s="373"/>
      <c r="H129" s="366">
        <f t="shared" ref="H129:M129" si="57">H121</f>
        <v>2017</v>
      </c>
      <c r="I129" s="366">
        <f t="shared" si="57"/>
        <v>2018</v>
      </c>
      <c r="J129" s="366">
        <f t="shared" si="57"/>
        <v>2019</v>
      </c>
      <c r="K129" s="366">
        <f t="shared" si="57"/>
        <v>2020</v>
      </c>
      <c r="L129" s="366">
        <f t="shared" si="57"/>
        <v>2021</v>
      </c>
      <c r="M129" s="366">
        <f t="shared" si="57"/>
        <v>2022</v>
      </c>
    </row>
    <row r="130" spans="6:13" x14ac:dyDescent="0.25">
      <c r="G130" s="391" t="s">
        <v>276</v>
      </c>
      <c r="H130" s="392">
        <f t="shared" ref="H130:M130" si="58">H35</f>
        <v>207</v>
      </c>
      <c r="I130" s="392">
        <f t="shared" si="58"/>
        <v>222</v>
      </c>
      <c r="J130" s="392">
        <f t="shared" si="58"/>
        <v>222</v>
      </c>
      <c r="K130" s="392">
        <f t="shared" si="58"/>
        <v>222</v>
      </c>
      <c r="L130" s="392">
        <f t="shared" si="58"/>
        <v>1140</v>
      </c>
      <c r="M130" s="392">
        <f t="shared" si="58"/>
        <v>223</v>
      </c>
    </row>
    <row r="131" spans="6:13" x14ac:dyDescent="0.25">
      <c r="G131" s="391" t="s">
        <v>277</v>
      </c>
      <c r="H131" s="392">
        <f t="shared" ref="H131:M132" si="59">H37</f>
        <v>32</v>
      </c>
      <c r="I131" s="392">
        <f t="shared" si="59"/>
        <v>24</v>
      </c>
      <c r="J131" s="392">
        <f t="shared" si="59"/>
        <v>24</v>
      </c>
      <c r="K131" s="392">
        <f t="shared" si="59"/>
        <v>24</v>
      </c>
      <c r="L131" s="392">
        <f t="shared" si="59"/>
        <v>24</v>
      </c>
      <c r="M131" s="392">
        <f t="shared" si="59"/>
        <v>24</v>
      </c>
    </row>
    <row r="132" spans="6:13" x14ac:dyDescent="0.25">
      <c r="G132" s="391" t="s">
        <v>278</v>
      </c>
      <c r="H132" s="392">
        <f t="shared" si="59"/>
        <v>175</v>
      </c>
      <c r="I132" s="392">
        <f t="shared" si="59"/>
        <v>198</v>
      </c>
      <c r="J132" s="392">
        <f t="shared" si="59"/>
        <v>198</v>
      </c>
      <c r="K132" s="392">
        <f t="shared" si="59"/>
        <v>198</v>
      </c>
      <c r="L132" s="392">
        <f t="shared" si="59"/>
        <v>198</v>
      </c>
      <c r="M132" s="392">
        <f t="shared" si="59"/>
        <v>198</v>
      </c>
    </row>
    <row r="133" spans="6:13" x14ac:dyDescent="0.25">
      <c r="G133" s="391" t="s">
        <v>279</v>
      </c>
      <c r="H133" s="392">
        <f t="shared" ref="H133:M133" si="60">H40+H43</f>
        <v>-246</v>
      </c>
      <c r="I133" s="392">
        <f t="shared" si="60"/>
        <v>-254</v>
      </c>
      <c r="J133" s="392">
        <f t="shared" si="60"/>
        <v>-258</v>
      </c>
      <c r="K133" s="392">
        <f t="shared" si="60"/>
        <v>-258</v>
      </c>
      <c r="L133" s="392">
        <f t="shared" si="60"/>
        <v>-300</v>
      </c>
      <c r="M133" s="392">
        <f t="shared" si="60"/>
        <v>-300</v>
      </c>
    </row>
    <row r="134" spans="6:13" x14ac:dyDescent="0.25">
      <c r="G134" s="391" t="s">
        <v>280</v>
      </c>
      <c r="H134" s="392">
        <f t="shared" ref="H134:M134" si="61">H43</f>
        <v>-246</v>
      </c>
      <c r="I134" s="392">
        <f t="shared" si="61"/>
        <v>-254</v>
      </c>
      <c r="J134" s="392">
        <f t="shared" si="61"/>
        <v>-258</v>
      </c>
      <c r="K134" s="392">
        <f t="shared" si="61"/>
        <v>-258</v>
      </c>
      <c r="L134" s="392">
        <f t="shared" si="61"/>
        <v>-300</v>
      </c>
      <c r="M134" s="392">
        <f t="shared" si="61"/>
        <v>-300</v>
      </c>
    </row>
    <row r="135" spans="6:13" x14ac:dyDescent="0.25">
      <c r="G135" s="391" t="s">
        <v>281</v>
      </c>
      <c r="H135" s="392">
        <f t="shared" ref="H135:M135" si="62">H40</f>
        <v>0</v>
      </c>
      <c r="I135" s="392">
        <f t="shared" si="62"/>
        <v>0</v>
      </c>
      <c r="J135" s="392">
        <f t="shared" si="62"/>
        <v>0</v>
      </c>
      <c r="K135" s="392">
        <f t="shared" si="62"/>
        <v>0</v>
      </c>
      <c r="L135" s="392">
        <f t="shared" si="62"/>
        <v>0</v>
      </c>
      <c r="M135" s="392">
        <f t="shared" si="62"/>
        <v>0</v>
      </c>
    </row>
    <row r="136" spans="6:13" x14ac:dyDescent="0.25">
      <c r="G136" s="391" t="s">
        <v>282</v>
      </c>
      <c r="H136" s="392">
        <f t="shared" ref="H136:M136" si="63">H48</f>
        <v>-39</v>
      </c>
      <c r="I136" s="392">
        <f t="shared" si="63"/>
        <v>-32</v>
      </c>
      <c r="J136" s="392">
        <f t="shared" si="63"/>
        <v>-31</v>
      </c>
      <c r="K136" s="392">
        <f t="shared" si="63"/>
        <v>-36</v>
      </c>
      <c r="L136" s="392">
        <f t="shared" si="63"/>
        <v>840</v>
      </c>
      <c r="M136" s="392">
        <f t="shared" si="63"/>
        <v>-77</v>
      </c>
    </row>
    <row r="137" spans="6:13" x14ac:dyDescent="0.25">
      <c r="G137" s="391" t="s">
        <v>283</v>
      </c>
      <c r="H137" s="392">
        <f t="shared" ref="H137:M137" si="64">H53</f>
        <v>-39</v>
      </c>
      <c r="I137" s="392">
        <f t="shared" si="64"/>
        <v>-32</v>
      </c>
      <c r="J137" s="392">
        <f t="shared" si="64"/>
        <v>-31</v>
      </c>
      <c r="K137" s="392">
        <f t="shared" si="64"/>
        <v>-36</v>
      </c>
      <c r="L137" s="392">
        <f t="shared" si="64"/>
        <v>840</v>
      </c>
      <c r="M137" s="392">
        <f t="shared" si="64"/>
        <v>-74</v>
      </c>
    </row>
    <row r="138" spans="6:13" x14ac:dyDescent="0.25">
      <c r="G138" s="391" t="s">
        <v>284</v>
      </c>
      <c r="H138" s="392">
        <f t="shared" ref="H138:M139" si="65">H6</f>
        <v>273</v>
      </c>
      <c r="I138" s="392">
        <f t="shared" si="65"/>
        <v>198</v>
      </c>
      <c r="J138" s="392">
        <f t="shared" si="65"/>
        <v>600</v>
      </c>
      <c r="K138" s="392">
        <f t="shared" si="65"/>
        <v>1019</v>
      </c>
      <c r="L138" s="392">
        <f t="shared" si="65"/>
        <v>947</v>
      </c>
      <c r="M138" s="392">
        <f t="shared" si="65"/>
        <v>873</v>
      </c>
    </row>
    <row r="139" spans="6:13" x14ac:dyDescent="0.25">
      <c r="G139" s="391" t="s">
        <v>285</v>
      </c>
      <c r="H139" s="392">
        <f t="shared" si="65"/>
        <v>67</v>
      </c>
      <c r="I139" s="392">
        <f t="shared" si="65"/>
        <v>28</v>
      </c>
      <c r="J139" s="392">
        <f t="shared" si="65"/>
        <v>11</v>
      </c>
      <c r="K139" s="392">
        <f t="shared" si="65"/>
        <v>11</v>
      </c>
      <c r="L139" s="392">
        <f t="shared" si="65"/>
        <v>11</v>
      </c>
      <c r="M139" s="392">
        <f t="shared" si="65"/>
        <v>9</v>
      </c>
    </row>
    <row r="140" spans="6:13" x14ac:dyDescent="0.25">
      <c r="G140" s="391" t="s">
        <v>286</v>
      </c>
      <c r="H140" s="392">
        <f t="shared" ref="H140:M140" si="66">H12</f>
        <v>206</v>
      </c>
      <c r="I140" s="392">
        <f t="shared" si="66"/>
        <v>170</v>
      </c>
      <c r="J140" s="392">
        <f t="shared" si="66"/>
        <v>589</v>
      </c>
      <c r="K140" s="392">
        <f t="shared" si="66"/>
        <v>1008</v>
      </c>
      <c r="L140" s="392">
        <f t="shared" si="66"/>
        <v>936</v>
      </c>
      <c r="M140" s="392">
        <f t="shared" si="66"/>
        <v>864</v>
      </c>
    </row>
    <row r="141" spans="6:13" x14ac:dyDescent="0.25">
      <c r="G141" s="391" t="s">
        <v>287</v>
      </c>
      <c r="H141" s="392">
        <f t="shared" ref="H141:M142" si="67">H21</f>
        <v>91</v>
      </c>
      <c r="I141" s="392">
        <f t="shared" si="67"/>
        <v>48</v>
      </c>
      <c r="J141" s="392">
        <f t="shared" si="67"/>
        <v>481</v>
      </c>
      <c r="K141" s="392">
        <f t="shared" si="67"/>
        <v>936</v>
      </c>
      <c r="L141" s="392">
        <f t="shared" si="67"/>
        <v>24</v>
      </c>
      <c r="M141" s="392">
        <f t="shared" si="67"/>
        <v>24</v>
      </c>
    </row>
    <row r="142" spans="6:13" x14ac:dyDescent="0.25">
      <c r="G142" s="391" t="s">
        <v>288</v>
      </c>
      <c r="H142" s="392">
        <f t="shared" si="67"/>
        <v>0</v>
      </c>
      <c r="I142" s="392">
        <f t="shared" si="67"/>
        <v>0</v>
      </c>
      <c r="J142" s="392">
        <f t="shared" si="67"/>
        <v>0</v>
      </c>
      <c r="K142" s="392">
        <f t="shared" si="67"/>
        <v>0</v>
      </c>
      <c r="L142" s="392">
        <f t="shared" si="67"/>
        <v>0</v>
      </c>
      <c r="M142" s="392">
        <f t="shared" si="67"/>
        <v>0</v>
      </c>
    </row>
    <row r="143" spans="6:13" x14ac:dyDescent="0.25">
      <c r="G143" s="391" t="s">
        <v>289</v>
      </c>
      <c r="H143" s="392">
        <f t="shared" ref="H143:M143" si="68">H26</f>
        <v>0</v>
      </c>
      <c r="I143" s="392">
        <f t="shared" si="68"/>
        <v>0</v>
      </c>
      <c r="J143" s="392">
        <f t="shared" si="68"/>
        <v>0</v>
      </c>
      <c r="K143" s="392">
        <f t="shared" si="68"/>
        <v>0</v>
      </c>
      <c r="L143" s="392">
        <f t="shared" si="68"/>
        <v>0</v>
      </c>
      <c r="M143" s="392">
        <f t="shared" si="68"/>
        <v>0</v>
      </c>
    </row>
    <row r="144" spans="6:13" x14ac:dyDescent="0.25">
      <c r="G144" s="391" t="s">
        <v>290</v>
      </c>
      <c r="H144" s="392">
        <f t="shared" ref="H144:M144" si="69">H29</f>
        <v>182</v>
      </c>
      <c r="I144" s="392">
        <f t="shared" si="69"/>
        <v>150</v>
      </c>
      <c r="J144" s="392">
        <f t="shared" si="69"/>
        <v>119</v>
      </c>
      <c r="K144" s="392">
        <f t="shared" si="69"/>
        <v>83</v>
      </c>
      <c r="L144" s="392">
        <f t="shared" si="69"/>
        <v>923</v>
      </c>
      <c r="M144" s="392">
        <f t="shared" si="69"/>
        <v>849</v>
      </c>
    </row>
    <row r="145" spans="3:13" x14ac:dyDescent="0.25">
      <c r="C145" s="419"/>
      <c r="D145" s="419"/>
      <c r="E145" s="420"/>
      <c r="G145" s="333"/>
      <c r="H145" s="333"/>
      <c r="I145" s="333"/>
      <c r="J145" s="333"/>
      <c r="K145" s="333"/>
      <c r="L145" s="333"/>
      <c r="M145" s="333"/>
    </row>
    <row r="146" spans="3:13" x14ac:dyDescent="0.25">
      <c r="C146" s="333" t="s">
        <v>544</v>
      </c>
      <c r="G146" s="333"/>
      <c r="H146" s="333"/>
      <c r="I146" s="333"/>
      <c r="J146" s="333"/>
      <c r="K146" s="333"/>
      <c r="L146" s="333"/>
      <c r="M146" s="333"/>
    </row>
    <row r="147" spans="3:13" x14ac:dyDescent="0.25">
      <c r="C147" s="333"/>
      <c r="H147" s="388"/>
      <c r="I147" s="388"/>
      <c r="J147" s="388"/>
      <c r="K147" s="388"/>
      <c r="L147" s="388"/>
    </row>
    <row r="148" spans="3:13" x14ac:dyDescent="0.25">
      <c r="C148" s="333" t="s">
        <v>291</v>
      </c>
      <c r="H148" s="388"/>
      <c r="I148" s="388"/>
      <c r="J148" s="388"/>
      <c r="K148" s="388"/>
      <c r="L148" s="388"/>
    </row>
    <row r="149" spans="3:13" x14ac:dyDescent="0.25">
      <c r="C149" s="333" t="s">
        <v>292</v>
      </c>
      <c r="F149" s="340"/>
      <c r="G149" s="425"/>
      <c r="H149" s="425"/>
      <c r="I149" s="425"/>
      <c r="J149" s="425"/>
      <c r="K149" s="425"/>
      <c r="L149" s="425"/>
    </row>
    <row r="150" spans="3:13" x14ac:dyDescent="0.25">
      <c r="C150" s="333"/>
      <c r="F150" s="340"/>
      <c r="G150" s="426"/>
      <c r="H150" s="426"/>
      <c r="I150" s="426"/>
      <c r="J150" s="426"/>
      <c r="K150" s="426"/>
      <c r="L150" s="426"/>
    </row>
    <row r="151" spans="3:13" x14ac:dyDescent="0.25">
      <c r="C151" s="333" t="s">
        <v>293</v>
      </c>
      <c r="F151" s="340"/>
    </row>
    <row r="152" spans="3:13" x14ac:dyDescent="0.25">
      <c r="C152" s="333" t="s">
        <v>294</v>
      </c>
      <c r="F152" s="340"/>
    </row>
  </sheetData>
  <sheetProtection selectLockedCells="1" selectUnlockedCells="1"/>
  <mergeCells count="1">
    <mergeCell ref="D89:E89"/>
  </mergeCells>
  <conditionalFormatting sqref="H118:K118">
    <cfRule type="cellIs" dxfId="1157" priority="1" stopIfTrue="1" operator="greaterThan">
      <formula>$E$116</formula>
    </cfRule>
    <cfRule type="cellIs" dxfId="1156" priority="2" stopIfTrue="1" operator="lessThanOrEqual">
      <formula>$E$116</formula>
    </cfRule>
  </conditionalFormatting>
  <conditionalFormatting sqref="H120:K120">
    <cfRule type="cellIs" dxfId="1155" priority="3" stopIfTrue="1" operator="lessThanOrEqual">
      <formula>$E$118</formula>
    </cfRule>
    <cfRule type="cellIs" dxfId="1154" priority="4" stopIfTrue="1" operator="greaterThan">
      <formula>$E$118</formula>
    </cfRule>
  </conditionalFormatting>
  <conditionalFormatting sqref="H101:K101">
    <cfRule type="cellIs" dxfId="1153" priority="5" stopIfTrue="1" operator="greaterThan">
      <formula>$E$99</formula>
    </cfRule>
    <cfRule type="cellIs" dxfId="1152" priority="6" stopIfTrue="1" operator="lessThanOrEqual">
      <formula>$E$99</formula>
    </cfRule>
  </conditionalFormatting>
  <conditionalFormatting sqref="H104:K104">
    <cfRule type="cellIs" dxfId="1151" priority="7" stopIfTrue="1" operator="greaterThanOrEqual">
      <formula>$E$102</formula>
    </cfRule>
    <cfRule type="cellIs" dxfId="1150" priority="8" stopIfTrue="1" operator="lessThan">
      <formula>$E$102</formula>
    </cfRule>
  </conditionalFormatting>
  <conditionalFormatting sqref="H106:K106">
    <cfRule type="cellIs" dxfId="1149" priority="9" stopIfTrue="1" operator="lessThan">
      <formula>$E$104</formula>
    </cfRule>
    <cfRule type="cellIs" dxfId="1148" priority="10" stopIfTrue="1" operator="greaterThanOrEqual">
      <formula>$E$104</formula>
    </cfRule>
  </conditionalFormatting>
  <conditionalFormatting sqref="H105:K105">
    <cfRule type="cellIs" dxfId="1147" priority="11" stopIfTrue="1" operator="greaterThan">
      <formula>$E$103</formula>
    </cfRule>
    <cfRule type="cellIs" dxfId="1146" priority="12" stopIfTrue="1" operator="lessThanOrEqual">
      <formula>$E$103</formula>
    </cfRule>
  </conditionalFormatting>
  <conditionalFormatting sqref="H102:K102">
    <cfRule type="cellIs" dxfId="1145" priority="13" stopIfTrue="1" operator="between">
      <formula>$D$100</formula>
      <formula>$E$100</formula>
    </cfRule>
    <cfRule type="cellIs" dxfId="1144" priority="14" stopIfTrue="1" operator="lessThanOrEqual">
      <formula>$D$100</formula>
    </cfRule>
    <cfRule type="cellIs" dxfId="1143" priority="15" stopIfTrue="1" operator="greaterThan">
      <formula>$E$100</formula>
    </cfRule>
  </conditionalFormatting>
  <conditionalFormatting sqref="H119:K119">
    <cfRule type="cellIs" dxfId="1142" priority="16" stopIfTrue="1" operator="greaterThan">
      <formula>$E$117</formula>
    </cfRule>
    <cfRule type="cellIs" dxfId="1141" priority="17" stopIfTrue="1" operator="lessThanOrEqual">
      <formula>$E$117</formula>
    </cfRule>
  </conditionalFormatting>
  <conditionalFormatting sqref="H109:K109">
    <cfRule type="cellIs" dxfId="1140" priority="18" stopIfTrue="1" operator="greaterThan">
      <formula>$E$107</formula>
    </cfRule>
    <cfRule type="cellIs" dxfId="1139" priority="19" stopIfTrue="1" operator="lessThanOrEqual">
      <formula>$E$107</formula>
    </cfRule>
  </conditionalFormatting>
  <conditionalFormatting sqref="H110:K110">
    <cfRule type="cellIs" dxfId="1138" priority="20" stopIfTrue="1" operator="lessThan">
      <formula>$E$108</formula>
    </cfRule>
    <cfRule type="cellIs" dxfId="1137" priority="21" stopIfTrue="1" operator="greaterThanOrEqual">
      <formula>$E$108</formula>
    </cfRule>
  </conditionalFormatting>
  <conditionalFormatting sqref="H95:K95">
    <cfRule type="cellIs" dxfId="1136" priority="22" stopIfTrue="1" operator="lessThan">
      <formula>$D$93</formula>
    </cfRule>
    <cfRule type="cellIs" dxfId="1135" priority="23" stopIfTrue="1" operator="between">
      <formula>$D$93</formula>
      <formula>$E$93</formula>
    </cfRule>
    <cfRule type="cellIs" dxfId="1134" priority="24" stopIfTrue="1" operator="greaterThan">
      <formula>$E$93</formula>
    </cfRule>
  </conditionalFormatting>
  <conditionalFormatting sqref="H116:K116">
    <cfRule type="cellIs" dxfId="1133" priority="25" stopIfTrue="1" operator="lessThan">
      <formula>$E$114</formula>
    </cfRule>
    <cfRule type="cellIs" dxfId="1132" priority="26" stopIfTrue="1" operator="between">
      <formula>$D$114</formula>
      <formula>$E$114</formula>
    </cfRule>
    <cfRule type="cellIs" dxfId="1131" priority="27" stopIfTrue="1" operator="greaterThanOrEqual">
      <formula>$D$114</formula>
    </cfRule>
  </conditionalFormatting>
  <conditionalFormatting sqref="H92:K92">
    <cfRule type="cellIs" dxfId="1130" priority="28" stopIfTrue="1" operator="lessThan">
      <formula>$E$90</formula>
    </cfRule>
    <cfRule type="cellIs" dxfId="1129" priority="29" stopIfTrue="1" operator="greaterThan">
      <formula>$E$90</formula>
    </cfRule>
  </conditionalFormatting>
  <conditionalFormatting sqref="L118:M118">
    <cfRule type="cellIs" dxfId="1128" priority="30" stopIfTrue="1" operator="greaterThan">
      <formula>$E$116</formula>
    </cfRule>
    <cfRule type="cellIs" dxfId="1127" priority="31" stopIfTrue="1" operator="lessThanOrEqual">
      <formula>$E$116</formula>
    </cfRule>
  </conditionalFormatting>
  <conditionalFormatting sqref="L120:M120">
    <cfRule type="cellIs" dxfId="1126" priority="32" stopIfTrue="1" operator="lessThanOrEqual">
      <formula>$E$118</formula>
    </cfRule>
    <cfRule type="cellIs" dxfId="1125" priority="33" stopIfTrue="1" operator="greaterThan">
      <formula>$E$118</formula>
    </cfRule>
  </conditionalFormatting>
  <conditionalFormatting sqref="L101:M101">
    <cfRule type="cellIs" dxfId="1124" priority="34" stopIfTrue="1" operator="greaterThan">
      <formula>$E$99</formula>
    </cfRule>
    <cfRule type="cellIs" dxfId="1123" priority="35" stopIfTrue="1" operator="lessThanOrEqual">
      <formula>$E$99</formula>
    </cfRule>
  </conditionalFormatting>
  <conditionalFormatting sqref="L104:M104">
    <cfRule type="cellIs" dxfId="1122" priority="36" stopIfTrue="1" operator="greaterThanOrEqual">
      <formula>$E$102</formula>
    </cfRule>
    <cfRule type="cellIs" dxfId="1121" priority="37" stopIfTrue="1" operator="lessThan">
      <formula>$E$102</formula>
    </cfRule>
  </conditionalFormatting>
  <conditionalFormatting sqref="L106:M106">
    <cfRule type="cellIs" dxfId="1120" priority="38" stopIfTrue="1" operator="lessThan">
      <formula>$E$104</formula>
    </cfRule>
    <cfRule type="cellIs" dxfId="1119" priority="39" stopIfTrue="1" operator="greaterThanOrEqual">
      <formula>$E$104</formula>
    </cfRule>
  </conditionalFormatting>
  <conditionalFormatting sqref="L105:M105">
    <cfRule type="cellIs" dxfId="1118" priority="40" stopIfTrue="1" operator="greaterThan">
      <formula>$E$103</formula>
    </cfRule>
    <cfRule type="cellIs" dxfId="1117" priority="41" stopIfTrue="1" operator="lessThanOrEqual">
      <formula>$E$103</formula>
    </cfRule>
  </conditionalFormatting>
  <conditionalFormatting sqref="L102:M102">
    <cfRule type="cellIs" dxfId="1116" priority="42" stopIfTrue="1" operator="between">
      <formula>$D$100</formula>
      <formula>$E$100</formula>
    </cfRule>
    <cfRule type="cellIs" dxfId="1115" priority="43" stopIfTrue="1" operator="lessThanOrEqual">
      <formula>$D$100</formula>
    </cfRule>
    <cfRule type="cellIs" dxfId="1114" priority="44" stopIfTrue="1" operator="greaterThan">
      <formula>$E$100</formula>
    </cfRule>
  </conditionalFormatting>
  <conditionalFormatting sqref="L119:M119">
    <cfRule type="cellIs" dxfId="1113" priority="45" stopIfTrue="1" operator="greaterThan">
      <formula>$E$117</formula>
    </cfRule>
    <cfRule type="cellIs" dxfId="1112" priority="46" stopIfTrue="1" operator="lessThanOrEqual">
      <formula>$E$117</formula>
    </cfRule>
  </conditionalFormatting>
  <conditionalFormatting sqref="L109:M109">
    <cfRule type="cellIs" dxfId="1111" priority="47" stopIfTrue="1" operator="greaterThan">
      <formula>$E$107</formula>
    </cfRule>
    <cfRule type="cellIs" dxfId="1110" priority="48" stopIfTrue="1" operator="lessThanOrEqual">
      <formula>$E$107</formula>
    </cfRule>
  </conditionalFormatting>
  <conditionalFormatting sqref="L110:M110">
    <cfRule type="cellIs" dxfId="1109" priority="49" stopIfTrue="1" operator="lessThan">
      <formula>$E$108</formula>
    </cfRule>
    <cfRule type="cellIs" dxfId="1108" priority="50" stopIfTrue="1" operator="greaterThanOrEqual">
      <formula>$E$108</formula>
    </cfRule>
  </conditionalFormatting>
  <conditionalFormatting sqref="L95:M95">
    <cfRule type="cellIs" dxfId="1107" priority="51" stopIfTrue="1" operator="lessThan">
      <formula>$D$93</formula>
    </cfRule>
    <cfRule type="cellIs" dxfId="1106" priority="52" stopIfTrue="1" operator="between">
      <formula>$D$93</formula>
      <formula>$E$93</formula>
    </cfRule>
    <cfRule type="cellIs" dxfId="1105" priority="53" stopIfTrue="1" operator="greaterThan">
      <formula>$E$93</formula>
    </cfRule>
  </conditionalFormatting>
  <conditionalFormatting sqref="L116:M116">
    <cfRule type="cellIs" dxfId="1104" priority="54" stopIfTrue="1" operator="lessThan">
      <formula>$E$114</formula>
    </cfRule>
    <cfRule type="cellIs" dxfId="1103" priority="55" stopIfTrue="1" operator="between">
      <formula>$D$114</formula>
      <formula>$E$114</formula>
    </cfRule>
    <cfRule type="cellIs" dxfId="1102" priority="56" stopIfTrue="1" operator="greaterThanOrEqual">
      <formula>$D$114</formula>
    </cfRule>
  </conditionalFormatting>
  <conditionalFormatting sqref="L92:M92">
    <cfRule type="cellIs" dxfId="1101" priority="57" stopIfTrue="1" operator="lessThan">
      <formula>$E$90</formula>
    </cfRule>
    <cfRule type="cellIs" dxfId="1100" priority="58" stopIfTrue="1" operator="greaterThan">
      <formula>$E$90</formula>
    </cfRule>
  </conditionalFormatting>
  <pageMargins left="0.7" right="0.7" top="0.75" bottom="0.75" header="0.51180555555555551" footer="0.51180555555555551"/>
  <pageSetup paperSize="9" firstPageNumber="0" fitToHeight="2" orientation="portrait" horizontalDpi="300" verticalDpi="300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087877-8018-4EAA-B1A6-7BCA9E6FA4C7}">
  <dimension ref="A1:U202"/>
  <sheetViews>
    <sheetView workbookViewId="0">
      <selection activeCell="W16" sqref="W16"/>
    </sheetView>
  </sheetViews>
  <sheetFormatPr defaultRowHeight="11.25" outlineLevelCol="1" x14ac:dyDescent="0.2"/>
  <cols>
    <col min="1" max="1" width="5.7109375" style="47" bestFit="1" customWidth="1"/>
    <col min="2" max="2" width="4.7109375" style="47" bestFit="1" customWidth="1"/>
    <col min="3" max="3" width="9.140625" style="47"/>
    <col min="4" max="5" width="5.140625" style="47" bestFit="1" customWidth="1"/>
    <col min="6" max="6" width="2" style="8" bestFit="1" customWidth="1"/>
    <col min="7" max="7" width="34.28515625" style="47" customWidth="1"/>
    <col min="8" max="8" width="7.85546875" style="47" hidden="1" customWidth="1" outlineLevel="1"/>
    <col min="9" max="9" width="1" style="47" hidden="1" customWidth="1" outlineLevel="1"/>
    <col min="10" max="10" width="8.7109375" style="47" hidden="1" customWidth="1" outlineLevel="1"/>
    <col min="11" max="11" width="9.7109375" style="47" hidden="1" customWidth="1" outlineLevel="1"/>
    <col min="12" max="12" width="8.5703125" style="47" hidden="1" customWidth="1" outlineLevel="1"/>
    <col min="13" max="13" width="8.7109375" style="47" bestFit="1" customWidth="1" collapsed="1"/>
    <col min="14" max="14" width="10.85546875" style="47" customWidth="1"/>
    <col min="15" max="19" width="8.7109375" style="47" bestFit="1" customWidth="1"/>
    <col min="20" max="20" width="3.140625" style="47" customWidth="1"/>
    <col min="21" max="21" width="3" style="47" customWidth="1"/>
    <col min="22" max="256" width="9.140625" style="47"/>
    <col min="257" max="257" width="5.7109375" style="47" bestFit="1" customWidth="1"/>
    <col min="258" max="258" width="4.7109375" style="47" bestFit="1" customWidth="1"/>
    <col min="259" max="259" width="9.140625" style="47"/>
    <col min="260" max="261" width="5.140625" style="47" bestFit="1" customWidth="1"/>
    <col min="262" max="262" width="2" style="47" bestFit="1" customWidth="1"/>
    <col min="263" max="263" width="34.28515625" style="47" customWidth="1"/>
    <col min="264" max="265" width="0" style="47" hidden="1" customWidth="1"/>
    <col min="266" max="266" width="8.7109375" style="47" customWidth="1"/>
    <col min="267" max="267" width="9.7109375" style="47" customWidth="1"/>
    <col min="268" max="268" width="8.5703125" style="47" customWidth="1"/>
    <col min="269" max="269" width="8.7109375" style="47" bestFit="1" customWidth="1"/>
    <col min="270" max="270" width="10.85546875" style="47" customWidth="1"/>
    <col min="271" max="275" width="8.7109375" style="47" bestFit="1" customWidth="1"/>
    <col min="276" max="276" width="3.140625" style="47" customWidth="1"/>
    <col min="277" max="277" width="3" style="47" customWidth="1"/>
    <col min="278" max="512" width="9.140625" style="47"/>
    <col min="513" max="513" width="5.7109375" style="47" bestFit="1" customWidth="1"/>
    <col min="514" max="514" width="4.7109375" style="47" bestFit="1" customWidth="1"/>
    <col min="515" max="515" width="9.140625" style="47"/>
    <col min="516" max="517" width="5.140625" style="47" bestFit="1" customWidth="1"/>
    <col min="518" max="518" width="2" style="47" bestFit="1" customWidth="1"/>
    <col min="519" max="519" width="34.28515625" style="47" customWidth="1"/>
    <col min="520" max="521" width="0" style="47" hidden="1" customWidth="1"/>
    <col min="522" max="522" width="8.7109375" style="47" customWidth="1"/>
    <col min="523" max="523" width="9.7109375" style="47" customWidth="1"/>
    <col min="524" max="524" width="8.5703125" style="47" customWidth="1"/>
    <col min="525" max="525" width="8.7109375" style="47" bestFit="1" customWidth="1"/>
    <col min="526" max="526" width="10.85546875" style="47" customWidth="1"/>
    <col min="527" max="531" width="8.7109375" style="47" bestFit="1" customWidth="1"/>
    <col min="532" max="532" width="3.140625" style="47" customWidth="1"/>
    <col min="533" max="533" width="3" style="47" customWidth="1"/>
    <col min="534" max="768" width="9.140625" style="47"/>
    <col min="769" max="769" width="5.7109375" style="47" bestFit="1" customWidth="1"/>
    <col min="770" max="770" width="4.7109375" style="47" bestFit="1" customWidth="1"/>
    <col min="771" max="771" width="9.140625" style="47"/>
    <col min="772" max="773" width="5.140625" style="47" bestFit="1" customWidth="1"/>
    <col min="774" max="774" width="2" style="47" bestFit="1" customWidth="1"/>
    <col min="775" max="775" width="34.28515625" style="47" customWidth="1"/>
    <col min="776" max="777" width="0" style="47" hidden="1" customWidth="1"/>
    <col min="778" max="778" width="8.7109375" style="47" customWidth="1"/>
    <col min="779" max="779" width="9.7109375" style="47" customWidth="1"/>
    <col min="780" max="780" width="8.5703125" style="47" customWidth="1"/>
    <col min="781" max="781" width="8.7109375" style="47" bestFit="1" customWidth="1"/>
    <col min="782" max="782" width="10.85546875" style="47" customWidth="1"/>
    <col min="783" max="787" width="8.7109375" style="47" bestFit="1" customWidth="1"/>
    <col min="788" max="788" width="3.140625" style="47" customWidth="1"/>
    <col min="789" max="789" width="3" style="47" customWidth="1"/>
    <col min="790" max="1024" width="9.140625" style="47"/>
    <col min="1025" max="1025" width="5.7109375" style="47" bestFit="1" customWidth="1"/>
    <col min="1026" max="1026" width="4.7109375" style="47" bestFit="1" customWidth="1"/>
    <col min="1027" max="1027" width="9.140625" style="47"/>
    <col min="1028" max="1029" width="5.140625" style="47" bestFit="1" customWidth="1"/>
    <col min="1030" max="1030" width="2" style="47" bestFit="1" customWidth="1"/>
    <col min="1031" max="1031" width="34.28515625" style="47" customWidth="1"/>
    <col min="1032" max="1033" width="0" style="47" hidden="1" customWidth="1"/>
    <col min="1034" max="1034" width="8.7109375" style="47" customWidth="1"/>
    <col min="1035" max="1035" width="9.7109375" style="47" customWidth="1"/>
    <col min="1036" max="1036" width="8.5703125" style="47" customWidth="1"/>
    <col min="1037" max="1037" width="8.7109375" style="47" bestFit="1" customWidth="1"/>
    <col min="1038" max="1038" width="10.85546875" style="47" customWidth="1"/>
    <col min="1039" max="1043" width="8.7109375" style="47" bestFit="1" customWidth="1"/>
    <col min="1044" max="1044" width="3.140625" style="47" customWidth="1"/>
    <col min="1045" max="1045" width="3" style="47" customWidth="1"/>
    <col min="1046" max="1280" width="9.140625" style="47"/>
    <col min="1281" max="1281" width="5.7109375" style="47" bestFit="1" customWidth="1"/>
    <col min="1282" max="1282" width="4.7109375" style="47" bestFit="1" customWidth="1"/>
    <col min="1283" max="1283" width="9.140625" style="47"/>
    <col min="1284" max="1285" width="5.140625" style="47" bestFit="1" customWidth="1"/>
    <col min="1286" max="1286" width="2" style="47" bestFit="1" customWidth="1"/>
    <col min="1287" max="1287" width="34.28515625" style="47" customWidth="1"/>
    <col min="1288" max="1289" width="0" style="47" hidden="1" customWidth="1"/>
    <col min="1290" max="1290" width="8.7109375" style="47" customWidth="1"/>
    <col min="1291" max="1291" width="9.7109375" style="47" customWidth="1"/>
    <col min="1292" max="1292" width="8.5703125" style="47" customWidth="1"/>
    <col min="1293" max="1293" width="8.7109375" style="47" bestFit="1" customWidth="1"/>
    <col min="1294" max="1294" width="10.85546875" style="47" customWidth="1"/>
    <col min="1295" max="1299" width="8.7109375" style="47" bestFit="1" customWidth="1"/>
    <col min="1300" max="1300" width="3.140625" style="47" customWidth="1"/>
    <col min="1301" max="1301" width="3" style="47" customWidth="1"/>
    <col min="1302" max="1536" width="9.140625" style="47"/>
    <col min="1537" max="1537" width="5.7109375" style="47" bestFit="1" customWidth="1"/>
    <col min="1538" max="1538" width="4.7109375" style="47" bestFit="1" customWidth="1"/>
    <col min="1539" max="1539" width="9.140625" style="47"/>
    <col min="1540" max="1541" width="5.140625" style="47" bestFit="1" customWidth="1"/>
    <col min="1542" max="1542" width="2" style="47" bestFit="1" customWidth="1"/>
    <col min="1543" max="1543" width="34.28515625" style="47" customWidth="1"/>
    <col min="1544" max="1545" width="0" style="47" hidden="1" customWidth="1"/>
    <col min="1546" max="1546" width="8.7109375" style="47" customWidth="1"/>
    <col min="1547" max="1547" width="9.7109375" style="47" customWidth="1"/>
    <col min="1548" max="1548" width="8.5703125" style="47" customWidth="1"/>
    <col min="1549" max="1549" width="8.7109375" style="47" bestFit="1" customWidth="1"/>
    <col min="1550" max="1550" width="10.85546875" style="47" customWidth="1"/>
    <col min="1551" max="1555" width="8.7109375" style="47" bestFit="1" customWidth="1"/>
    <col min="1556" max="1556" width="3.140625" style="47" customWidth="1"/>
    <col min="1557" max="1557" width="3" style="47" customWidth="1"/>
    <col min="1558" max="1792" width="9.140625" style="47"/>
    <col min="1793" max="1793" width="5.7109375" style="47" bestFit="1" customWidth="1"/>
    <col min="1794" max="1794" width="4.7109375" style="47" bestFit="1" customWidth="1"/>
    <col min="1795" max="1795" width="9.140625" style="47"/>
    <col min="1796" max="1797" width="5.140625" style="47" bestFit="1" customWidth="1"/>
    <col min="1798" max="1798" width="2" style="47" bestFit="1" customWidth="1"/>
    <col min="1799" max="1799" width="34.28515625" style="47" customWidth="1"/>
    <col min="1800" max="1801" width="0" style="47" hidden="1" customWidth="1"/>
    <col min="1802" max="1802" width="8.7109375" style="47" customWidth="1"/>
    <col min="1803" max="1803" width="9.7109375" style="47" customWidth="1"/>
    <col min="1804" max="1804" width="8.5703125" style="47" customWidth="1"/>
    <col min="1805" max="1805" width="8.7109375" style="47" bestFit="1" customWidth="1"/>
    <col min="1806" max="1806" width="10.85546875" style="47" customWidth="1"/>
    <col min="1807" max="1811" width="8.7109375" style="47" bestFit="1" customWidth="1"/>
    <col min="1812" max="1812" width="3.140625" style="47" customWidth="1"/>
    <col min="1813" max="1813" width="3" style="47" customWidth="1"/>
    <col min="1814" max="2048" width="9.140625" style="47"/>
    <col min="2049" max="2049" width="5.7109375" style="47" bestFit="1" customWidth="1"/>
    <col min="2050" max="2050" width="4.7109375" style="47" bestFit="1" customWidth="1"/>
    <col min="2051" max="2051" width="9.140625" style="47"/>
    <col min="2052" max="2053" width="5.140625" style="47" bestFit="1" customWidth="1"/>
    <col min="2054" max="2054" width="2" style="47" bestFit="1" customWidth="1"/>
    <col min="2055" max="2055" width="34.28515625" style="47" customWidth="1"/>
    <col min="2056" max="2057" width="0" style="47" hidden="1" customWidth="1"/>
    <col min="2058" max="2058" width="8.7109375" style="47" customWidth="1"/>
    <col min="2059" max="2059" width="9.7109375" style="47" customWidth="1"/>
    <col min="2060" max="2060" width="8.5703125" style="47" customWidth="1"/>
    <col min="2061" max="2061" width="8.7109375" style="47" bestFit="1" customWidth="1"/>
    <col min="2062" max="2062" width="10.85546875" style="47" customWidth="1"/>
    <col min="2063" max="2067" width="8.7109375" style="47" bestFit="1" customWidth="1"/>
    <col min="2068" max="2068" width="3.140625" style="47" customWidth="1"/>
    <col min="2069" max="2069" width="3" style="47" customWidth="1"/>
    <col min="2070" max="2304" width="9.140625" style="47"/>
    <col min="2305" max="2305" width="5.7109375" style="47" bestFit="1" customWidth="1"/>
    <col min="2306" max="2306" width="4.7109375" style="47" bestFit="1" customWidth="1"/>
    <col min="2307" max="2307" width="9.140625" style="47"/>
    <col min="2308" max="2309" width="5.140625" style="47" bestFit="1" customWidth="1"/>
    <col min="2310" max="2310" width="2" style="47" bestFit="1" customWidth="1"/>
    <col min="2311" max="2311" width="34.28515625" style="47" customWidth="1"/>
    <col min="2312" max="2313" width="0" style="47" hidden="1" customWidth="1"/>
    <col min="2314" max="2314" width="8.7109375" style="47" customWidth="1"/>
    <col min="2315" max="2315" width="9.7109375" style="47" customWidth="1"/>
    <col min="2316" max="2316" width="8.5703125" style="47" customWidth="1"/>
    <col min="2317" max="2317" width="8.7109375" style="47" bestFit="1" customWidth="1"/>
    <col min="2318" max="2318" width="10.85546875" style="47" customWidth="1"/>
    <col min="2319" max="2323" width="8.7109375" style="47" bestFit="1" customWidth="1"/>
    <col min="2324" max="2324" width="3.140625" style="47" customWidth="1"/>
    <col min="2325" max="2325" width="3" style="47" customWidth="1"/>
    <col min="2326" max="2560" width="9.140625" style="47"/>
    <col min="2561" max="2561" width="5.7109375" style="47" bestFit="1" customWidth="1"/>
    <col min="2562" max="2562" width="4.7109375" style="47" bestFit="1" customWidth="1"/>
    <col min="2563" max="2563" width="9.140625" style="47"/>
    <col min="2564" max="2565" width="5.140625" style="47" bestFit="1" customWidth="1"/>
    <col min="2566" max="2566" width="2" style="47" bestFit="1" customWidth="1"/>
    <col min="2567" max="2567" width="34.28515625" style="47" customWidth="1"/>
    <col min="2568" max="2569" width="0" style="47" hidden="1" customWidth="1"/>
    <col min="2570" max="2570" width="8.7109375" style="47" customWidth="1"/>
    <col min="2571" max="2571" width="9.7109375" style="47" customWidth="1"/>
    <col min="2572" max="2572" width="8.5703125" style="47" customWidth="1"/>
    <col min="2573" max="2573" width="8.7109375" style="47" bestFit="1" customWidth="1"/>
    <col min="2574" max="2574" width="10.85546875" style="47" customWidth="1"/>
    <col min="2575" max="2579" width="8.7109375" style="47" bestFit="1" customWidth="1"/>
    <col min="2580" max="2580" width="3.140625" style="47" customWidth="1"/>
    <col min="2581" max="2581" width="3" style="47" customWidth="1"/>
    <col min="2582" max="2816" width="9.140625" style="47"/>
    <col min="2817" max="2817" width="5.7109375" style="47" bestFit="1" customWidth="1"/>
    <col min="2818" max="2818" width="4.7109375" style="47" bestFit="1" customWidth="1"/>
    <col min="2819" max="2819" width="9.140625" style="47"/>
    <col min="2820" max="2821" width="5.140625" style="47" bestFit="1" customWidth="1"/>
    <col min="2822" max="2822" width="2" style="47" bestFit="1" customWidth="1"/>
    <col min="2823" max="2823" width="34.28515625" style="47" customWidth="1"/>
    <col min="2824" max="2825" width="0" style="47" hidden="1" customWidth="1"/>
    <col min="2826" max="2826" width="8.7109375" style="47" customWidth="1"/>
    <col min="2827" max="2827" width="9.7109375" style="47" customWidth="1"/>
    <col min="2828" max="2828" width="8.5703125" style="47" customWidth="1"/>
    <col min="2829" max="2829" width="8.7109375" style="47" bestFit="1" customWidth="1"/>
    <col min="2830" max="2830" width="10.85546875" style="47" customWidth="1"/>
    <col min="2831" max="2835" width="8.7109375" style="47" bestFit="1" customWidth="1"/>
    <col min="2836" max="2836" width="3.140625" style="47" customWidth="1"/>
    <col min="2837" max="2837" width="3" style="47" customWidth="1"/>
    <col min="2838" max="3072" width="9.140625" style="47"/>
    <col min="3073" max="3073" width="5.7109375" style="47" bestFit="1" customWidth="1"/>
    <col min="3074" max="3074" width="4.7109375" style="47" bestFit="1" customWidth="1"/>
    <col min="3075" max="3075" width="9.140625" style="47"/>
    <col min="3076" max="3077" width="5.140625" style="47" bestFit="1" customWidth="1"/>
    <col min="3078" max="3078" width="2" style="47" bestFit="1" customWidth="1"/>
    <col min="3079" max="3079" width="34.28515625" style="47" customWidth="1"/>
    <col min="3080" max="3081" width="0" style="47" hidden="1" customWidth="1"/>
    <col min="3082" max="3082" width="8.7109375" style="47" customWidth="1"/>
    <col min="3083" max="3083" width="9.7109375" style="47" customWidth="1"/>
    <col min="3084" max="3084" width="8.5703125" style="47" customWidth="1"/>
    <col min="3085" max="3085" width="8.7109375" style="47" bestFit="1" customWidth="1"/>
    <col min="3086" max="3086" width="10.85546875" style="47" customWidth="1"/>
    <col min="3087" max="3091" width="8.7109375" style="47" bestFit="1" customWidth="1"/>
    <col min="3092" max="3092" width="3.140625" style="47" customWidth="1"/>
    <col min="3093" max="3093" width="3" style="47" customWidth="1"/>
    <col min="3094" max="3328" width="9.140625" style="47"/>
    <col min="3329" max="3329" width="5.7109375" style="47" bestFit="1" customWidth="1"/>
    <col min="3330" max="3330" width="4.7109375" style="47" bestFit="1" customWidth="1"/>
    <col min="3331" max="3331" width="9.140625" style="47"/>
    <col min="3332" max="3333" width="5.140625" style="47" bestFit="1" customWidth="1"/>
    <col min="3334" max="3334" width="2" style="47" bestFit="1" customWidth="1"/>
    <col min="3335" max="3335" width="34.28515625" style="47" customWidth="1"/>
    <col min="3336" max="3337" width="0" style="47" hidden="1" customWidth="1"/>
    <col min="3338" max="3338" width="8.7109375" style="47" customWidth="1"/>
    <col min="3339" max="3339" width="9.7109375" style="47" customWidth="1"/>
    <col min="3340" max="3340" width="8.5703125" style="47" customWidth="1"/>
    <col min="3341" max="3341" width="8.7109375" style="47" bestFit="1" customWidth="1"/>
    <col min="3342" max="3342" width="10.85546875" style="47" customWidth="1"/>
    <col min="3343" max="3347" width="8.7109375" style="47" bestFit="1" customWidth="1"/>
    <col min="3348" max="3348" width="3.140625" style="47" customWidth="1"/>
    <col min="3349" max="3349" width="3" style="47" customWidth="1"/>
    <col min="3350" max="3584" width="9.140625" style="47"/>
    <col min="3585" max="3585" width="5.7109375" style="47" bestFit="1" customWidth="1"/>
    <col min="3586" max="3586" width="4.7109375" style="47" bestFit="1" customWidth="1"/>
    <col min="3587" max="3587" width="9.140625" style="47"/>
    <col min="3588" max="3589" width="5.140625" style="47" bestFit="1" customWidth="1"/>
    <col min="3590" max="3590" width="2" style="47" bestFit="1" customWidth="1"/>
    <col min="3591" max="3591" width="34.28515625" style="47" customWidth="1"/>
    <col min="3592" max="3593" width="0" style="47" hidden="1" customWidth="1"/>
    <col min="3594" max="3594" width="8.7109375" style="47" customWidth="1"/>
    <col min="3595" max="3595" width="9.7109375" style="47" customWidth="1"/>
    <col min="3596" max="3596" width="8.5703125" style="47" customWidth="1"/>
    <col min="3597" max="3597" width="8.7109375" style="47" bestFit="1" customWidth="1"/>
    <col min="3598" max="3598" width="10.85546875" style="47" customWidth="1"/>
    <col min="3599" max="3603" width="8.7109375" style="47" bestFit="1" customWidth="1"/>
    <col min="3604" max="3604" width="3.140625" style="47" customWidth="1"/>
    <col min="3605" max="3605" width="3" style="47" customWidth="1"/>
    <col min="3606" max="3840" width="9.140625" style="47"/>
    <col min="3841" max="3841" width="5.7109375" style="47" bestFit="1" customWidth="1"/>
    <col min="3842" max="3842" width="4.7109375" style="47" bestFit="1" customWidth="1"/>
    <col min="3843" max="3843" width="9.140625" style="47"/>
    <col min="3844" max="3845" width="5.140625" style="47" bestFit="1" customWidth="1"/>
    <col min="3846" max="3846" width="2" style="47" bestFit="1" customWidth="1"/>
    <col min="3847" max="3847" width="34.28515625" style="47" customWidth="1"/>
    <col min="3848" max="3849" width="0" style="47" hidden="1" customWidth="1"/>
    <col min="3850" max="3850" width="8.7109375" style="47" customWidth="1"/>
    <col min="3851" max="3851" width="9.7109375" style="47" customWidth="1"/>
    <col min="3852" max="3852" width="8.5703125" style="47" customWidth="1"/>
    <col min="3853" max="3853" width="8.7109375" style="47" bestFit="1" customWidth="1"/>
    <col min="3854" max="3854" width="10.85546875" style="47" customWidth="1"/>
    <col min="3855" max="3859" width="8.7109375" style="47" bestFit="1" customWidth="1"/>
    <col min="3860" max="3860" width="3.140625" style="47" customWidth="1"/>
    <col min="3861" max="3861" width="3" style="47" customWidth="1"/>
    <col min="3862" max="4096" width="9.140625" style="47"/>
    <col min="4097" max="4097" width="5.7109375" style="47" bestFit="1" customWidth="1"/>
    <col min="4098" max="4098" width="4.7109375" style="47" bestFit="1" customWidth="1"/>
    <col min="4099" max="4099" width="9.140625" style="47"/>
    <col min="4100" max="4101" width="5.140625" style="47" bestFit="1" customWidth="1"/>
    <col min="4102" max="4102" width="2" style="47" bestFit="1" customWidth="1"/>
    <col min="4103" max="4103" width="34.28515625" style="47" customWidth="1"/>
    <col min="4104" max="4105" width="0" style="47" hidden="1" customWidth="1"/>
    <col min="4106" max="4106" width="8.7109375" style="47" customWidth="1"/>
    <col min="4107" max="4107" width="9.7109375" style="47" customWidth="1"/>
    <col min="4108" max="4108" width="8.5703125" style="47" customWidth="1"/>
    <col min="4109" max="4109" width="8.7109375" style="47" bestFit="1" customWidth="1"/>
    <col min="4110" max="4110" width="10.85546875" style="47" customWidth="1"/>
    <col min="4111" max="4115" width="8.7109375" style="47" bestFit="1" customWidth="1"/>
    <col min="4116" max="4116" width="3.140625" style="47" customWidth="1"/>
    <col min="4117" max="4117" width="3" style="47" customWidth="1"/>
    <col min="4118" max="4352" width="9.140625" style="47"/>
    <col min="4353" max="4353" width="5.7109375" style="47" bestFit="1" customWidth="1"/>
    <col min="4354" max="4354" width="4.7109375" style="47" bestFit="1" customWidth="1"/>
    <col min="4355" max="4355" width="9.140625" style="47"/>
    <col min="4356" max="4357" width="5.140625" style="47" bestFit="1" customWidth="1"/>
    <col min="4358" max="4358" width="2" style="47" bestFit="1" customWidth="1"/>
    <col min="4359" max="4359" width="34.28515625" style="47" customWidth="1"/>
    <col min="4360" max="4361" width="0" style="47" hidden="1" customWidth="1"/>
    <col min="4362" max="4362" width="8.7109375" style="47" customWidth="1"/>
    <col min="4363" max="4363" width="9.7109375" style="47" customWidth="1"/>
    <col min="4364" max="4364" width="8.5703125" style="47" customWidth="1"/>
    <col min="4365" max="4365" width="8.7109375" style="47" bestFit="1" customWidth="1"/>
    <col min="4366" max="4366" width="10.85546875" style="47" customWidth="1"/>
    <col min="4367" max="4371" width="8.7109375" style="47" bestFit="1" customWidth="1"/>
    <col min="4372" max="4372" width="3.140625" style="47" customWidth="1"/>
    <col min="4373" max="4373" width="3" style="47" customWidth="1"/>
    <col min="4374" max="4608" width="9.140625" style="47"/>
    <col min="4609" max="4609" width="5.7109375" style="47" bestFit="1" customWidth="1"/>
    <col min="4610" max="4610" width="4.7109375" style="47" bestFit="1" customWidth="1"/>
    <col min="4611" max="4611" width="9.140625" style="47"/>
    <col min="4612" max="4613" width="5.140625" style="47" bestFit="1" customWidth="1"/>
    <col min="4614" max="4614" width="2" style="47" bestFit="1" customWidth="1"/>
    <col min="4615" max="4615" width="34.28515625" style="47" customWidth="1"/>
    <col min="4616" max="4617" width="0" style="47" hidden="1" customWidth="1"/>
    <col min="4618" max="4618" width="8.7109375" style="47" customWidth="1"/>
    <col min="4619" max="4619" width="9.7109375" style="47" customWidth="1"/>
    <col min="4620" max="4620" width="8.5703125" style="47" customWidth="1"/>
    <col min="4621" max="4621" width="8.7109375" style="47" bestFit="1" customWidth="1"/>
    <col min="4622" max="4622" width="10.85546875" style="47" customWidth="1"/>
    <col min="4623" max="4627" width="8.7109375" style="47" bestFit="1" customWidth="1"/>
    <col min="4628" max="4628" width="3.140625" style="47" customWidth="1"/>
    <col min="4629" max="4629" width="3" style="47" customWidth="1"/>
    <col min="4630" max="4864" width="9.140625" style="47"/>
    <col min="4865" max="4865" width="5.7109375" style="47" bestFit="1" customWidth="1"/>
    <col min="4866" max="4866" width="4.7109375" style="47" bestFit="1" customWidth="1"/>
    <col min="4867" max="4867" width="9.140625" style="47"/>
    <col min="4868" max="4869" width="5.140625" style="47" bestFit="1" customWidth="1"/>
    <col min="4870" max="4870" width="2" style="47" bestFit="1" customWidth="1"/>
    <col min="4871" max="4871" width="34.28515625" style="47" customWidth="1"/>
    <col min="4872" max="4873" width="0" style="47" hidden="1" customWidth="1"/>
    <col min="4874" max="4874" width="8.7109375" style="47" customWidth="1"/>
    <col min="4875" max="4875" width="9.7109375" style="47" customWidth="1"/>
    <col min="4876" max="4876" width="8.5703125" style="47" customWidth="1"/>
    <col min="4877" max="4877" width="8.7109375" style="47" bestFit="1" customWidth="1"/>
    <col min="4878" max="4878" width="10.85546875" style="47" customWidth="1"/>
    <col min="4879" max="4883" width="8.7109375" style="47" bestFit="1" customWidth="1"/>
    <col min="4884" max="4884" width="3.140625" style="47" customWidth="1"/>
    <col min="4885" max="4885" width="3" style="47" customWidth="1"/>
    <col min="4886" max="5120" width="9.140625" style="47"/>
    <col min="5121" max="5121" width="5.7109375" style="47" bestFit="1" customWidth="1"/>
    <col min="5122" max="5122" width="4.7109375" style="47" bestFit="1" customWidth="1"/>
    <col min="5123" max="5123" width="9.140625" style="47"/>
    <col min="5124" max="5125" width="5.140625" style="47" bestFit="1" customWidth="1"/>
    <col min="5126" max="5126" width="2" style="47" bestFit="1" customWidth="1"/>
    <col min="5127" max="5127" width="34.28515625" style="47" customWidth="1"/>
    <col min="5128" max="5129" width="0" style="47" hidden="1" customWidth="1"/>
    <col min="5130" max="5130" width="8.7109375" style="47" customWidth="1"/>
    <col min="5131" max="5131" width="9.7109375" style="47" customWidth="1"/>
    <col min="5132" max="5132" width="8.5703125" style="47" customWidth="1"/>
    <col min="5133" max="5133" width="8.7109375" style="47" bestFit="1" customWidth="1"/>
    <col min="5134" max="5134" width="10.85546875" style="47" customWidth="1"/>
    <col min="5135" max="5139" width="8.7109375" style="47" bestFit="1" customWidth="1"/>
    <col min="5140" max="5140" width="3.140625" style="47" customWidth="1"/>
    <col min="5141" max="5141" width="3" style="47" customWidth="1"/>
    <col min="5142" max="5376" width="9.140625" style="47"/>
    <col min="5377" max="5377" width="5.7109375" style="47" bestFit="1" customWidth="1"/>
    <col min="5378" max="5378" width="4.7109375" style="47" bestFit="1" customWidth="1"/>
    <col min="5379" max="5379" width="9.140625" style="47"/>
    <col min="5380" max="5381" width="5.140625" style="47" bestFit="1" customWidth="1"/>
    <col min="5382" max="5382" width="2" style="47" bestFit="1" customWidth="1"/>
    <col min="5383" max="5383" width="34.28515625" style="47" customWidth="1"/>
    <col min="5384" max="5385" width="0" style="47" hidden="1" customWidth="1"/>
    <col min="5386" max="5386" width="8.7109375" style="47" customWidth="1"/>
    <col min="5387" max="5387" width="9.7109375" style="47" customWidth="1"/>
    <col min="5388" max="5388" width="8.5703125" style="47" customWidth="1"/>
    <col min="5389" max="5389" width="8.7109375" style="47" bestFit="1" customWidth="1"/>
    <col min="5390" max="5390" width="10.85546875" style="47" customWidth="1"/>
    <col min="5391" max="5395" width="8.7109375" style="47" bestFit="1" customWidth="1"/>
    <col min="5396" max="5396" width="3.140625" style="47" customWidth="1"/>
    <col min="5397" max="5397" width="3" style="47" customWidth="1"/>
    <col min="5398" max="5632" width="9.140625" style="47"/>
    <col min="5633" max="5633" width="5.7109375" style="47" bestFit="1" customWidth="1"/>
    <col min="5634" max="5634" width="4.7109375" style="47" bestFit="1" customWidth="1"/>
    <col min="5635" max="5635" width="9.140625" style="47"/>
    <col min="5636" max="5637" width="5.140625" style="47" bestFit="1" customWidth="1"/>
    <col min="5638" max="5638" width="2" style="47" bestFit="1" customWidth="1"/>
    <col min="5639" max="5639" width="34.28515625" style="47" customWidth="1"/>
    <col min="5640" max="5641" width="0" style="47" hidden="1" customWidth="1"/>
    <col min="5642" max="5642" width="8.7109375" style="47" customWidth="1"/>
    <col min="5643" max="5643" width="9.7109375" style="47" customWidth="1"/>
    <col min="5644" max="5644" width="8.5703125" style="47" customWidth="1"/>
    <col min="5645" max="5645" width="8.7109375" style="47" bestFit="1" customWidth="1"/>
    <col min="5646" max="5646" width="10.85546875" style="47" customWidth="1"/>
    <col min="5647" max="5651" width="8.7109375" style="47" bestFit="1" customWidth="1"/>
    <col min="5652" max="5652" width="3.140625" style="47" customWidth="1"/>
    <col min="5653" max="5653" width="3" style="47" customWidth="1"/>
    <col min="5654" max="5888" width="9.140625" style="47"/>
    <col min="5889" max="5889" width="5.7109375" style="47" bestFit="1" customWidth="1"/>
    <col min="5890" max="5890" width="4.7109375" style="47" bestFit="1" customWidth="1"/>
    <col min="5891" max="5891" width="9.140625" style="47"/>
    <col min="5892" max="5893" width="5.140625" style="47" bestFit="1" customWidth="1"/>
    <col min="5894" max="5894" width="2" style="47" bestFit="1" customWidth="1"/>
    <col min="5895" max="5895" width="34.28515625" style="47" customWidth="1"/>
    <col min="5896" max="5897" width="0" style="47" hidden="1" customWidth="1"/>
    <col min="5898" max="5898" width="8.7109375" style="47" customWidth="1"/>
    <col min="5899" max="5899" width="9.7109375" style="47" customWidth="1"/>
    <col min="5900" max="5900" width="8.5703125" style="47" customWidth="1"/>
    <col min="5901" max="5901" width="8.7109375" style="47" bestFit="1" customWidth="1"/>
    <col min="5902" max="5902" width="10.85546875" style="47" customWidth="1"/>
    <col min="5903" max="5907" width="8.7109375" style="47" bestFit="1" customWidth="1"/>
    <col min="5908" max="5908" width="3.140625" style="47" customWidth="1"/>
    <col min="5909" max="5909" width="3" style="47" customWidth="1"/>
    <col min="5910" max="6144" width="9.140625" style="47"/>
    <col min="6145" max="6145" width="5.7109375" style="47" bestFit="1" customWidth="1"/>
    <col min="6146" max="6146" width="4.7109375" style="47" bestFit="1" customWidth="1"/>
    <col min="6147" max="6147" width="9.140625" style="47"/>
    <col min="6148" max="6149" width="5.140625" style="47" bestFit="1" customWidth="1"/>
    <col min="6150" max="6150" width="2" style="47" bestFit="1" customWidth="1"/>
    <col min="6151" max="6151" width="34.28515625" style="47" customWidth="1"/>
    <col min="6152" max="6153" width="0" style="47" hidden="1" customWidth="1"/>
    <col min="6154" max="6154" width="8.7109375" style="47" customWidth="1"/>
    <col min="6155" max="6155" width="9.7109375" style="47" customWidth="1"/>
    <col min="6156" max="6156" width="8.5703125" style="47" customWidth="1"/>
    <col min="6157" max="6157" width="8.7109375" style="47" bestFit="1" customWidth="1"/>
    <col min="6158" max="6158" width="10.85546875" style="47" customWidth="1"/>
    <col min="6159" max="6163" width="8.7109375" style="47" bestFit="1" customWidth="1"/>
    <col min="6164" max="6164" width="3.140625" style="47" customWidth="1"/>
    <col min="6165" max="6165" width="3" style="47" customWidth="1"/>
    <col min="6166" max="6400" width="9.140625" style="47"/>
    <col min="6401" max="6401" width="5.7109375" style="47" bestFit="1" customWidth="1"/>
    <col min="6402" max="6402" width="4.7109375" style="47" bestFit="1" customWidth="1"/>
    <col min="6403" max="6403" width="9.140625" style="47"/>
    <col min="6404" max="6405" width="5.140625" style="47" bestFit="1" customWidth="1"/>
    <col min="6406" max="6406" width="2" style="47" bestFit="1" customWidth="1"/>
    <col min="6407" max="6407" width="34.28515625" style="47" customWidth="1"/>
    <col min="6408" max="6409" width="0" style="47" hidden="1" customWidth="1"/>
    <col min="6410" max="6410" width="8.7109375" style="47" customWidth="1"/>
    <col min="6411" max="6411" width="9.7109375" style="47" customWidth="1"/>
    <col min="6412" max="6412" width="8.5703125" style="47" customWidth="1"/>
    <col min="6413" max="6413" width="8.7109375" style="47" bestFit="1" customWidth="1"/>
    <col min="6414" max="6414" width="10.85546875" style="47" customWidth="1"/>
    <col min="6415" max="6419" width="8.7109375" style="47" bestFit="1" customWidth="1"/>
    <col min="6420" max="6420" width="3.140625" style="47" customWidth="1"/>
    <col min="6421" max="6421" width="3" style="47" customWidth="1"/>
    <col min="6422" max="6656" width="9.140625" style="47"/>
    <col min="6657" max="6657" width="5.7109375" style="47" bestFit="1" customWidth="1"/>
    <col min="6658" max="6658" width="4.7109375" style="47" bestFit="1" customWidth="1"/>
    <col min="6659" max="6659" width="9.140625" style="47"/>
    <col min="6660" max="6661" width="5.140625" style="47" bestFit="1" customWidth="1"/>
    <col min="6662" max="6662" width="2" style="47" bestFit="1" customWidth="1"/>
    <col min="6663" max="6663" width="34.28515625" style="47" customWidth="1"/>
    <col min="6664" max="6665" width="0" style="47" hidden="1" customWidth="1"/>
    <col min="6666" max="6666" width="8.7109375" style="47" customWidth="1"/>
    <col min="6667" max="6667" width="9.7109375" style="47" customWidth="1"/>
    <col min="6668" max="6668" width="8.5703125" style="47" customWidth="1"/>
    <col min="6669" max="6669" width="8.7109375" style="47" bestFit="1" customWidth="1"/>
    <col min="6670" max="6670" width="10.85546875" style="47" customWidth="1"/>
    <col min="6671" max="6675" width="8.7109375" style="47" bestFit="1" customWidth="1"/>
    <col min="6676" max="6676" width="3.140625" style="47" customWidth="1"/>
    <col min="6677" max="6677" width="3" style="47" customWidth="1"/>
    <col min="6678" max="6912" width="9.140625" style="47"/>
    <col min="6913" max="6913" width="5.7109375" style="47" bestFit="1" customWidth="1"/>
    <col min="6914" max="6914" width="4.7109375" style="47" bestFit="1" customWidth="1"/>
    <col min="6915" max="6915" width="9.140625" style="47"/>
    <col min="6916" max="6917" width="5.140625" style="47" bestFit="1" customWidth="1"/>
    <col min="6918" max="6918" width="2" style="47" bestFit="1" customWidth="1"/>
    <col min="6919" max="6919" width="34.28515625" style="47" customWidth="1"/>
    <col min="6920" max="6921" width="0" style="47" hidden="1" customWidth="1"/>
    <col min="6922" max="6922" width="8.7109375" style="47" customWidth="1"/>
    <col min="6923" max="6923" width="9.7109375" style="47" customWidth="1"/>
    <col min="6924" max="6924" width="8.5703125" style="47" customWidth="1"/>
    <col min="6925" max="6925" width="8.7109375" style="47" bestFit="1" customWidth="1"/>
    <col min="6926" max="6926" width="10.85546875" style="47" customWidth="1"/>
    <col min="6927" max="6931" width="8.7109375" style="47" bestFit="1" customWidth="1"/>
    <col min="6932" max="6932" width="3.140625" style="47" customWidth="1"/>
    <col min="6933" max="6933" width="3" style="47" customWidth="1"/>
    <col min="6934" max="7168" width="9.140625" style="47"/>
    <col min="7169" max="7169" width="5.7109375" style="47" bestFit="1" customWidth="1"/>
    <col min="7170" max="7170" width="4.7109375" style="47" bestFit="1" customWidth="1"/>
    <col min="7171" max="7171" width="9.140625" style="47"/>
    <col min="7172" max="7173" width="5.140625" style="47" bestFit="1" customWidth="1"/>
    <col min="7174" max="7174" width="2" style="47" bestFit="1" customWidth="1"/>
    <col min="7175" max="7175" width="34.28515625" style="47" customWidth="1"/>
    <col min="7176" max="7177" width="0" style="47" hidden="1" customWidth="1"/>
    <col min="7178" max="7178" width="8.7109375" style="47" customWidth="1"/>
    <col min="7179" max="7179" width="9.7109375" style="47" customWidth="1"/>
    <col min="7180" max="7180" width="8.5703125" style="47" customWidth="1"/>
    <col min="7181" max="7181" width="8.7109375" style="47" bestFit="1" customWidth="1"/>
    <col min="7182" max="7182" width="10.85546875" style="47" customWidth="1"/>
    <col min="7183" max="7187" width="8.7109375" style="47" bestFit="1" customWidth="1"/>
    <col min="7188" max="7188" width="3.140625" style="47" customWidth="1"/>
    <col min="7189" max="7189" width="3" style="47" customWidth="1"/>
    <col min="7190" max="7424" width="9.140625" style="47"/>
    <col min="7425" max="7425" width="5.7109375" style="47" bestFit="1" customWidth="1"/>
    <col min="7426" max="7426" width="4.7109375" style="47" bestFit="1" customWidth="1"/>
    <col min="7427" max="7427" width="9.140625" style="47"/>
    <col min="7428" max="7429" width="5.140625" style="47" bestFit="1" customWidth="1"/>
    <col min="7430" max="7430" width="2" style="47" bestFit="1" customWidth="1"/>
    <col min="7431" max="7431" width="34.28515625" style="47" customWidth="1"/>
    <col min="7432" max="7433" width="0" style="47" hidden="1" customWidth="1"/>
    <col min="7434" max="7434" width="8.7109375" style="47" customWidth="1"/>
    <col min="7435" max="7435" width="9.7109375" style="47" customWidth="1"/>
    <col min="7436" max="7436" width="8.5703125" style="47" customWidth="1"/>
    <col min="7437" max="7437" width="8.7109375" style="47" bestFit="1" customWidth="1"/>
    <col min="7438" max="7438" width="10.85546875" style="47" customWidth="1"/>
    <col min="7439" max="7443" width="8.7109375" style="47" bestFit="1" customWidth="1"/>
    <col min="7444" max="7444" width="3.140625" style="47" customWidth="1"/>
    <col min="7445" max="7445" width="3" style="47" customWidth="1"/>
    <col min="7446" max="7680" width="9.140625" style="47"/>
    <col min="7681" max="7681" width="5.7109375" style="47" bestFit="1" customWidth="1"/>
    <col min="7682" max="7682" width="4.7109375" style="47" bestFit="1" customWidth="1"/>
    <col min="7683" max="7683" width="9.140625" style="47"/>
    <col min="7684" max="7685" width="5.140625" style="47" bestFit="1" customWidth="1"/>
    <col min="7686" max="7686" width="2" style="47" bestFit="1" customWidth="1"/>
    <col min="7687" max="7687" width="34.28515625" style="47" customWidth="1"/>
    <col min="7688" max="7689" width="0" style="47" hidden="1" customWidth="1"/>
    <col min="7690" max="7690" width="8.7109375" style="47" customWidth="1"/>
    <col min="7691" max="7691" width="9.7109375" style="47" customWidth="1"/>
    <col min="7692" max="7692" width="8.5703125" style="47" customWidth="1"/>
    <col min="7693" max="7693" width="8.7109375" style="47" bestFit="1" customWidth="1"/>
    <col min="7694" max="7694" width="10.85546875" style="47" customWidth="1"/>
    <col min="7695" max="7699" width="8.7109375" style="47" bestFit="1" customWidth="1"/>
    <col min="7700" max="7700" width="3.140625" style="47" customWidth="1"/>
    <col min="7701" max="7701" width="3" style="47" customWidth="1"/>
    <col min="7702" max="7936" width="9.140625" style="47"/>
    <col min="7937" max="7937" width="5.7109375" style="47" bestFit="1" customWidth="1"/>
    <col min="7938" max="7938" width="4.7109375" style="47" bestFit="1" customWidth="1"/>
    <col min="7939" max="7939" width="9.140625" style="47"/>
    <col min="7940" max="7941" width="5.140625" style="47" bestFit="1" customWidth="1"/>
    <col min="7942" max="7942" width="2" style="47" bestFit="1" customWidth="1"/>
    <col min="7943" max="7943" width="34.28515625" style="47" customWidth="1"/>
    <col min="7944" max="7945" width="0" style="47" hidden="1" customWidth="1"/>
    <col min="7946" max="7946" width="8.7109375" style="47" customWidth="1"/>
    <col min="7947" max="7947" width="9.7109375" style="47" customWidth="1"/>
    <col min="7948" max="7948" width="8.5703125" style="47" customWidth="1"/>
    <col min="7949" max="7949" width="8.7109375" style="47" bestFit="1" customWidth="1"/>
    <col min="7950" max="7950" width="10.85546875" style="47" customWidth="1"/>
    <col min="7951" max="7955" width="8.7109375" style="47" bestFit="1" customWidth="1"/>
    <col min="7956" max="7956" width="3.140625" style="47" customWidth="1"/>
    <col min="7957" max="7957" width="3" style="47" customWidth="1"/>
    <col min="7958" max="8192" width="9.140625" style="47"/>
    <col min="8193" max="8193" width="5.7109375" style="47" bestFit="1" customWidth="1"/>
    <col min="8194" max="8194" width="4.7109375" style="47" bestFit="1" customWidth="1"/>
    <col min="8195" max="8195" width="9.140625" style="47"/>
    <col min="8196" max="8197" width="5.140625" style="47" bestFit="1" customWidth="1"/>
    <col min="8198" max="8198" width="2" style="47" bestFit="1" customWidth="1"/>
    <col min="8199" max="8199" width="34.28515625" style="47" customWidth="1"/>
    <col min="8200" max="8201" width="0" style="47" hidden="1" customWidth="1"/>
    <col min="8202" max="8202" width="8.7109375" style="47" customWidth="1"/>
    <col min="8203" max="8203" width="9.7109375" style="47" customWidth="1"/>
    <col min="8204" max="8204" width="8.5703125" style="47" customWidth="1"/>
    <col min="8205" max="8205" width="8.7109375" style="47" bestFit="1" customWidth="1"/>
    <col min="8206" max="8206" width="10.85546875" style="47" customWidth="1"/>
    <col min="8207" max="8211" width="8.7109375" style="47" bestFit="1" customWidth="1"/>
    <col min="8212" max="8212" width="3.140625" style="47" customWidth="1"/>
    <col min="8213" max="8213" width="3" style="47" customWidth="1"/>
    <col min="8214" max="8448" width="9.140625" style="47"/>
    <col min="8449" max="8449" width="5.7109375" style="47" bestFit="1" customWidth="1"/>
    <col min="8450" max="8450" width="4.7109375" style="47" bestFit="1" customWidth="1"/>
    <col min="8451" max="8451" width="9.140625" style="47"/>
    <col min="8452" max="8453" width="5.140625" style="47" bestFit="1" customWidth="1"/>
    <col min="8454" max="8454" width="2" style="47" bestFit="1" customWidth="1"/>
    <col min="8455" max="8455" width="34.28515625" style="47" customWidth="1"/>
    <col min="8456" max="8457" width="0" style="47" hidden="1" customWidth="1"/>
    <col min="8458" max="8458" width="8.7109375" style="47" customWidth="1"/>
    <col min="8459" max="8459" width="9.7109375" style="47" customWidth="1"/>
    <col min="8460" max="8460" width="8.5703125" style="47" customWidth="1"/>
    <col min="8461" max="8461" width="8.7109375" style="47" bestFit="1" customWidth="1"/>
    <col min="8462" max="8462" width="10.85546875" style="47" customWidth="1"/>
    <col min="8463" max="8467" width="8.7109375" style="47" bestFit="1" customWidth="1"/>
    <col min="8468" max="8468" width="3.140625" style="47" customWidth="1"/>
    <col min="8469" max="8469" width="3" style="47" customWidth="1"/>
    <col min="8470" max="8704" width="9.140625" style="47"/>
    <col min="8705" max="8705" width="5.7109375" style="47" bestFit="1" customWidth="1"/>
    <col min="8706" max="8706" width="4.7109375" style="47" bestFit="1" customWidth="1"/>
    <col min="8707" max="8707" width="9.140625" style="47"/>
    <col min="8708" max="8709" width="5.140625" style="47" bestFit="1" customWidth="1"/>
    <col min="8710" max="8710" width="2" style="47" bestFit="1" customWidth="1"/>
    <col min="8711" max="8711" width="34.28515625" style="47" customWidth="1"/>
    <col min="8712" max="8713" width="0" style="47" hidden="1" customWidth="1"/>
    <col min="8714" max="8714" width="8.7109375" style="47" customWidth="1"/>
    <col min="8715" max="8715" width="9.7109375" style="47" customWidth="1"/>
    <col min="8716" max="8716" width="8.5703125" style="47" customWidth="1"/>
    <col min="8717" max="8717" width="8.7109375" style="47" bestFit="1" customWidth="1"/>
    <col min="8718" max="8718" width="10.85546875" style="47" customWidth="1"/>
    <col min="8719" max="8723" width="8.7109375" style="47" bestFit="1" customWidth="1"/>
    <col min="8724" max="8724" width="3.140625" style="47" customWidth="1"/>
    <col min="8725" max="8725" width="3" style="47" customWidth="1"/>
    <col min="8726" max="8960" width="9.140625" style="47"/>
    <col min="8961" max="8961" width="5.7109375" style="47" bestFit="1" customWidth="1"/>
    <col min="8962" max="8962" width="4.7109375" style="47" bestFit="1" customWidth="1"/>
    <col min="8963" max="8963" width="9.140625" style="47"/>
    <col min="8964" max="8965" width="5.140625" style="47" bestFit="1" customWidth="1"/>
    <col min="8966" max="8966" width="2" style="47" bestFit="1" customWidth="1"/>
    <col min="8967" max="8967" width="34.28515625" style="47" customWidth="1"/>
    <col min="8968" max="8969" width="0" style="47" hidden="1" customWidth="1"/>
    <col min="8970" max="8970" width="8.7109375" style="47" customWidth="1"/>
    <col min="8971" max="8971" width="9.7109375" style="47" customWidth="1"/>
    <col min="8972" max="8972" width="8.5703125" style="47" customWidth="1"/>
    <col min="8973" max="8973" width="8.7109375" style="47" bestFit="1" customWidth="1"/>
    <col min="8974" max="8974" width="10.85546875" style="47" customWidth="1"/>
    <col min="8975" max="8979" width="8.7109375" style="47" bestFit="1" customWidth="1"/>
    <col min="8980" max="8980" width="3.140625" style="47" customWidth="1"/>
    <col min="8981" max="8981" width="3" style="47" customWidth="1"/>
    <col min="8982" max="9216" width="9.140625" style="47"/>
    <col min="9217" max="9217" width="5.7109375" style="47" bestFit="1" customWidth="1"/>
    <col min="9218" max="9218" width="4.7109375" style="47" bestFit="1" customWidth="1"/>
    <col min="9219" max="9219" width="9.140625" style="47"/>
    <col min="9220" max="9221" width="5.140625" style="47" bestFit="1" customWidth="1"/>
    <col min="9222" max="9222" width="2" style="47" bestFit="1" customWidth="1"/>
    <col min="9223" max="9223" width="34.28515625" style="47" customWidth="1"/>
    <col min="9224" max="9225" width="0" style="47" hidden="1" customWidth="1"/>
    <col min="9226" max="9226" width="8.7109375" style="47" customWidth="1"/>
    <col min="9227" max="9227" width="9.7109375" style="47" customWidth="1"/>
    <col min="9228" max="9228" width="8.5703125" style="47" customWidth="1"/>
    <col min="9229" max="9229" width="8.7109375" style="47" bestFit="1" customWidth="1"/>
    <col min="9230" max="9230" width="10.85546875" style="47" customWidth="1"/>
    <col min="9231" max="9235" width="8.7109375" style="47" bestFit="1" customWidth="1"/>
    <col min="9236" max="9236" width="3.140625" style="47" customWidth="1"/>
    <col min="9237" max="9237" width="3" style="47" customWidth="1"/>
    <col min="9238" max="9472" width="9.140625" style="47"/>
    <col min="9473" max="9473" width="5.7109375" style="47" bestFit="1" customWidth="1"/>
    <col min="9474" max="9474" width="4.7109375" style="47" bestFit="1" customWidth="1"/>
    <col min="9475" max="9475" width="9.140625" style="47"/>
    <col min="9476" max="9477" width="5.140625" style="47" bestFit="1" customWidth="1"/>
    <col min="9478" max="9478" width="2" style="47" bestFit="1" customWidth="1"/>
    <col min="9479" max="9479" width="34.28515625" style="47" customWidth="1"/>
    <col min="9480" max="9481" width="0" style="47" hidden="1" customWidth="1"/>
    <col min="9482" max="9482" width="8.7109375" style="47" customWidth="1"/>
    <col min="9483" max="9483" width="9.7109375" style="47" customWidth="1"/>
    <col min="9484" max="9484" width="8.5703125" style="47" customWidth="1"/>
    <col min="9485" max="9485" width="8.7109375" style="47" bestFit="1" customWidth="1"/>
    <col min="9486" max="9486" width="10.85546875" style="47" customWidth="1"/>
    <col min="9487" max="9491" width="8.7109375" style="47" bestFit="1" customWidth="1"/>
    <col min="9492" max="9492" width="3.140625" style="47" customWidth="1"/>
    <col min="9493" max="9493" width="3" style="47" customWidth="1"/>
    <col min="9494" max="9728" width="9.140625" style="47"/>
    <col min="9729" max="9729" width="5.7109375" style="47" bestFit="1" customWidth="1"/>
    <col min="9730" max="9730" width="4.7109375" style="47" bestFit="1" customWidth="1"/>
    <col min="9731" max="9731" width="9.140625" style="47"/>
    <col min="9732" max="9733" width="5.140625" style="47" bestFit="1" customWidth="1"/>
    <col min="9734" max="9734" width="2" style="47" bestFit="1" customWidth="1"/>
    <col min="9735" max="9735" width="34.28515625" style="47" customWidth="1"/>
    <col min="9736" max="9737" width="0" style="47" hidden="1" customWidth="1"/>
    <col min="9738" max="9738" width="8.7109375" style="47" customWidth="1"/>
    <col min="9739" max="9739" width="9.7109375" style="47" customWidth="1"/>
    <col min="9740" max="9740" width="8.5703125" style="47" customWidth="1"/>
    <col min="9741" max="9741" width="8.7109375" style="47" bestFit="1" customWidth="1"/>
    <col min="9742" max="9742" width="10.85546875" style="47" customWidth="1"/>
    <col min="9743" max="9747" width="8.7109375" style="47" bestFit="1" customWidth="1"/>
    <col min="9748" max="9748" width="3.140625" style="47" customWidth="1"/>
    <col min="9749" max="9749" width="3" style="47" customWidth="1"/>
    <col min="9750" max="9984" width="9.140625" style="47"/>
    <col min="9985" max="9985" width="5.7109375" style="47" bestFit="1" customWidth="1"/>
    <col min="9986" max="9986" width="4.7109375" style="47" bestFit="1" customWidth="1"/>
    <col min="9987" max="9987" width="9.140625" style="47"/>
    <col min="9988" max="9989" width="5.140625" style="47" bestFit="1" customWidth="1"/>
    <col min="9990" max="9990" width="2" style="47" bestFit="1" customWidth="1"/>
    <col min="9991" max="9991" width="34.28515625" style="47" customWidth="1"/>
    <col min="9992" max="9993" width="0" style="47" hidden="1" customWidth="1"/>
    <col min="9994" max="9994" width="8.7109375" style="47" customWidth="1"/>
    <col min="9995" max="9995" width="9.7109375" style="47" customWidth="1"/>
    <col min="9996" max="9996" width="8.5703125" style="47" customWidth="1"/>
    <col min="9997" max="9997" width="8.7109375" style="47" bestFit="1" customWidth="1"/>
    <col min="9998" max="9998" width="10.85546875" style="47" customWidth="1"/>
    <col min="9999" max="10003" width="8.7109375" style="47" bestFit="1" customWidth="1"/>
    <col min="10004" max="10004" width="3.140625" style="47" customWidth="1"/>
    <col min="10005" max="10005" width="3" style="47" customWidth="1"/>
    <col min="10006" max="10240" width="9.140625" style="47"/>
    <col min="10241" max="10241" width="5.7109375" style="47" bestFit="1" customWidth="1"/>
    <col min="10242" max="10242" width="4.7109375" style="47" bestFit="1" customWidth="1"/>
    <col min="10243" max="10243" width="9.140625" style="47"/>
    <col min="10244" max="10245" width="5.140625" style="47" bestFit="1" customWidth="1"/>
    <col min="10246" max="10246" width="2" style="47" bestFit="1" customWidth="1"/>
    <col min="10247" max="10247" width="34.28515625" style="47" customWidth="1"/>
    <col min="10248" max="10249" width="0" style="47" hidden="1" customWidth="1"/>
    <col min="10250" max="10250" width="8.7109375" style="47" customWidth="1"/>
    <col min="10251" max="10251" width="9.7109375" style="47" customWidth="1"/>
    <col min="10252" max="10252" width="8.5703125" style="47" customWidth="1"/>
    <col min="10253" max="10253" width="8.7109375" style="47" bestFit="1" customWidth="1"/>
    <col min="10254" max="10254" width="10.85546875" style="47" customWidth="1"/>
    <col min="10255" max="10259" width="8.7109375" style="47" bestFit="1" customWidth="1"/>
    <col min="10260" max="10260" width="3.140625" style="47" customWidth="1"/>
    <col min="10261" max="10261" width="3" style="47" customWidth="1"/>
    <col min="10262" max="10496" width="9.140625" style="47"/>
    <col min="10497" max="10497" width="5.7109375" style="47" bestFit="1" customWidth="1"/>
    <col min="10498" max="10498" width="4.7109375" style="47" bestFit="1" customWidth="1"/>
    <col min="10499" max="10499" width="9.140625" style="47"/>
    <col min="10500" max="10501" width="5.140625" style="47" bestFit="1" customWidth="1"/>
    <col min="10502" max="10502" width="2" style="47" bestFit="1" customWidth="1"/>
    <col min="10503" max="10503" width="34.28515625" style="47" customWidth="1"/>
    <col min="10504" max="10505" width="0" style="47" hidden="1" customWidth="1"/>
    <col min="10506" max="10506" width="8.7109375" style="47" customWidth="1"/>
    <col min="10507" max="10507" width="9.7109375" style="47" customWidth="1"/>
    <col min="10508" max="10508" width="8.5703125" style="47" customWidth="1"/>
    <col min="10509" max="10509" width="8.7109375" style="47" bestFit="1" customWidth="1"/>
    <col min="10510" max="10510" width="10.85546875" style="47" customWidth="1"/>
    <col min="10511" max="10515" width="8.7109375" style="47" bestFit="1" customWidth="1"/>
    <col min="10516" max="10516" width="3.140625" style="47" customWidth="1"/>
    <col min="10517" max="10517" width="3" style="47" customWidth="1"/>
    <col min="10518" max="10752" width="9.140625" style="47"/>
    <col min="10753" max="10753" width="5.7109375" style="47" bestFit="1" customWidth="1"/>
    <col min="10754" max="10754" width="4.7109375" style="47" bestFit="1" customWidth="1"/>
    <col min="10755" max="10755" width="9.140625" style="47"/>
    <col min="10756" max="10757" width="5.140625" style="47" bestFit="1" customWidth="1"/>
    <col min="10758" max="10758" width="2" style="47" bestFit="1" customWidth="1"/>
    <col min="10759" max="10759" width="34.28515625" style="47" customWidth="1"/>
    <col min="10760" max="10761" width="0" style="47" hidden="1" customWidth="1"/>
    <col min="10762" max="10762" width="8.7109375" style="47" customWidth="1"/>
    <col min="10763" max="10763" width="9.7109375" style="47" customWidth="1"/>
    <col min="10764" max="10764" width="8.5703125" style="47" customWidth="1"/>
    <col min="10765" max="10765" width="8.7109375" style="47" bestFit="1" customWidth="1"/>
    <col min="10766" max="10766" width="10.85546875" style="47" customWidth="1"/>
    <col min="10767" max="10771" width="8.7109375" style="47" bestFit="1" customWidth="1"/>
    <col min="10772" max="10772" width="3.140625" style="47" customWidth="1"/>
    <col min="10773" max="10773" width="3" style="47" customWidth="1"/>
    <col min="10774" max="11008" width="9.140625" style="47"/>
    <col min="11009" max="11009" width="5.7109375" style="47" bestFit="1" customWidth="1"/>
    <col min="11010" max="11010" width="4.7109375" style="47" bestFit="1" customWidth="1"/>
    <col min="11011" max="11011" width="9.140625" style="47"/>
    <col min="11012" max="11013" width="5.140625" style="47" bestFit="1" customWidth="1"/>
    <col min="11014" max="11014" width="2" style="47" bestFit="1" customWidth="1"/>
    <col min="11015" max="11015" width="34.28515625" style="47" customWidth="1"/>
    <col min="11016" max="11017" width="0" style="47" hidden="1" customWidth="1"/>
    <col min="11018" max="11018" width="8.7109375" style="47" customWidth="1"/>
    <col min="11019" max="11019" width="9.7109375" style="47" customWidth="1"/>
    <col min="11020" max="11020" width="8.5703125" style="47" customWidth="1"/>
    <col min="11021" max="11021" width="8.7109375" style="47" bestFit="1" customWidth="1"/>
    <col min="11022" max="11022" width="10.85546875" style="47" customWidth="1"/>
    <col min="11023" max="11027" width="8.7109375" style="47" bestFit="1" customWidth="1"/>
    <col min="11028" max="11028" width="3.140625" style="47" customWidth="1"/>
    <col min="11029" max="11029" width="3" style="47" customWidth="1"/>
    <col min="11030" max="11264" width="9.140625" style="47"/>
    <col min="11265" max="11265" width="5.7109375" style="47" bestFit="1" customWidth="1"/>
    <col min="11266" max="11266" width="4.7109375" style="47" bestFit="1" customWidth="1"/>
    <col min="11267" max="11267" width="9.140625" style="47"/>
    <col min="11268" max="11269" width="5.140625" style="47" bestFit="1" customWidth="1"/>
    <col min="11270" max="11270" width="2" style="47" bestFit="1" customWidth="1"/>
    <col min="11271" max="11271" width="34.28515625" style="47" customWidth="1"/>
    <col min="11272" max="11273" width="0" style="47" hidden="1" customWidth="1"/>
    <col min="11274" max="11274" width="8.7109375" style="47" customWidth="1"/>
    <col min="11275" max="11275" width="9.7109375" style="47" customWidth="1"/>
    <col min="11276" max="11276" width="8.5703125" style="47" customWidth="1"/>
    <col min="11277" max="11277" width="8.7109375" style="47" bestFit="1" customWidth="1"/>
    <col min="11278" max="11278" width="10.85546875" style="47" customWidth="1"/>
    <col min="11279" max="11283" width="8.7109375" style="47" bestFit="1" customWidth="1"/>
    <col min="11284" max="11284" width="3.140625" style="47" customWidth="1"/>
    <col min="11285" max="11285" width="3" style="47" customWidth="1"/>
    <col min="11286" max="11520" width="9.140625" style="47"/>
    <col min="11521" max="11521" width="5.7109375" style="47" bestFit="1" customWidth="1"/>
    <col min="11522" max="11522" width="4.7109375" style="47" bestFit="1" customWidth="1"/>
    <col min="11523" max="11523" width="9.140625" style="47"/>
    <col min="11524" max="11525" width="5.140625" style="47" bestFit="1" customWidth="1"/>
    <col min="11526" max="11526" width="2" style="47" bestFit="1" customWidth="1"/>
    <col min="11527" max="11527" width="34.28515625" style="47" customWidth="1"/>
    <col min="11528" max="11529" width="0" style="47" hidden="1" customWidth="1"/>
    <col min="11530" max="11530" width="8.7109375" style="47" customWidth="1"/>
    <col min="11531" max="11531" width="9.7109375" style="47" customWidth="1"/>
    <col min="11532" max="11532" width="8.5703125" style="47" customWidth="1"/>
    <col min="11533" max="11533" width="8.7109375" style="47" bestFit="1" customWidth="1"/>
    <col min="11534" max="11534" width="10.85546875" style="47" customWidth="1"/>
    <col min="11535" max="11539" width="8.7109375" style="47" bestFit="1" customWidth="1"/>
    <col min="11540" max="11540" width="3.140625" style="47" customWidth="1"/>
    <col min="11541" max="11541" width="3" style="47" customWidth="1"/>
    <col min="11542" max="11776" width="9.140625" style="47"/>
    <col min="11777" max="11777" width="5.7109375" style="47" bestFit="1" customWidth="1"/>
    <col min="11778" max="11778" width="4.7109375" style="47" bestFit="1" customWidth="1"/>
    <col min="11779" max="11779" width="9.140625" style="47"/>
    <col min="11780" max="11781" width="5.140625" style="47" bestFit="1" customWidth="1"/>
    <col min="11782" max="11782" width="2" style="47" bestFit="1" customWidth="1"/>
    <col min="11783" max="11783" width="34.28515625" style="47" customWidth="1"/>
    <col min="11784" max="11785" width="0" style="47" hidden="1" customWidth="1"/>
    <col min="11786" max="11786" width="8.7109375" style="47" customWidth="1"/>
    <col min="11787" max="11787" width="9.7109375" style="47" customWidth="1"/>
    <col min="11788" max="11788" width="8.5703125" style="47" customWidth="1"/>
    <col min="11789" max="11789" width="8.7109375" style="47" bestFit="1" customWidth="1"/>
    <col min="11790" max="11790" width="10.85546875" style="47" customWidth="1"/>
    <col min="11791" max="11795" width="8.7109375" style="47" bestFit="1" customWidth="1"/>
    <col min="11796" max="11796" width="3.140625" style="47" customWidth="1"/>
    <col min="11797" max="11797" width="3" style="47" customWidth="1"/>
    <col min="11798" max="12032" width="9.140625" style="47"/>
    <col min="12033" max="12033" width="5.7109375" style="47" bestFit="1" customWidth="1"/>
    <col min="12034" max="12034" width="4.7109375" style="47" bestFit="1" customWidth="1"/>
    <col min="12035" max="12035" width="9.140625" style="47"/>
    <col min="12036" max="12037" width="5.140625" style="47" bestFit="1" customWidth="1"/>
    <col min="12038" max="12038" width="2" style="47" bestFit="1" customWidth="1"/>
    <col min="12039" max="12039" width="34.28515625" style="47" customWidth="1"/>
    <col min="12040" max="12041" width="0" style="47" hidden="1" customWidth="1"/>
    <col min="12042" max="12042" width="8.7109375" style="47" customWidth="1"/>
    <col min="12043" max="12043" width="9.7109375" style="47" customWidth="1"/>
    <col min="12044" max="12044" width="8.5703125" style="47" customWidth="1"/>
    <col min="12045" max="12045" width="8.7109375" style="47" bestFit="1" customWidth="1"/>
    <col min="12046" max="12046" width="10.85546875" style="47" customWidth="1"/>
    <col min="12047" max="12051" width="8.7109375" style="47" bestFit="1" customWidth="1"/>
    <col min="12052" max="12052" width="3.140625" style="47" customWidth="1"/>
    <col min="12053" max="12053" width="3" style="47" customWidth="1"/>
    <col min="12054" max="12288" width="9.140625" style="47"/>
    <col min="12289" max="12289" width="5.7109375" style="47" bestFit="1" customWidth="1"/>
    <col min="12290" max="12290" width="4.7109375" style="47" bestFit="1" customWidth="1"/>
    <col min="12291" max="12291" width="9.140625" style="47"/>
    <col min="12292" max="12293" width="5.140625" style="47" bestFit="1" customWidth="1"/>
    <col min="12294" max="12294" width="2" style="47" bestFit="1" customWidth="1"/>
    <col min="12295" max="12295" width="34.28515625" style="47" customWidth="1"/>
    <col min="12296" max="12297" width="0" style="47" hidden="1" customWidth="1"/>
    <col min="12298" max="12298" width="8.7109375" style="47" customWidth="1"/>
    <col min="12299" max="12299" width="9.7109375" style="47" customWidth="1"/>
    <col min="12300" max="12300" width="8.5703125" style="47" customWidth="1"/>
    <col min="12301" max="12301" width="8.7109375" style="47" bestFit="1" customWidth="1"/>
    <col min="12302" max="12302" width="10.85546875" style="47" customWidth="1"/>
    <col min="12303" max="12307" width="8.7109375" style="47" bestFit="1" customWidth="1"/>
    <col min="12308" max="12308" width="3.140625" style="47" customWidth="1"/>
    <col min="12309" max="12309" width="3" style="47" customWidth="1"/>
    <col min="12310" max="12544" width="9.140625" style="47"/>
    <col min="12545" max="12545" width="5.7109375" style="47" bestFit="1" customWidth="1"/>
    <col min="12546" max="12546" width="4.7109375" style="47" bestFit="1" customWidth="1"/>
    <col min="12547" max="12547" width="9.140625" style="47"/>
    <col min="12548" max="12549" width="5.140625" style="47" bestFit="1" customWidth="1"/>
    <col min="12550" max="12550" width="2" style="47" bestFit="1" customWidth="1"/>
    <col min="12551" max="12551" width="34.28515625" style="47" customWidth="1"/>
    <col min="12552" max="12553" width="0" style="47" hidden="1" customWidth="1"/>
    <col min="12554" max="12554" width="8.7109375" style="47" customWidth="1"/>
    <col min="12555" max="12555" width="9.7109375" style="47" customWidth="1"/>
    <col min="12556" max="12556" width="8.5703125" style="47" customWidth="1"/>
    <col min="12557" max="12557" width="8.7109375" style="47" bestFit="1" customWidth="1"/>
    <col min="12558" max="12558" width="10.85546875" style="47" customWidth="1"/>
    <col min="12559" max="12563" width="8.7109375" style="47" bestFit="1" customWidth="1"/>
    <col min="12564" max="12564" width="3.140625" style="47" customWidth="1"/>
    <col min="12565" max="12565" width="3" style="47" customWidth="1"/>
    <col min="12566" max="12800" width="9.140625" style="47"/>
    <col min="12801" max="12801" width="5.7109375" style="47" bestFit="1" customWidth="1"/>
    <col min="12802" max="12802" width="4.7109375" style="47" bestFit="1" customWidth="1"/>
    <col min="12803" max="12803" width="9.140625" style="47"/>
    <col min="12804" max="12805" width="5.140625" style="47" bestFit="1" customWidth="1"/>
    <col min="12806" max="12806" width="2" style="47" bestFit="1" customWidth="1"/>
    <col min="12807" max="12807" width="34.28515625" style="47" customWidth="1"/>
    <col min="12808" max="12809" width="0" style="47" hidden="1" customWidth="1"/>
    <col min="12810" max="12810" width="8.7109375" style="47" customWidth="1"/>
    <col min="12811" max="12811" width="9.7109375" style="47" customWidth="1"/>
    <col min="12812" max="12812" width="8.5703125" style="47" customWidth="1"/>
    <col min="12813" max="12813" width="8.7109375" style="47" bestFit="1" customWidth="1"/>
    <col min="12814" max="12814" width="10.85546875" style="47" customWidth="1"/>
    <col min="12815" max="12819" width="8.7109375" style="47" bestFit="1" customWidth="1"/>
    <col min="12820" max="12820" width="3.140625" style="47" customWidth="1"/>
    <col min="12821" max="12821" width="3" style="47" customWidth="1"/>
    <col min="12822" max="13056" width="9.140625" style="47"/>
    <col min="13057" max="13057" width="5.7109375" style="47" bestFit="1" customWidth="1"/>
    <col min="13058" max="13058" width="4.7109375" style="47" bestFit="1" customWidth="1"/>
    <col min="13059" max="13059" width="9.140625" style="47"/>
    <col min="13060" max="13061" width="5.140625" style="47" bestFit="1" customWidth="1"/>
    <col min="13062" max="13062" width="2" style="47" bestFit="1" customWidth="1"/>
    <col min="13063" max="13063" width="34.28515625" style="47" customWidth="1"/>
    <col min="13064" max="13065" width="0" style="47" hidden="1" customWidth="1"/>
    <col min="13066" max="13066" width="8.7109375" style="47" customWidth="1"/>
    <col min="13067" max="13067" width="9.7109375" style="47" customWidth="1"/>
    <col min="13068" max="13068" width="8.5703125" style="47" customWidth="1"/>
    <col min="13069" max="13069" width="8.7109375" style="47" bestFit="1" customWidth="1"/>
    <col min="13070" max="13070" width="10.85546875" style="47" customWidth="1"/>
    <col min="13071" max="13075" width="8.7109375" style="47" bestFit="1" customWidth="1"/>
    <col min="13076" max="13076" width="3.140625" style="47" customWidth="1"/>
    <col min="13077" max="13077" width="3" style="47" customWidth="1"/>
    <col min="13078" max="13312" width="9.140625" style="47"/>
    <col min="13313" max="13313" width="5.7109375" style="47" bestFit="1" customWidth="1"/>
    <col min="13314" max="13314" width="4.7109375" style="47" bestFit="1" customWidth="1"/>
    <col min="13315" max="13315" width="9.140625" style="47"/>
    <col min="13316" max="13317" width="5.140625" style="47" bestFit="1" customWidth="1"/>
    <col min="13318" max="13318" width="2" style="47" bestFit="1" customWidth="1"/>
    <col min="13319" max="13319" width="34.28515625" style="47" customWidth="1"/>
    <col min="13320" max="13321" width="0" style="47" hidden="1" customWidth="1"/>
    <col min="13322" max="13322" width="8.7109375" style="47" customWidth="1"/>
    <col min="13323" max="13323" width="9.7109375" style="47" customWidth="1"/>
    <col min="13324" max="13324" width="8.5703125" style="47" customWidth="1"/>
    <col min="13325" max="13325" width="8.7109375" style="47" bestFit="1" customWidth="1"/>
    <col min="13326" max="13326" width="10.85546875" style="47" customWidth="1"/>
    <col min="13327" max="13331" width="8.7109375" style="47" bestFit="1" customWidth="1"/>
    <col min="13332" max="13332" width="3.140625" style="47" customWidth="1"/>
    <col min="13333" max="13333" width="3" style="47" customWidth="1"/>
    <col min="13334" max="13568" width="9.140625" style="47"/>
    <col min="13569" max="13569" width="5.7109375" style="47" bestFit="1" customWidth="1"/>
    <col min="13570" max="13570" width="4.7109375" style="47" bestFit="1" customWidth="1"/>
    <col min="13571" max="13571" width="9.140625" style="47"/>
    <col min="13572" max="13573" width="5.140625" style="47" bestFit="1" customWidth="1"/>
    <col min="13574" max="13574" width="2" style="47" bestFit="1" customWidth="1"/>
    <col min="13575" max="13575" width="34.28515625" style="47" customWidth="1"/>
    <col min="13576" max="13577" width="0" style="47" hidden="1" customWidth="1"/>
    <col min="13578" max="13578" width="8.7109375" style="47" customWidth="1"/>
    <col min="13579" max="13579" width="9.7109375" style="47" customWidth="1"/>
    <col min="13580" max="13580" width="8.5703125" style="47" customWidth="1"/>
    <col min="13581" max="13581" width="8.7109375" style="47" bestFit="1" customWidth="1"/>
    <col min="13582" max="13582" width="10.85546875" style="47" customWidth="1"/>
    <col min="13583" max="13587" width="8.7109375" style="47" bestFit="1" customWidth="1"/>
    <col min="13588" max="13588" width="3.140625" style="47" customWidth="1"/>
    <col min="13589" max="13589" width="3" style="47" customWidth="1"/>
    <col min="13590" max="13824" width="9.140625" style="47"/>
    <col min="13825" max="13825" width="5.7109375" style="47" bestFit="1" customWidth="1"/>
    <col min="13826" max="13826" width="4.7109375" style="47" bestFit="1" customWidth="1"/>
    <col min="13827" max="13827" width="9.140625" style="47"/>
    <col min="13828" max="13829" width="5.140625" style="47" bestFit="1" customWidth="1"/>
    <col min="13830" max="13830" width="2" style="47" bestFit="1" customWidth="1"/>
    <col min="13831" max="13831" width="34.28515625" style="47" customWidth="1"/>
    <col min="13832" max="13833" width="0" style="47" hidden="1" customWidth="1"/>
    <col min="13834" max="13834" width="8.7109375" style="47" customWidth="1"/>
    <col min="13835" max="13835" width="9.7109375" style="47" customWidth="1"/>
    <col min="13836" max="13836" width="8.5703125" style="47" customWidth="1"/>
    <col min="13837" max="13837" width="8.7109375" style="47" bestFit="1" customWidth="1"/>
    <col min="13838" max="13838" width="10.85546875" style="47" customWidth="1"/>
    <col min="13839" max="13843" width="8.7109375" style="47" bestFit="1" customWidth="1"/>
    <col min="13844" max="13844" width="3.140625" style="47" customWidth="1"/>
    <col min="13845" max="13845" width="3" style="47" customWidth="1"/>
    <col min="13846" max="14080" width="9.140625" style="47"/>
    <col min="14081" max="14081" width="5.7109375" style="47" bestFit="1" customWidth="1"/>
    <col min="14082" max="14082" width="4.7109375" style="47" bestFit="1" customWidth="1"/>
    <col min="14083" max="14083" width="9.140625" style="47"/>
    <col min="14084" max="14085" width="5.140625" style="47" bestFit="1" customWidth="1"/>
    <col min="14086" max="14086" width="2" style="47" bestFit="1" customWidth="1"/>
    <col min="14087" max="14087" width="34.28515625" style="47" customWidth="1"/>
    <col min="14088" max="14089" width="0" style="47" hidden="1" customWidth="1"/>
    <col min="14090" max="14090" width="8.7109375" style="47" customWidth="1"/>
    <col min="14091" max="14091" width="9.7109375" style="47" customWidth="1"/>
    <col min="14092" max="14092" width="8.5703125" style="47" customWidth="1"/>
    <col min="14093" max="14093" width="8.7109375" style="47" bestFit="1" customWidth="1"/>
    <col min="14094" max="14094" width="10.85546875" style="47" customWidth="1"/>
    <col min="14095" max="14099" width="8.7109375" style="47" bestFit="1" customWidth="1"/>
    <col min="14100" max="14100" width="3.140625" style="47" customWidth="1"/>
    <col min="14101" max="14101" width="3" style="47" customWidth="1"/>
    <col min="14102" max="14336" width="9.140625" style="47"/>
    <col min="14337" max="14337" width="5.7109375" style="47" bestFit="1" customWidth="1"/>
    <col min="14338" max="14338" width="4.7109375" style="47" bestFit="1" customWidth="1"/>
    <col min="14339" max="14339" width="9.140625" style="47"/>
    <col min="14340" max="14341" width="5.140625" style="47" bestFit="1" customWidth="1"/>
    <col min="14342" max="14342" width="2" style="47" bestFit="1" customWidth="1"/>
    <col min="14343" max="14343" width="34.28515625" style="47" customWidth="1"/>
    <col min="14344" max="14345" width="0" style="47" hidden="1" customWidth="1"/>
    <col min="14346" max="14346" width="8.7109375" style="47" customWidth="1"/>
    <col min="14347" max="14347" width="9.7109375" style="47" customWidth="1"/>
    <col min="14348" max="14348" width="8.5703125" style="47" customWidth="1"/>
    <col min="14349" max="14349" width="8.7109375" style="47" bestFit="1" customWidth="1"/>
    <col min="14350" max="14350" width="10.85546875" style="47" customWidth="1"/>
    <col min="14351" max="14355" width="8.7109375" style="47" bestFit="1" customWidth="1"/>
    <col min="14356" max="14356" width="3.140625" style="47" customWidth="1"/>
    <col min="14357" max="14357" width="3" style="47" customWidth="1"/>
    <col min="14358" max="14592" width="9.140625" style="47"/>
    <col min="14593" max="14593" width="5.7109375" style="47" bestFit="1" customWidth="1"/>
    <col min="14594" max="14594" width="4.7109375" style="47" bestFit="1" customWidth="1"/>
    <col min="14595" max="14595" width="9.140625" style="47"/>
    <col min="14596" max="14597" width="5.140625" style="47" bestFit="1" customWidth="1"/>
    <col min="14598" max="14598" width="2" style="47" bestFit="1" customWidth="1"/>
    <col min="14599" max="14599" width="34.28515625" style="47" customWidth="1"/>
    <col min="14600" max="14601" width="0" style="47" hidden="1" customWidth="1"/>
    <col min="14602" max="14602" width="8.7109375" style="47" customWidth="1"/>
    <col min="14603" max="14603" width="9.7109375" style="47" customWidth="1"/>
    <col min="14604" max="14604" width="8.5703125" style="47" customWidth="1"/>
    <col min="14605" max="14605" width="8.7109375" style="47" bestFit="1" customWidth="1"/>
    <col min="14606" max="14606" width="10.85546875" style="47" customWidth="1"/>
    <col min="14607" max="14611" width="8.7109375" style="47" bestFit="1" customWidth="1"/>
    <col min="14612" max="14612" width="3.140625" style="47" customWidth="1"/>
    <col min="14613" max="14613" width="3" style="47" customWidth="1"/>
    <col min="14614" max="14848" width="9.140625" style="47"/>
    <col min="14849" max="14849" width="5.7109375" style="47" bestFit="1" customWidth="1"/>
    <col min="14850" max="14850" width="4.7109375" style="47" bestFit="1" customWidth="1"/>
    <col min="14851" max="14851" width="9.140625" style="47"/>
    <col min="14852" max="14853" width="5.140625" style="47" bestFit="1" customWidth="1"/>
    <col min="14854" max="14854" width="2" style="47" bestFit="1" customWidth="1"/>
    <col min="14855" max="14855" width="34.28515625" style="47" customWidth="1"/>
    <col min="14856" max="14857" width="0" style="47" hidden="1" customWidth="1"/>
    <col min="14858" max="14858" width="8.7109375" style="47" customWidth="1"/>
    <col min="14859" max="14859" width="9.7109375" style="47" customWidth="1"/>
    <col min="14860" max="14860" width="8.5703125" style="47" customWidth="1"/>
    <col min="14861" max="14861" width="8.7109375" style="47" bestFit="1" customWidth="1"/>
    <col min="14862" max="14862" width="10.85546875" style="47" customWidth="1"/>
    <col min="14863" max="14867" width="8.7109375" style="47" bestFit="1" customWidth="1"/>
    <col min="14868" max="14868" width="3.140625" style="47" customWidth="1"/>
    <col min="14869" max="14869" width="3" style="47" customWidth="1"/>
    <col min="14870" max="15104" width="9.140625" style="47"/>
    <col min="15105" max="15105" width="5.7109375" style="47" bestFit="1" customWidth="1"/>
    <col min="15106" max="15106" width="4.7109375" style="47" bestFit="1" customWidth="1"/>
    <col min="15107" max="15107" width="9.140625" style="47"/>
    <col min="15108" max="15109" width="5.140625" style="47" bestFit="1" customWidth="1"/>
    <col min="15110" max="15110" width="2" style="47" bestFit="1" customWidth="1"/>
    <col min="15111" max="15111" width="34.28515625" style="47" customWidth="1"/>
    <col min="15112" max="15113" width="0" style="47" hidden="1" customWidth="1"/>
    <col min="15114" max="15114" width="8.7109375" style="47" customWidth="1"/>
    <col min="15115" max="15115" width="9.7109375" style="47" customWidth="1"/>
    <col min="15116" max="15116" width="8.5703125" style="47" customWidth="1"/>
    <col min="15117" max="15117" width="8.7109375" style="47" bestFit="1" customWidth="1"/>
    <col min="15118" max="15118" width="10.85546875" style="47" customWidth="1"/>
    <col min="15119" max="15123" width="8.7109375" style="47" bestFit="1" customWidth="1"/>
    <col min="15124" max="15124" width="3.140625" style="47" customWidth="1"/>
    <col min="15125" max="15125" width="3" style="47" customWidth="1"/>
    <col min="15126" max="15360" width="9.140625" style="47"/>
    <col min="15361" max="15361" width="5.7109375" style="47" bestFit="1" customWidth="1"/>
    <col min="15362" max="15362" width="4.7109375" style="47" bestFit="1" customWidth="1"/>
    <col min="15363" max="15363" width="9.140625" style="47"/>
    <col min="15364" max="15365" width="5.140625" style="47" bestFit="1" customWidth="1"/>
    <col min="15366" max="15366" width="2" style="47" bestFit="1" customWidth="1"/>
    <col min="15367" max="15367" width="34.28515625" style="47" customWidth="1"/>
    <col min="15368" max="15369" width="0" style="47" hidden="1" customWidth="1"/>
    <col min="15370" max="15370" width="8.7109375" style="47" customWidth="1"/>
    <col min="15371" max="15371" width="9.7109375" style="47" customWidth="1"/>
    <col min="15372" max="15372" width="8.5703125" style="47" customWidth="1"/>
    <col min="15373" max="15373" width="8.7109375" style="47" bestFit="1" customWidth="1"/>
    <col min="15374" max="15374" width="10.85546875" style="47" customWidth="1"/>
    <col min="15375" max="15379" width="8.7109375" style="47" bestFit="1" customWidth="1"/>
    <col min="15380" max="15380" width="3.140625" style="47" customWidth="1"/>
    <col min="15381" max="15381" width="3" style="47" customWidth="1"/>
    <col min="15382" max="15616" width="9.140625" style="47"/>
    <col min="15617" max="15617" width="5.7109375" style="47" bestFit="1" customWidth="1"/>
    <col min="15618" max="15618" width="4.7109375" style="47" bestFit="1" customWidth="1"/>
    <col min="15619" max="15619" width="9.140625" style="47"/>
    <col min="15620" max="15621" width="5.140625" style="47" bestFit="1" customWidth="1"/>
    <col min="15622" max="15622" width="2" style="47" bestFit="1" customWidth="1"/>
    <col min="15623" max="15623" width="34.28515625" style="47" customWidth="1"/>
    <col min="15624" max="15625" width="0" style="47" hidden="1" customWidth="1"/>
    <col min="15626" max="15626" width="8.7109375" style="47" customWidth="1"/>
    <col min="15627" max="15627" width="9.7109375" style="47" customWidth="1"/>
    <col min="15628" max="15628" width="8.5703125" style="47" customWidth="1"/>
    <col min="15629" max="15629" width="8.7109375" style="47" bestFit="1" customWidth="1"/>
    <col min="15630" max="15630" width="10.85546875" style="47" customWidth="1"/>
    <col min="15631" max="15635" width="8.7109375" style="47" bestFit="1" customWidth="1"/>
    <col min="15636" max="15636" width="3.140625" style="47" customWidth="1"/>
    <col min="15637" max="15637" width="3" style="47" customWidth="1"/>
    <col min="15638" max="15872" width="9.140625" style="47"/>
    <col min="15873" max="15873" width="5.7109375" style="47" bestFit="1" customWidth="1"/>
    <col min="15874" max="15874" width="4.7109375" style="47" bestFit="1" customWidth="1"/>
    <col min="15875" max="15875" width="9.140625" style="47"/>
    <col min="15876" max="15877" width="5.140625" style="47" bestFit="1" customWidth="1"/>
    <col min="15878" max="15878" width="2" style="47" bestFit="1" customWidth="1"/>
    <col min="15879" max="15879" width="34.28515625" style="47" customWidth="1"/>
    <col min="15880" max="15881" width="0" style="47" hidden="1" customWidth="1"/>
    <col min="15882" max="15882" width="8.7109375" style="47" customWidth="1"/>
    <col min="15883" max="15883" width="9.7109375" style="47" customWidth="1"/>
    <col min="15884" max="15884" width="8.5703125" style="47" customWidth="1"/>
    <col min="15885" max="15885" width="8.7109375" style="47" bestFit="1" customWidth="1"/>
    <col min="15886" max="15886" width="10.85546875" style="47" customWidth="1"/>
    <col min="15887" max="15891" width="8.7109375" style="47" bestFit="1" customWidth="1"/>
    <col min="15892" max="15892" width="3.140625" style="47" customWidth="1"/>
    <col min="15893" max="15893" width="3" style="47" customWidth="1"/>
    <col min="15894" max="16128" width="9.140625" style="47"/>
    <col min="16129" max="16129" width="5.7109375" style="47" bestFit="1" customWidth="1"/>
    <col min="16130" max="16130" width="4.7109375" style="47" bestFit="1" customWidth="1"/>
    <col min="16131" max="16131" width="9.140625" style="47"/>
    <col min="16132" max="16133" width="5.140625" style="47" bestFit="1" customWidth="1"/>
    <col min="16134" max="16134" width="2" style="47" bestFit="1" customWidth="1"/>
    <col min="16135" max="16135" width="34.28515625" style="47" customWidth="1"/>
    <col min="16136" max="16137" width="0" style="47" hidden="1" customWidth="1"/>
    <col min="16138" max="16138" width="8.7109375" style="47" customWidth="1"/>
    <col min="16139" max="16139" width="9.7109375" style="47" customWidth="1"/>
    <col min="16140" max="16140" width="8.5703125" style="47" customWidth="1"/>
    <col min="16141" max="16141" width="8.7109375" style="47" bestFit="1" customWidth="1"/>
    <col min="16142" max="16142" width="10.85546875" style="47" customWidth="1"/>
    <col min="16143" max="16147" width="8.7109375" style="47" bestFit="1" customWidth="1"/>
    <col min="16148" max="16148" width="3.140625" style="47" customWidth="1"/>
    <col min="16149" max="16149" width="3" style="47" customWidth="1"/>
    <col min="16150" max="16384" width="9.140625" style="47"/>
  </cols>
  <sheetData>
    <row r="1" spans="1:19" x14ac:dyDescent="0.2">
      <c r="A1" s="1"/>
      <c r="B1" s="2"/>
      <c r="C1" s="3"/>
      <c r="D1" s="3"/>
      <c r="E1" s="1"/>
      <c r="F1" s="1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</row>
    <row r="2" spans="1:19" x14ac:dyDescent="0.2">
      <c r="A2" s="3" t="s">
        <v>0</v>
      </c>
      <c r="B2" s="5" t="s">
        <v>1</v>
      </c>
      <c r="C2" s="3" t="s">
        <v>2</v>
      </c>
      <c r="D2" s="3"/>
      <c r="E2" s="1" t="s">
        <v>3</v>
      </c>
      <c r="F2" s="1"/>
      <c r="G2" s="185" t="s">
        <v>551</v>
      </c>
      <c r="H2" s="50"/>
      <c r="I2" s="51"/>
      <c r="J2" s="51"/>
      <c r="K2" s="50"/>
      <c r="L2" s="52"/>
      <c r="M2" s="71" t="s">
        <v>366</v>
      </c>
      <c r="N2" s="122" t="s">
        <v>552</v>
      </c>
      <c r="O2" s="72"/>
      <c r="P2" s="72"/>
      <c r="Q2" s="72"/>
      <c r="R2" s="73"/>
    </row>
    <row r="3" spans="1:19" x14ac:dyDescent="0.2">
      <c r="A3" s="1"/>
      <c r="B3" s="6"/>
      <c r="C3" s="3"/>
      <c r="D3" s="3"/>
      <c r="E3" s="1"/>
      <c r="F3" s="1"/>
      <c r="G3" s="53" t="s">
        <v>4</v>
      </c>
      <c r="H3" s="186">
        <v>40908</v>
      </c>
      <c r="I3" s="186">
        <v>41274</v>
      </c>
      <c r="J3" s="186">
        <v>41639</v>
      </c>
      <c r="K3" s="186">
        <v>42004</v>
      </c>
      <c r="L3" s="54">
        <v>42369</v>
      </c>
      <c r="M3" s="54">
        <v>42735</v>
      </c>
      <c r="N3" s="54">
        <v>43100</v>
      </c>
      <c r="O3" s="54">
        <v>43465</v>
      </c>
      <c r="P3" s="54">
        <v>43830</v>
      </c>
      <c r="Q3" s="54">
        <v>44196</v>
      </c>
      <c r="R3" s="54">
        <v>44561</v>
      </c>
      <c r="S3" s="54">
        <v>44926</v>
      </c>
    </row>
    <row r="4" spans="1:19" x14ac:dyDescent="0.2">
      <c r="A4" s="7"/>
      <c r="B4" s="2" t="s">
        <v>5</v>
      </c>
      <c r="C4" s="3">
        <v>1</v>
      </c>
      <c r="D4" s="3"/>
      <c r="E4" s="5"/>
      <c r="F4" s="7"/>
      <c r="G4" s="55" t="s">
        <v>6</v>
      </c>
      <c r="H4" s="56">
        <f t="shared" ref="H4:S4" si="0">H5+H10</f>
        <v>2986.212</v>
      </c>
      <c r="I4" s="56">
        <f t="shared" si="0"/>
        <v>2826.5680000000002</v>
      </c>
      <c r="J4" s="56">
        <f t="shared" si="0"/>
        <v>2710.2420000000002</v>
      </c>
      <c r="K4" s="56">
        <f t="shared" si="0"/>
        <v>2947.2060000000001</v>
      </c>
      <c r="L4" s="56">
        <f t="shared" si="0"/>
        <v>2901.5460000000003</v>
      </c>
      <c r="M4" s="56">
        <f t="shared" si="0"/>
        <v>2800.6480000000001</v>
      </c>
      <c r="N4" s="56">
        <f t="shared" si="0"/>
        <v>2861.4490000000001</v>
      </c>
      <c r="O4" s="56">
        <f t="shared" si="0"/>
        <v>2701.7869999999998</v>
      </c>
      <c r="P4" s="56">
        <f t="shared" si="0"/>
        <v>2622.5060000000003</v>
      </c>
      <c r="Q4" s="56">
        <f t="shared" si="0"/>
        <v>2556.5190000000002</v>
      </c>
      <c r="R4" s="56">
        <f t="shared" si="0"/>
        <v>2487.2780000000002</v>
      </c>
      <c r="S4" s="56">
        <f t="shared" si="0"/>
        <v>2365.0150000000003</v>
      </c>
    </row>
    <row r="5" spans="1:19" x14ac:dyDescent="0.2">
      <c r="A5" s="8"/>
      <c r="B5" s="2" t="s">
        <v>7</v>
      </c>
      <c r="C5" s="3">
        <v>10</v>
      </c>
      <c r="D5" s="3"/>
      <c r="E5" s="9"/>
      <c r="G5" s="57" t="s">
        <v>8</v>
      </c>
      <c r="H5" s="56">
        <f t="shared" ref="H5:R5" si="1">SUM(H6:H9)</f>
        <v>137.78099999999998</v>
      </c>
      <c r="I5" s="56">
        <f t="shared" si="1"/>
        <v>141.69900000000001</v>
      </c>
      <c r="J5" s="56">
        <f t="shared" si="1"/>
        <v>200.78899999999999</v>
      </c>
      <c r="K5" s="56">
        <f t="shared" si="1"/>
        <v>357.24400000000003</v>
      </c>
      <c r="L5" s="56">
        <f t="shared" si="1"/>
        <v>281.61900000000003</v>
      </c>
      <c r="M5" s="56">
        <f t="shared" si="1"/>
        <v>232.13200000000001</v>
      </c>
      <c r="N5" s="56">
        <f t="shared" si="1"/>
        <v>263.68099999999998</v>
      </c>
      <c r="O5" s="56">
        <f t="shared" si="1"/>
        <v>190.78699999999998</v>
      </c>
      <c r="P5" s="56">
        <f t="shared" si="1"/>
        <v>176.577</v>
      </c>
      <c r="Q5" s="56">
        <f t="shared" si="1"/>
        <v>171.58799999999999</v>
      </c>
      <c r="R5" s="56">
        <f t="shared" si="1"/>
        <v>175.19</v>
      </c>
      <c r="S5" s="56">
        <f>SUM(S6:S9)</f>
        <v>203.02300000000002</v>
      </c>
    </row>
    <row r="6" spans="1:19" ht="12" x14ac:dyDescent="0.2">
      <c r="A6" s="8"/>
      <c r="B6" s="2" t="s">
        <v>9</v>
      </c>
      <c r="C6" s="10" t="s">
        <v>10</v>
      </c>
      <c r="D6" s="10"/>
      <c r="E6" s="11" t="s">
        <v>11</v>
      </c>
      <c r="G6" s="57" t="s">
        <v>12</v>
      </c>
      <c r="H6" s="58">
        <v>84.438999999999993</v>
      </c>
      <c r="I6" s="58">
        <v>65.412000000000006</v>
      </c>
      <c r="J6" s="58">
        <v>138.69499999999999</v>
      </c>
      <c r="K6" s="58">
        <v>276.14600000000002</v>
      </c>
      <c r="L6" s="58">
        <v>228.43600000000001</v>
      </c>
      <c r="M6" s="58">
        <v>162.84</v>
      </c>
      <c r="N6" s="76">
        <v>194.10400000000001</v>
      </c>
      <c r="O6" s="76">
        <v>134.33699999999999</v>
      </c>
      <c r="P6" s="76">
        <v>118.577</v>
      </c>
      <c r="Q6" s="76">
        <v>108.288</v>
      </c>
      <c r="R6" s="76">
        <v>115.49</v>
      </c>
      <c r="S6" s="58">
        <v>145.72300000000001</v>
      </c>
    </row>
    <row r="7" spans="1:19" ht="12" x14ac:dyDescent="0.2">
      <c r="A7" s="8"/>
      <c r="B7" s="2" t="s">
        <v>13</v>
      </c>
      <c r="C7" s="10" t="s">
        <v>14</v>
      </c>
      <c r="D7" s="10"/>
      <c r="E7" s="11" t="s">
        <v>11</v>
      </c>
      <c r="G7" s="57" t="s">
        <v>15</v>
      </c>
      <c r="H7" s="58">
        <v>21.463000000000001</v>
      </c>
      <c r="I7" s="58">
        <v>40.287999999999997</v>
      </c>
      <c r="J7" s="58">
        <v>27.077000000000002</v>
      </c>
      <c r="K7" s="58">
        <v>63.460999999999999</v>
      </c>
      <c r="L7" s="58">
        <v>25.966000000000001</v>
      </c>
      <c r="M7" s="58">
        <v>44.712000000000003</v>
      </c>
      <c r="N7" s="76">
        <v>37.956000000000003</v>
      </c>
      <c r="O7" s="76">
        <v>32.5</v>
      </c>
      <c r="P7" s="76">
        <v>33.5</v>
      </c>
      <c r="Q7" s="76">
        <v>39.200000000000003</v>
      </c>
      <c r="R7" s="76">
        <v>34.6</v>
      </c>
      <c r="S7" s="58">
        <v>32.4</v>
      </c>
    </row>
    <row r="8" spans="1:19" ht="12" x14ac:dyDescent="0.2">
      <c r="A8" s="8"/>
      <c r="B8" s="2" t="s">
        <v>16</v>
      </c>
      <c r="C8" s="10" t="s">
        <v>17</v>
      </c>
      <c r="D8" s="10"/>
      <c r="E8" s="11" t="s">
        <v>11</v>
      </c>
      <c r="G8" s="57" t="s">
        <v>18</v>
      </c>
      <c r="H8" s="58">
        <v>0</v>
      </c>
      <c r="I8" s="58">
        <v>0</v>
      </c>
      <c r="J8" s="58">
        <v>0</v>
      </c>
      <c r="K8" s="58">
        <v>0</v>
      </c>
      <c r="L8" s="58">
        <v>0</v>
      </c>
      <c r="M8" s="58">
        <v>0</v>
      </c>
      <c r="N8" s="76">
        <v>0</v>
      </c>
      <c r="O8" s="76">
        <v>0</v>
      </c>
      <c r="P8" s="76">
        <v>0</v>
      </c>
      <c r="Q8" s="76">
        <v>0</v>
      </c>
      <c r="R8" s="76">
        <v>0</v>
      </c>
      <c r="S8" s="58">
        <v>0</v>
      </c>
    </row>
    <row r="9" spans="1:19" x14ac:dyDescent="0.2">
      <c r="A9" s="8"/>
      <c r="B9" s="2" t="s">
        <v>19</v>
      </c>
      <c r="C9" s="10">
        <v>108</v>
      </c>
      <c r="D9" s="10"/>
      <c r="E9" s="12"/>
      <c r="G9" s="57" t="s">
        <v>20</v>
      </c>
      <c r="H9" s="58">
        <v>31.879000000000001</v>
      </c>
      <c r="I9" s="58">
        <v>35.999000000000002</v>
      </c>
      <c r="J9" s="58">
        <v>35.017000000000003</v>
      </c>
      <c r="K9" s="58">
        <v>17.637</v>
      </c>
      <c r="L9" s="58">
        <v>27.216999999999999</v>
      </c>
      <c r="M9" s="58">
        <v>24.58</v>
      </c>
      <c r="N9" s="76">
        <v>31.620999999999999</v>
      </c>
      <c r="O9" s="76">
        <v>23.95</v>
      </c>
      <c r="P9" s="76">
        <v>24.5</v>
      </c>
      <c r="Q9" s="76">
        <v>24.1</v>
      </c>
      <c r="R9" s="76">
        <v>25.1</v>
      </c>
      <c r="S9" s="58">
        <v>24.9</v>
      </c>
    </row>
    <row r="10" spans="1:19" x14ac:dyDescent="0.2">
      <c r="A10" s="13"/>
      <c r="B10" s="2" t="s">
        <v>21</v>
      </c>
      <c r="C10" s="14">
        <v>15</v>
      </c>
      <c r="D10" s="14"/>
      <c r="E10" s="12"/>
      <c r="F10" s="13"/>
      <c r="G10" s="57" t="s">
        <v>22</v>
      </c>
      <c r="H10" s="56">
        <f t="shared" ref="H10:S10" si="2">SUM(H11:H16)</f>
        <v>2848.431</v>
      </c>
      <c r="I10" s="56">
        <f t="shared" si="2"/>
        <v>2684.8690000000001</v>
      </c>
      <c r="J10" s="56">
        <f t="shared" si="2"/>
        <v>2509.453</v>
      </c>
      <c r="K10" s="56">
        <f t="shared" si="2"/>
        <v>2589.962</v>
      </c>
      <c r="L10" s="56">
        <f t="shared" si="2"/>
        <v>2619.9270000000001</v>
      </c>
      <c r="M10" s="56">
        <f t="shared" si="2"/>
        <v>2568.5160000000001</v>
      </c>
      <c r="N10" s="77">
        <f t="shared" si="2"/>
        <v>2597.768</v>
      </c>
      <c r="O10" s="77">
        <f t="shared" si="2"/>
        <v>2511</v>
      </c>
      <c r="P10" s="77">
        <f t="shared" si="2"/>
        <v>2445.9290000000001</v>
      </c>
      <c r="Q10" s="77">
        <f t="shared" si="2"/>
        <v>2384.931</v>
      </c>
      <c r="R10" s="77">
        <f t="shared" si="2"/>
        <v>2312.0880000000002</v>
      </c>
      <c r="S10" s="56">
        <f t="shared" si="2"/>
        <v>2161.9920000000002</v>
      </c>
    </row>
    <row r="11" spans="1:19" ht="12" x14ac:dyDescent="0.2">
      <c r="A11" s="13"/>
      <c r="B11" s="2" t="s">
        <v>23</v>
      </c>
      <c r="C11" s="14">
        <v>150</v>
      </c>
      <c r="D11" s="14"/>
      <c r="E11" s="11" t="s">
        <v>11</v>
      </c>
      <c r="F11" s="13"/>
      <c r="G11" s="57" t="s">
        <v>24</v>
      </c>
      <c r="H11" s="58">
        <v>0</v>
      </c>
      <c r="I11" s="58">
        <v>0</v>
      </c>
      <c r="J11" s="58">
        <v>0</v>
      </c>
      <c r="K11" s="58">
        <v>0</v>
      </c>
      <c r="L11" s="58">
        <v>0</v>
      </c>
      <c r="M11" s="58">
        <v>0</v>
      </c>
      <c r="N11" s="76">
        <v>0</v>
      </c>
      <c r="O11" s="76">
        <v>0</v>
      </c>
      <c r="P11" s="76">
        <v>0</v>
      </c>
      <c r="Q11" s="76">
        <v>0</v>
      </c>
      <c r="R11" s="76">
        <v>0</v>
      </c>
      <c r="S11" s="58">
        <v>0</v>
      </c>
    </row>
    <row r="12" spans="1:19" ht="12" x14ac:dyDescent="0.2">
      <c r="A12" s="13"/>
      <c r="B12" s="2" t="s">
        <v>25</v>
      </c>
      <c r="C12" s="14">
        <v>151</v>
      </c>
      <c r="D12" s="14"/>
      <c r="E12" s="11" t="s">
        <v>11</v>
      </c>
      <c r="F12" s="13"/>
      <c r="G12" s="57" t="s">
        <v>26</v>
      </c>
      <c r="H12" s="58">
        <v>0</v>
      </c>
      <c r="I12" s="58">
        <v>0</v>
      </c>
      <c r="J12" s="58">
        <v>0</v>
      </c>
      <c r="K12" s="58">
        <v>0</v>
      </c>
      <c r="L12" s="58">
        <v>0</v>
      </c>
      <c r="M12" s="58">
        <v>0</v>
      </c>
      <c r="N12" s="76">
        <v>0</v>
      </c>
      <c r="O12" s="76">
        <v>0</v>
      </c>
      <c r="P12" s="76">
        <v>0</v>
      </c>
      <c r="Q12" s="76">
        <v>0</v>
      </c>
      <c r="R12" s="76">
        <v>0</v>
      </c>
      <c r="S12" s="58">
        <v>0</v>
      </c>
    </row>
    <row r="13" spans="1:19" ht="12" x14ac:dyDescent="0.2">
      <c r="A13" s="8"/>
      <c r="B13" s="2" t="s">
        <v>27</v>
      </c>
      <c r="C13" s="10" t="s">
        <v>28</v>
      </c>
      <c r="D13" s="10"/>
      <c r="E13" s="11" t="s">
        <v>11</v>
      </c>
      <c r="G13" s="57" t="s">
        <v>29</v>
      </c>
      <c r="H13" s="58">
        <v>0</v>
      </c>
      <c r="I13" s="58">
        <v>0</v>
      </c>
      <c r="J13" s="58">
        <v>0</v>
      </c>
      <c r="K13" s="58">
        <v>0</v>
      </c>
      <c r="L13" s="58">
        <v>0</v>
      </c>
      <c r="M13" s="58">
        <v>0</v>
      </c>
      <c r="N13" s="76">
        <v>0</v>
      </c>
      <c r="O13" s="76">
        <v>0</v>
      </c>
      <c r="P13" s="76">
        <v>0</v>
      </c>
      <c r="Q13" s="76">
        <v>0</v>
      </c>
      <c r="R13" s="76">
        <v>0</v>
      </c>
      <c r="S13" s="58">
        <v>0</v>
      </c>
    </row>
    <row r="14" spans="1:19" ht="12" x14ac:dyDescent="0.2">
      <c r="A14" s="8"/>
      <c r="B14" s="2" t="s">
        <v>30</v>
      </c>
      <c r="C14" s="10">
        <v>154</v>
      </c>
      <c r="D14" s="10"/>
      <c r="E14" s="11" t="s">
        <v>11</v>
      </c>
      <c r="G14" s="57" t="s">
        <v>31</v>
      </c>
      <c r="H14" s="58">
        <v>0</v>
      </c>
      <c r="I14" s="58">
        <v>0</v>
      </c>
      <c r="J14" s="58">
        <v>0</v>
      </c>
      <c r="K14" s="58">
        <v>0</v>
      </c>
      <c r="L14" s="58">
        <v>0</v>
      </c>
      <c r="M14" s="58">
        <v>0</v>
      </c>
      <c r="N14" s="76">
        <v>0</v>
      </c>
      <c r="O14" s="76">
        <v>0</v>
      </c>
      <c r="P14" s="76">
        <v>0</v>
      </c>
      <c r="Q14" s="76">
        <v>0</v>
      </c>
      <c r="R14" s="76">
        <v>0</v>
      </c>
      <c r="S14" s="58">
        <v>0</v>
      </c>
    </row>
    <row r="15" spans="1:19" ht="12" x14ac:dyDescent="0.2">
      <c r="A15" s="8"/>
      <c r="B15" s="2" t="s">
        <v>32</v>
      </c>
      <c r="C15" s="10" t="s">
        <v>33</v>
      </c>
      <c r="D15" s="10"/>
      <c r="E15" s="11" t="s">
        <v>11</v>
      </c>
      <c r="G15" s="57" t="s">
        <v>34</v>
      </c>
      <c r="H15" s="58">
        <v>2848.431</v>
      </c>
      <c r="I15" s="58">
        <v>2684.8690000000001</v>
      </c>
      <c r="J15" s="58">
        <v>2509.453</v>
      </c>
      <c r="K15" s="58">
        <v>2589.962</v>
      </c>
      <c r="L15" s="58">
        <v>2619.9270000000001</v>
      </c>
      <c r="M15" s="58">
        <v>2568.5160000000001</v>
      </c>
      <c r="N15" s="76">
        <v>2597.768</v>
      </c>
      <c r="O15" s="76">
        <v>2511</v>
      </c>
      <c r="P15" s="76">
        <v>2445.9290000000001</v>
      </c>
      <c r="Q15" s="76">
        <v>2384.931</v>
      </c>
      <c r="R15" s="76">
        <v>2312.0880000000002</v>
      </c>
      <c r="S15" s="58">
        <v>2161.9920000000002</v>
      </c>
    </row>
    <row r="16" spans="1:19" ht="12" x14ac:dyDescent="0.2">
      <c r="A16" s="8"/>
      <c r="B16" s="2" t="s">
        <v>35</v>
      </c>
      <c r="C16" s="10">
        <v>157</v>
      </c>
      <c r="D16" s="10"/>
      <c r="E16" s="11" t="s">
        <v>11</v>
      </c>
      <c r="G16" s="57" t="s">
        <v>36</v>
      </c>
      <c r="H16" s="58">
        <v>0</v>
      </c>
      <c r="I16" s="58">
        <v>0</v>
      </c>
      <c r="J16" s="58">
        <v>0</v>
      </c>
      <c r="K16" s="58">
        <v>0</v>
      </c>
      <c r="L16" s="58">
        <v>0</v>
      </c>
      <c r="M16" s="58">
        <v>0</v>
      </c>
      <c r="N16" s="76">
        <v>0</v>
      </c>
      <c r="O16" s="76">
        <v>0</v>
      </c>
      <c r="P16" s="76">
        <v>0</v>
      </c>
      <c r="Q16" s="76">
        <v>0</v>
      </c>
      <c r="R16" s="76">
        <v>0</v>
      </c>
      <c r="S16" s="58">
        <v>0</v>
      </c>
    </row>
    <row r="17" spans="1:19" ht="12" x14ac:dyDescent="0.2">
      <c r="A17" s="15"/>
      <c r="B17" s="2" t="s">
        <v>37</v>
      </c>
      <c r="C17" s="78" t="s">
        <v>38</v>
      </c>
      <c r="D17" s="15"/>
      <c r="E17" s="11" t="s">
        <v>11</v>
      </c>
      <c r="F17" s="16"/>
      <c r="G17" s="59" t="s">
        <v>39</v>
      </c>
      <c r="H17" s="60">
        <v>0</v>
      </c>
      <c r="I17" s="60">
        <v>0</v>
      </c>
      <c r="J17" s="60">
        <v>0</v>
      </c>
      <c r="K17" s="60">
        <v>0</v>
      </c>
      <c r="L17" s="60">
        <v>0</v>
      </c>
      <c r="M17" s="60">
        <v>0</v>
      </c>
      <c r="N17" s="80">
        <v>0</v>
      </c>
      <c r="O17" s="80">
        <v>0</v>
      </c>
      <c r="P17" s="80">
        <v>0</v>
      </c>
      <c r="Q17" s="80">
        <v>0</v>
      </c>
      <c r="R17" s="80">
        <v>0</v>
      </c>
      <c r="S17" s="60">
        <v>0</v>
      </c>
    </row>
    <row r="18" spans="1:19" x14ac:dyDescent="0.2">
      <c r="A18" s="8"/>
      <c r="B18" s="2" t="s">
        <v>40</v>
      </c>
      <c r="C18" s="10">
        <v>2</v>
      </c>
      <c r="D18" s="10"/>
      <c r="E18" s="12"/>
      <c r="G18" s="57" t="s">
        <v>41</v>
      </c>
      <c r="H18" s="56">
        <f t="shared" ref="H18:S18" si="3">H19+H27</f>
        <v>2986.2150000000001</v>
      </c>
      <c r="I18" s="56">
        <f t="shared" si="3"/>
        <v>2826.5680000000002</v>
      </c>
      <c r="J18" s="56">
        <f t="shared" si="3"/>
        <v>2710.241</v>
      </c>
      <c r="K18" s="56">
        <f t="shared" si="3"/>
        <v>2947.2049999999999</v>
      </c>
      <c r="L18" s="56">
        <f t="shared" si="3"/>
        <v>2901.5449999999996</v>
      </c>
      <c r="M18" s="56">
        <f t="shared" si="3"/>
        <v>2800.6489999999994</v>
      </c>
      <c r="N18" s="77">
        <f t="shared" si="3"/>
        <v>2861.4479999999999</v>
      </c>
      <c r="O18" s="77">
        <f t="shared" si="3"/>
        <v>2701.8399999999997</v>
      </c>
      <c r="P18" s="77">
        <f t="shared" si="3"/>
        <v>2622.5060000000003</v>
      </c>
      <c r="Q18" s="77">
        <f t="shared" si="3"/>
        <v>2556.5190000000002</v>
      </c>
      <c r="R18" s="77">
        <f t="shared" si="3"/>
        <v>2487.2779999999998</v>
      </c>
      <c r="S18" s="56">
        <f t="shared" si="3"/>
        <v>2365.0149999999999</v>
      </c>
    </row>
    <row r="19" spans="1:19" x14ac:dyDescent="0.2">
      <c r="A19" s="8"/>
      <c r="B19" s="2" t="s">
        <v>42</v>
      </c>
      <c r="C19" s="10" t="s">
        <v>43</v>
      </c>
      <c r="D19" s="10"/>
      <c r="E19" s="12"/>
      <c r="G19" s="57" t="s">
        <v>44</v>
      </c>
      <c r="H19" s="56">
        <f t="shared" ref="H19:S19" si="4">SUM(H21:H26)</f>
        <v>257.43299999999999</v>
      </c>
      <c r="I19" s="56">
        <f t="shared" si="4"/>
        <v>29.306000000000001</v>
      </c>
      <c r="J19" s="56">
        <f t="shared" si="4"/>
        <v>33.36</v>
      </c>
      <c r="K19" s="56">
        <f t="shared" si="4"/>
        <v>166.1</v>
      </c>
      <c r="L19" s="56">
        <f t="shared" si="4"/>
        <v>36.372999999999998</v>
      </c>
      <c r="M19" s="56">
        <f t="shared" si="4"/>
        <v>33.363999999999997</v>
      </c>
      <c r="N19" s="77">
        <f t="shared" si="4"/>
        <v>33.325000000000003</v>
      </c>
      <c r="O19" s="77">
        <f t="shared" si="4"/>
        <v>33.200000000000003</v>
      </c>
      <c r="P19" s="77">
        <f t="shared" si="4"/>
        <v>33.988999999999997</v>
      </c>
      <c r="Q19" s="77">
        <f t="shared" si="4"/>
        <v>34.049999999999997</v>
      </c>
      <c r="R19" s="77">
        <f t="shared" si="4"/>
        <v>33.35</v>
      </c>
      <c r="S19" s="56">
        <f t="shared" si="4"/>
        <v>33.75</v>
      </c>
    </row>
    <row r="20" spans="1:19" ht="12" x14ac:dyDescent="0.2">
      <c r="A20" s="17"/>
      <c r="B20" s="2" t="s">
        <v>45</v>
      </c>
      <c r="C20" s="78" t="s">
        <v>46</v>
      </c>
      <c r="D20" s="15"/>
      <c r="E20" s="11" t="s">
        <v>11</v>
      </c>
      <c r="F20" s="17"/>
      <c r="G20" s="59" t="s">
        <v>47</v>
      </c>
      <c r="H20" s="61">
        <v>257.43</v>
      </c>
      <c r="I20" s="61">
        <v>29.306000000000001</v>
      </c>
      <c r="J20" s="61">
        <v>33.36</v>
      </c>
      <c r="K20" s="61">
        <v>166.1</v>
      </c>
      <c r="L20" s="61">
        <v>36.372999999999998</v>
      </c>
      <c r="M20" s="61">
        <v>33.363999999999997</v>
      </c>
      <c r="N20" s="82">
        <v>33.325000000000003</v>
      </c>
      <c r="O20" s="82">
        <v>33</v>
      </c>
      <c r="P20" s="82">
        <v>33.988999999999997</v>
      </c>
      <c r="Q20" s="82">
        <v>34.049999999999997</v>
      </c>
      <c r="R20" s="82">
        <v>33.35</v>
      </c>
      <c r="S20" s="61">
        <v>33.75</v>
      </c>
    </row>
    <row r="21" spans="1:19" ht="12" x14ac:dyDescent="0.2">
      <c r="A21" s="8"/>
      <c r="B21" s="2" t="s">
        <v>48</v>
      </c>
      <c r="C21" s="18" t="s">
        <v>49</v>
      </c>
      <c r="D21" s="18"/>
      <c r="E21" s="11" t="s">
        <v>11</v>
      </c>
      <c r="G21" s="57" t="s">
        <v>50</v>
      </c>
      <c r="H21" s="58">
        <f>0.608+10.381+12.978</f>
        <v>23.966999999999999</v>
      </c>
      <c r="I21" s="58">
        <v>29.306000000000001</v>
      </c>
      <c r="J21" s="58">
        <v>33.36</v>
      </c>
      <c r="K21" s="58">
        <v>166.1</v>
      </c>
      <c r="L21" s="58">
        <v>36.372999999999998</v>
      </c>
      <c r="M21" s="58">
        <v>33.363999999999997</v>
      </c>
      <c r="N21" s="76">
        <v>33.325000000000003</v>
      </c>
      <c r="O21" s="76">
        <v>33.200000000000003</v>
      </c>
      <c r="P21" s="76">
        <v>33.988999999999997</v>
      </c>
      <c r="Q21" s="76">
        <v>34.049999999999997</v>
      </c>
      <c r="R21" s="76">
        <v>33.35</v>
      </c>
      <c r="S21" s="58">
        <v>33.75</v>
      </c>
    </row>
    <row r="22" spans="1:19" ht="12" x14ac:dyDescent="0.2">
      <c r="A22" s="8"/>
      <c r="B22" s="2" t="s">
        <v>51</v>
      </c>
      <c r="C22" s="10" t="s">
        <v>52</v>
      </c>
      <c r="D22" s="10"/>
      <c r="E22" s="11" t="s">
        <v>11</v>
      </c>
      <c r="G22" s="57" t="s">
        <v>53</v>
      </c>
      <c r="H22" s="58">
        <v>0</v>
      </c>
      <c r="I22" s="58">
        <v>0</v>
      </c>
      <c r="J22" s="58">
        <v>0</v>
      </c>
      <c r="K22" s="58">
        <v>0</v>
      </c>
      <c r="L22" s="58">
        <v>0</v>
      </c>
      <c r="M22" s="58">
        <v>0</v>
      </c>
      <c r="N22" s="76">
        <v>0</v>
      </c>
      <c r="O22" s="76">
        <v>0</v>
      </c>
      <c r="P22" s="76">
        <v>0</v>
      </c>
      <c r="Q22" s="76">
        <v>0</v>
      </c>
      <c r="R22" s="76">
        <v>0</v>
      </c>
      <c r="S22" s="58">
        <v>0</v>
      </c>
    </row>
    <row r="23" spans="1:19" ht="12" x14ac:dyDescent="0.2">
      <c r="A23" s="8"/>
      <c r="B23" s="2" t="s">
        <v>54</v>
      </c>
      <c r="C23" s="10">
        <v>257</v>
      </c>
      <c r="D23" s="10"/>
      <c r="E23" s="11" t="s">
        <v>11</v>
      </c>
      <c r="G23" s="57" t="s">
        <v>55</v>
      </c>
      <c r="H23" s="58">
        <v>0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76">
        <v>0</v>
      </c>
      <c r="O23" s="76">
        <v>0</v>
      </c>
      <c r="P23" s="76">
        <v>0</v>
      </c>
      <c r="Q23" s="76">
        <v>0</v>
      </c>
      <c r="R23" s="76">
        <v>0</v>
      </c>
      <c r="S23" s="58">
        <v>0</v>
      </c>
    </row>
    <row r="24" spans="1:19" ht="12" x14ac:dyDescent="0.2">
      <c r="A24" s="19"/>
      <c r="B24" s="2" t="s">
        <v>56</v>
      </c>
      <c r="C24" s="10" t="s">
        <v>57</v>
      </c>
      <c r="D24" s="10"/>
      <c r="E24" s="11" t="s">
        <v>11</v>
      </c>
      <c r="F24" s="19"/>
      <c r="G24" s="57" t="s">
        <v>58</v>
      </c>
      <c r="H24" s="58">
        <v>233.46600000000001</v>
      </c>
      <c r="I24" s="58">
        <v>0</v>
      </c>
      <c r="J24" s="58">
        <v>0</v>
      </c>
      <c r="K24" s="58">
        <v>0</v>
      </c>
      <c r="L24" s="58">
        <v>0</v>
      </c>
      <c r="M24" s="58">
        <v>0</v>
      </c>
      <c r="N24" s="76">
        <v>0</v>
      </c>
      <c r="O24" s="76">
        <v>0</v>
      </c>
      <c r="P24" s="76">
        <v>0</v>
      </c>
      <c r="Q24" s="76">
        <v>0</v>
      </c>
      <c r="R24" s="76">
        <v>0</v>
      </c>
      <c r="S24" s="58">
        <v>0</v>
      </c>
    </row>
    <row r="25" spans="1:19" ht="12" x14ac:dyDescent="0.2">
      <c r="A25" s="19"/>
      <c r="B25" s="2" t="s">
        <v>59</v>
      </c>
      <c r="C25" s="10" t="s">
        <v>60</v>
      </c>
      <c r="D25" s="10"/>
      <c r="E25" s="11" t="s">
        <v>11</v>
      </c>
      <c r="F25" s="19"/>
      <c r="G25" s="57" t="s">
        <v>61</v>
      </c>
      <c r="H25" s="58">
        <v>0</v>
      </c>
      <c r="I25" s="58">
        <v>0</v>
      </c>
      <c r="J25" s="58">
        <v>0</v>
      </c>
      <c r="K25" s="58">
        <v>0</v>
      </c>
      <c r="L25" s="58">
        <v>0</v>
      </c>
      <c r="M25" s="58">
        <v>0</v>
      </c>
      <c r="N25" s="76">
        <v>0</v>
      </c>
      <c r="O25" s="76">
        <v>0</v>
      </c>
      <c r="P25" s="76">
        <v>0</v>
      </c>
      <c r="Q25" s="76">
        <v>0</v>
      </c>
      <c r="R25" s="76">
        <v>0</v>
      </c>
      <c r="S25" s="58">
        <v>0</v>
      </c>
    </row>
    <row r="26" spans="1:19" ht="12" x14ac:dyDescent="0.2">
      <c r="A26" s="8"/>
      <c r="B26" s="2" t="s">
        <v>62</v>
      </c>
      <c r="C26" s="10">
        <v>28</v>
      </c>
      <c r="D26" s="10"/>
      <c r="E26" s="11" t="s">
        <v>11</v>
      </c>
      <c r="G26" s="57" t="s">
        <v>63</v>
      </c>
      <c r="H26" s="58">
        <v>0</v>
      </c>
      <c r="I26" s="58">
        <v>0</v>
      </c>
      <c r="J26" s="58">
        <v>0</v>
      </c>
      <c r="K26" s="58">
        <v>0</v>
      </c>
      <c r="L26" s="58">
        <v>0</v>
      </c>
      <c r="M26" s="58">
        <v>0</v>
      </c>
      <c r="N26" s="76">
        <v>0</v>
      </c>
      <c r="O26" s="76">
        <v>0</v>
      </c>
      <c r="P26" s="76">
        <v>0</v>
      </c>
      <c r="Q26" s="76">
        <v>0</v>
      </c>
      <c r="R26" s="76">
        <v>0</v>
      </c>
      <c r="S26" s="58">
        <v>0</v>
      </c>
    </row>
    <row r="27" spans="1:19" x14ac:dyDescent="0.2">
      <c r="A27" s="8"/>
      <c r="B27" s="2" t="s">
        <v>64</v>
      </c>
      <c r="C27" s="10">
        <v>29</v>
      </c>
      <c r="D27" s="10"/>
      <c r="E27" s="12"/>
      <c r="G27" s="57" t="s">
        <v>65</v>
      </c>
      <c r="H27" s="56">
        <f t="shared" ref="H27:M27" si="5">SUM(H28:H30)</f>
        <v>2728.7820000000002</v>
      </c>
      <c r="I27" s="56">
        <f t="shared" si="5"/>
        <v>2797.2620000000002</v>
      </c>
      <c r="J27" s="56">
        <f t="shared" si="5"/>
        <v>2676.8809999999999</v>
      </c>
      <c r="K27" s="56">
        <f t="shared" si="5"/>
        <v>2781.105</v>
      </c>
      <c r="L27" s="56">
        <f t="shared" si="5"/>
        <v>2865.1719999999996</v>
      </c>
      <c r="M27" s="56">
        <f t="shared" si="5"/>
        <v>2767.2849999999994</v>
      </c>
      <c r="N27" s="77">
        <f t="shared" ref="N27:S27" si="6">SUM(N28:N30)</f>
        <v>2828.123</v>
      </c>
      <c r="O27" s="77">
        <f t="shared" si="6"/>
        <v>2668.64</v>
      </c>
      <c r="P27" s="77">
        <f t="shared" si="6"/>
        <v>2588.5170000000003</v>
      </c>
      <c r="Q27" s="77">
        <f t="shared" si="6"/>
        <v>2522.4690000000001</v>
      </c>
      <c r="R27" s="77">
        <f t="shared" si="6"/>
        <v>2453.9279999999999</v>
      </c>
      <c r="S27" s="56">
        <f t="shared" si="6"/>
        <v>2331.2649999999999</v>
      </c>
    </row>
    <row r="28" spans="1:19" ht="12" x14ac:dyDescent="0.2">
      <c r="A28" s="8"/>
      <c r="B28" s="2" t="s">
        <v>66</v>
      </c>
      <c r="C28" s="8" t="s">
        <v>67</v>
      </c>
      <c r="D28" s="8"/>
      <c r="E28" s="11" t="s">
        <v>11</v>
      </c>
      <c r="G28" s="57" t="s">
        <v>68</v>
      </c>
      <c r="H28" s="58">
        <v>1575.9490000000001</v>
      </c>
      <c r="I28" s="58">
        <v>1575.9490000000001</v>
      </c>
      <c r="J28" s="58">
        <v>1575.9490000000001</v>
      </c>
      <c r="K28" s="58">
        <v>1575.9490000000001</v>
      </c>
      <c r="L28" s="58">
        <v>1575.9490000000001</v>
      </c>
      <c r="M28" s="58">
        <v>1575.9490000000001</v>
      </c>
      <c r="N28" s="76">
        <v>1575.9490000000001</v>
      </c>
      <c r="O28" s="76">
        <v>1575.9490000000001</v>
      </c>
      <c r="P28" s="76">
        <v>1575.9490000000001</v>
      </c>
      <c r="Q28" s="76">
        <v>1575.9490000000001</v>
      </c>
      <c r="R28" s="76">
        <v>1575.9490000000001</v>
      </c>
      <c r="S28" s="58">
        <v>1575.9490000000001</v>
      </c>
    </row>
    <row r="29" spans="1:19" ht="12" x14ac:dyDescent="0.2">
      <c r="A29" s="8"/>
      <c r="B29" s="2" t="s">
        <v>69</v>
      </c>
      <c r="C29" s="10">
        <v>298</v>
      </c>
      <c r="D29" s="10"/>
      <c r="E29" s="11" t="s">
        <v>11</v>
      </c>
      <c r="G29" s="57" t="s">
        <v>70</v>
      </c>
      <c r="H29" s="58">
        <v>1077.5039999999999</v>
      </c>
      <c r="I29" s="58">
        <f>H29+H30</f>
        <v>1152.8329999999999</v>
      </c>
      <c r="J29" s="58">
        <f>I29+I30</f>
        <v>1221.3129999999999</v>
      </c>
      <c r="K29" s="58">
        <f>J29+J30</f>
        <v>1100.9319999999998</v>
      </c>
      <c r="L29" s="58">
        <f>K29+K30</f>
        <v>1205.1559999999997</v>
      </c>
      <c r="M29" s="58">
        <f>L29+L30</f>
        <v>1289.2229999999997</v>
      </c>
      <c r="N29" s="76">
        <v>1191.336</v>
      </c>
      <c r="O29" s="76">
        <v>1252.174</v>
      </c>
      <c r="P29" s="76">
        <v>1092.692</v>
      </c>
      <c r="Q29" s="76">
        <v>1012.568</v>
      </c>
      <c r="R29" s="76">
        <v>946.52</v>
      </c>
      <c r="S29" s="58">
        <v>877.97900000000004</v>
      </c>
    </row>
    <row r="30" spans="1:19" ht="12" x14ac:dyDescent="0.2">
      <c r="A30" s="8"/>
      <c r="B30" s="2" t="s">
        <v>71</v>
      </c>
      <c r="C30" s="10">
        <v>299</v>
      </c>
      <c r="D30" s="10"/>
      <c r="E30" s="11" t="s">
        <v>72</v>
      </c>
      <c r="G30" s="57" t="s">
        <v>73</v>
      </c>
      <c r="H30" s="58">
        <v>75.328999999999994</v>
      </c>
      <c r="I30" s="58">
        <v>68.48</v>
      </c>
      <c r="J30" s="58">
        <v>-120.381</v>
      </c>
      <c r="K30" s="58">
        <v>104.224</v>
      </c>
      <c r="L30" s="58">
        <v>84.066999999999993</v>
      </c>
      <c r="M30" s="58">
        <v>-97.887</v>
      </c>
      <c r="N30" s="76">
        <v>60.838000000000001</v>
      </c>
      <c r="O30" s="76">
        <v>-159.483</v>
      </c>
      <c r="P30" s="76">
        <v>-80.123999999999995</v>
      </c>
      <c r="Q30" s="76">
        <v>-66.048000000000002</v>
      </c>
      <c r="R30" s="76">
        <v>-68.540999999999997</v>
      </c>
      <c r="S30" s="58">
        <v>-122.663</v>
      </c>
    </row>
    <row r="31" spans="1:19" x14ac:dyDescent="0.2">
      <c r="A31" s="20"/>
      <c r="B31" s="2" t="s">
        <v>368</v>
      </c>
      <c r="C31" s="83" t="s">
        <v>369</v>
      </c>
      <c r="D31" s="21"/>
      <c r="E31" s="22"/>
      <c r="F31" s="20"/>
      <c r="G31" s="62" t="s">
        <v>74</v>
      </c>
      <c r="H31" s="63">
        <f t="shared" ref="H31:S31" si="7">H4-H18</f>
        <v>-3.0000000001564331E-3</v>
      </c>
      <c r="I31" s="63">
        <f t="shared" si="7"/>
        <v>0</v>
      </c>
      <c r="J31" s="63">
        <f t="shared" si="7"/>
        <v>1.0000000002037268E-3</v>
      </c>
      <c r="K31" s="63">
        <f t="shared" si="7"/>
        <v>1.0000000002037268E-3</v>
      </c>
      <c r="L31" s="63">
        <f t="shared" si="7"/>
        <v>1.0000000006584742E-3</v>
      </c>
      <c r="M31" s="63">
        <f t="shared" si="7"/>
        <v>-9.9999999929423211E-4</v>
      </c>
      <c r="N31" s="85">
        <f t="shared" si="7"/>
        <v>1.0000000002037268E-3</v>
      </c>
      <c r="O31" s="85">
        <f t="shared" si="7"/>
        <v>-5.2999999999883585E-2</v>
      </c>
      <c r="P31" s="85">
        <f t="shared" si="7"/>
        <v>0</v>
      </c>
      <c r="Q31" s="85">
        <f t="shared" si="7"/>
        <v>0</v>
      </c>
      <c r="R31" s="85">
        <f t="shared" si="7"/>
        <v>0</v>
      </c>
      <c r="S31" s="63">
        <f t="shared" si="7"/>
        <v>0</v>
      </c>
    </row>
    <row r="32" spans="1:19" x14ac:dyDescent="0.2">
      <c r="A32" s="8"/>
      <c r="B32" s="2"/>
      <c r="C32" s="10"/>
      <c r="D32" s="10"/>
      <c r="E32" s="9"/>
      <c r="G32" s="53" t="s">
        <v>75</v>
      </c>
      <c r="H32" s="64">
        <v>2011</v>
      </c>
      <c r="I32" s="64">
        <f t="shared" ref="I32:S32" si="8">H32+1</f>
        <v>2012</v>
      </c>
      <c r="J32" s="64">
        <f t="shared" si="8"/>
        <v>2013</v>
      </c>
      <c r="K32" s="64">
        <f t="shared" si="8"/>
        <v>2014</v>
      </c>
      <c r="L32" s="64">
        <f t="shared" si="8"/>
        <v>2015</v>
      </c>
      <c r="M32" s="64">
        <f t="shared" si="8"/>
        <v>2016</v>
      </c>
      <c r="N32" s="87">
        <f t="shared" si="8"/>
        <v>2017</v>
      </c>
      <c r="O32" s="87">
        <f t="shared" si="8"/>
        <v>2018</v>
      </c>
      <c r="P32" s="87">
        <f t="shared" si="8"/>
        <v>2019</v>
      </c>
      <c r="Q32" s="87">
        <f t="shared" si="8"/>
        <v>2020</v>
      </c>
      <c r="R32" s="87">
        <f t="shared" si="8"/>
        <v>2021</v>
      </c>
      <c r="S32" s="64">
        <f t="shared" si="8"/>
        <v>2022</v>
      </c>
    </row>
    <row r="33" spans="1:19" x14ac:dyDescent="0.2">
      <c r="A33" s="8"/>
      <c r="B33" s="2" t="s">
        <v>76</v>
      </c>
      <c r="C33" s="10">
        <v>3</v>
      </c>
      <c r="D33" s="10"/>
      <c r="E33" s="9"/>
      <c r="G33" s="55" t="s">
        <v>77</v>
      </c>
      <c r="H33" s="56">
        <f t="shared" ref="H33:S33" si="9">SUM(H34:H37)</f>
        <v>778.00599999999997</v>
      </c>
      <c r="I33" s="56">
        <f t="shared" si="9"/>
        <v>852.37799999999993</v>
      </c>
      <c r="J33" s="56">
        <f t="shared" si="9"/>
        <v>771.625</v>
      </c>
      <c r="K33" s="56">
        <f t="shared" si="9"/>
        <v>944.03899999999999</v>
      </c>
      <c r="L33" s="56">
        <f t="shared" si="9"/>
        <v>1007.119</v>
      </c>
      <c r="M33" s="56">
        <f t="shared" si="9"/>
        <v>941.12699999999995</v>
      </c>
      <c r="N33" s="77">
        <f t="shared" si="9"/>
        <v>1051.027</v>
      </c>
      <c r="O33" s="77">
        <f t="shared" si="9"/>
        <v>862</v>
      </c>
      <c r="P33" s="77">
        <f t="shared" si="9"/>
        <v>957.38800000000003</v>
      </c>
      <c r="Q33" s="77">
        <f t="shared" si="9"/>
        <v>975.57799999999997</v>
      </c>
      <c r="R33" s="77">
        <f t="shared" si="9"/>
        <v>976.9079999999999</v>
      </c>
      <c r="S33" s="56">
        <f t="shared" si="9"/>
        <v>923.56999999999994</v>
      </c>
    </row>
    <row r="34" spans="1:19" ht="12" x14ac:dyDescent="0.2">
      <c r="A34" s="8"/>
      <c r="B34" s="2" t="s">
        <v>78</v>
      </c>
      <c r="C34" s="10">
        <v>30</v>
      </c>
      <c r="D34" s="10"/>
      <c r="E34" s="11" t="s">
        <v>11</v>
      </c>
      <c r="G34" s="57" t="s">
        <v>79</v>
      </c>
      <c r="H34" s="58">
        <v>0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76">
        <v>0</v>
      </c>
      <c r="O34" s="76">
        <v>0</v>
      </c>
      <c r="P34" s="76">
        <v>0</v>
      </c>
      <c r="Q34" s="76">
        <v>0</v>
      </c>
      <c r="R34" s="76">
        <v>0</v>
      </c>
      <c r="S34" s="58">
        <v>0</v>
      </c>
    </row>
    <row r="35" spans="1:19" ht="12" x14ac:dyDescent="0.2">
      <c r="A35" s="8"/>
      <c r="B35" s="2" t="s">
        <v>80</v>
      </c>
      <c r="C35" s="10">
        <v>32</v>
      </c>
      <c r="D35" s="10"/>
      <c r="E35" s="11" t="s">
        <v>11</v>
      </c>
      <c r="G35" s="57" t="s">
        <v>81</v>
      </c>
      <c r="H35" s="58">
        <v>248.369</v>
      </c>
      <c r="I35" s="58">
        <v>268.125</v>
      </c>
      <c r="J35" s="58">
        <v>305.31799999999998</v>
      </c>
      <c r="K35" s="58">
        <v>292.49400000000003</v>
      </c>
      <c r="L35" s="58">
        <v>323.01900000000001</v>
      </c>
      <c r="M35" s="58">
        <v>347.55599999999998</v>
      </c>
      <c r="N35" s="76">
        <v>332.47399999999999</v>
      </c>
      <c r="O35" s="76">
        <v>325</v>
      </c>
      <c r="P35" s="76">
        <v>335</v>
      </c>
      <c r="Q35" s="76">
        <v>345.05</v>
      </c>
      <c r="R35" s="76">
        <v>355.40100000000001</v>
      </c>
      <c r="S35" s="58">
        <v>366.06299999999999</v>
      </c>
    </row>
    <row r="36" spans="1:19" ht="12" x14ac:dyDescent="0.2">
      <c r="A36" s="13"/>
      <c r="B36" s="2" t="s">
        <v>82</v>
      </c>
      <c r="C36" s="10">
        <v>35</v>
      </c>
      <c r="D36" s="10"/>
      <c r="E36" s="11" t="s">
        <v>11</v>
      </c>
      <c r="F36" s="13"/>
      <c r="G36" s="57" t="s">
        <v>83</v>
      </c>
      <c r="H36" s="58">
        <v>529.63699999999994</v>
      </c>
      <c r="I36" s="58">
        <v>584.16899999999998</v>
      </c>
      <c r="J36" s="58">
        <v>466.30700000000002</v>
      </c>
      <c r="K36" s="58">
        <v>651.54499999999996</v>
      </c>
      <c r="L36" s="58">
        <v>684.1</v>
      </c>
      <c r="M36" s="58">
        <v>574.48599999999999</v>
      </c>
      <c r="N36" s="76">
        <v>668.553</v>
      </c>
      <c r="O36" s="76">
        <v>537</v>
      </c>
      <c r="P36" s="76">
        <v>622.38800000000003</v>
      </c>
      <c r="Q36" s="76">
        <v>630.52800000000002</v>
      </c>
      <c r="R36" s="76">
        <v>621.50699999999995</v>
      </c>
      <c r="S36" s="58">
        <v>557.50699999999995</v>
      </c>
    </row>
    <row r="37" spans="1:19" ht="12" x14ac:dyDescent="0.2">
      <c r="A37" s="8"/>
      <c r="B37" s="2" t="s">
        <v>84</v>
      </c>
      <c r="C37" s="10">
        <v>38</v>
      </c>
      <c r="D37" s="10"/>
      <c r="E37" s="11" t="s">
        <v>72</v>
      </c>
      <c r="G37" s="57" t="s">
        <v>85</v>
      </c>
      <c r="H37" s="58">
        <v>0</v>
      </c>
      <c r="I37" s="58">
        <v>8.4000000000000005E-2</v>
      </c>
      <c r="J37" s="58">
        <v>0</v>
      </c>
      <c r="K37" s="58">
        <v>0</v>
      </c>
      <c r="L37" s="58">
        <v>0</v>
      </c>
      <c r="M37" s="58">
        <v>19.085000000000001</v>
      </c>
      <c r="N37" s="76">
        <v>50</v>
      </c>
      <c r="O37" s="76">
        <v>0</v>
      </c>
      <c r="P37" s="76">
        <v>0</v>
      </c>
      <c r="Q37" s="76">
        <v>0</v>
      </c>
      <c r="R37" s="76">
        <v>0</v>
      </c>
      <c r="S37" s="58">
        <v>0</v>
      </c>
    </row>
    <row r="38" spans="1:19" x14ac:dyDescent="0.2">
      <c r="A38" s="8"/>
      <c r="B38" s="2" t="s">
        <v>86</v>
      </c>
      <c r="C38" s="10">
        <v>4</v>
      </c>
      <c r="D38" s="10"/>
      <c r="E38" s="23"/>
      <c r="G38" s="57" t="s">
        <v>87</v>
      </c>
      <c r="H38" s="56">
        <f t="shared" ref="H38:S38" si="10">H39+H40</f>
        <v>-0.1</v>
      </c>
      <c r="I38" s="56">
        <f t="shared" si="10"/>
        <v>0</v>
      </c>
      <c r="J38" s="56">
        <f t="shared" si="10"/>
        <v>-0.375</v>
      </c>
      <c r="K38" s="56">
        <f t="shared" si="10"/>
        <v>-0.11</v>
      </c>
      <c r="L38" s="56">
        <f t="shared" si="10"/>
        <v>-0.11</v>
      </c>
      <c r="M38" s="56">
        <f t="shared" si="10"/>
        <v>0</v>
      </c>
      <c r="N38" s="77">
        <f t="shared" si="10"/>
        <v>0</v>
      </c>
      <c r="O38" s="77">
        <f t="shared" si="10"/>
        <v>0</v>
      </c>
      <c r="P38" s="77">
        <f t="shared" si="10"/>
        <v>0</v>
      </c>
      <c r="Q38" s="77">
        <f t="shared" si="10"/>
        <v>0</v>
      </c>
      <c r="R38" s="77">
        <f t="shared" si="10"/>
        <v>0</v>
      </c>
      <c r="S38" s="56">
        <f t="shared" si="10"/>
        <v>0</v>
      </c>
    </row>
    <row r="39" spans="1:19" ht="12" x14ac:dyDescent="0.2">
      <c r="A39" s="8"/>
      <c r="B39" s="2" t="s">
        <v>88</v>
      </c>
      <c r="C39" s="10">
        <v>41</v>
      </c>
      <c r="D39" s="10"/>
      <c r="E39" s="11" t="s">
        <v>89</v>
      </c>
      <c r="G39" s="57" t="s">
        <v>90</v>
      </c>
      <c r="H39" s="58">
        <v>0</v>
      </c>
      <c r="I39" s="58">
        <v>0</v>
      </c>
      <c r="J39" s="58">
        <v>0</v>
      </c>
      <c r="K39" s="58">
        <v>0</v>
      </c>
      <c r="L39" s="58">
        <v>0</v>
      </c>
      <c r="M39" s="58">
        <v>0</v>
      </c>
      <c r="N39" s="76">
        <v>0</v>
      </c>
      <c r="O39" s="76">
        <v>0</v>
      </c>
      <c r="P39" s="76">
        <v>0</v>
      </c>
      <c r="Q39" s="76">
        <v>0</v>
      </c>
      <c r="R39" s="76">
        <v>0</v>
      </c>
      <c r="S39" s="58">
        <v>0</v>
      </c>
    </row>
    <row r="40" spans="1:19" ht="12" x14ac:dyDescent="0.2">
      <c r="A40" s="8"/>
      <c r="B40" s="2" t="s">
        <v>91</v>
      </c>
      <c r="C40" s="10">
        <v>45</v>
      </c>
      <c r="D40" s="10"/>
      <c r="E40" s="11" t="s">
        <v>89</v>
      </c>
      <c r="G40" s="57" t="s">
        <v>92</v>
      </c>
      <c r="H40" s="58">
        <v>-0.1</v>
      </c>
      <c r="I40" s="58">
        <v>0</v>
      </c>
      <c r="J40" s="58">
        <v>-0.375</v>
      </c>
      <c r="K40" s="58">
        <v>-0.11</v>
      </c>
      <c r="L40" s="58">
        <v>-0.11</v>
      </c>
      <c r="M40" s="58">
        <v>0</v>
      </c>
      <c r="N40" s="76">
        <v>0</v>
      </c>
      <c r="O40" s="76">
        <v>0</v>
      </c>
      <c r="P40" s="76">
        <v>0</v>
      </c>
      <c r="Q40" s="76">
        <v>0</v>
      </c>
      <c r="R40" s="76">
        <v>0</v>
      </c>
      <c r="S40" s="58">
        <v>0</v>
      </c>
    </row>
    <row r="41" spans="1:19" x14ac:dyDescent="0.2">
      <c r="A41" s="13"/>
      <c r="B41" s="2" t="s">
        <v>93</v>
      </c>
      <c r="C41" s="10" t="s">
        <v>94</v>
      </c>
      <c r="D41" s="10"/>
      <c r="E41" s="23"/>
      <c r="F41" s="13"/>
      <c r="G41" s="57" t="s">
        <v>95</v>
      </c>
      <c r="H41" s="56">
        <f t="shared" ref="H41:S41" si="11">SUM(H42:H45)</f>
        <v>-687.42000000000007</v>
      </c>
      <c r="I41" s="56">
        <f t="shared" si="11"/>
        <v>-781.03399999999988</v>
      </c>
      <c r="J41" s="56">
        <f t="shared" si="11"/>
        <v>-891.63099999999997</v>
      </c>
      <c r="K41" s="56">
        <f t="shared" si="11"/>
        <v>-839.70399999999995</v>
      </c>
      <c r="L41" s="56">
        <f t="shared" si="11"/>
        <v>-923.58199999999988</v>
      </c>
      <c r="M41" s="56">
        <f t="shared" si="11"/>
        <v>-1039.55</v>
      </c>
      <c r="N41" s="77">
        <f t="shared" si="11"/>
        <v>-990.08899999999994</v>
      </c>
      <c r="O41" s="77">
        <f t="shared" si="11"/>
        <v>-1021.457</v>
      </c>
      <c r="P41" s="77">
        <f t="shared" si="11"/>
        <v>-1037.402</v>
      </c>
      <c r="Q41" s="77">
        <f t="shared" si="11"/>
        <v>-1041.4159999999999</v>
      </c>
      <c r="R41" s="77">
        <f t="shared" si="11"/>
        <v>-1045.239</v>
      </c>
      <c r="S41" s="56">
        <f t="shared" si="11"/>
        <v>-1045.9929999999999</v>
      </c>
    </row>
    <row r="42" spans="1:19" ht="12" x14ac:dyDescent="0.2">
      <c r="A42" s="8"/>
      <c r="B42" s="2" t="s">
        <v>96</v>
      </c>
      <c r="C42" s="10">
        <v>50</v>
      </c>
      <c r="D42" s="10"/>
      <c r="E42" s="11" t="s">
        <v>89</v>
      </c>
      <c r="G42" s="57" t="s">
        <v>97</v>
      </c>
      <c r="H42" s="58">
        <v>-233.29</v>
      </c>
      <c r="I42" s="58">
        <v>-262.24700000000001</v>
      </c>
      <c r="J42" s="58">
        <v>-322.40300000000002</v>
      </c>
      <c r="K42" s="58">
        <v>-349.23399999999998</v>
      </c>
      <c r="L42" s="58">
        <v>-397.03199999999998</v>
      </c>
      <c r="M42" s="58">
        <v>-393.35</v>
      </c>
      <c r="N42" s="76">
        <v>-401.44499999999999</v>
      </c>
      <c r="O42" s="76">
        <v>-452.15199999999999</v>
      </c>
      <c r="P42" s="76">
        <v>-452.15199999999999</v>
      </c>
      <c r="Q42" s="76">
        <v>-452.15199999999999</v>
      </c>
      <c r="R42" s="76">
        <v>-452.15199999999999</v>
      </c>
      <c r="S42" s="58">
        <v>-452.15199999999999</v>
      </c>
    </row>
    <row r="43" spans="1:19" ht="12" x14ac:dyDescent="0.2">
      <c r="A43" s="8"/>
      <c r="B43" s="2" t="s">
        <v>98</v>
      </c>
      <c r="C43" s="10">
        <v>55</v>
      </c>
      <c r="D43" s="10"/>
      <c r="E43" s="11" t="s">
        <v>89</v>
      </c>
      <c r="G43" s="57" t="s">
        <v>99</v>
      </c>
      <c r="H43" s="58">
        <v>-230.42599999999999</v>
      </c>
      <c r="I43" s="58">
        <v>-280.57100000000003</v>
      </c>
      <c r="J43" s="58">
        <v>-347.37900000000002</v>
      </c>
      <c r="K43" s="58">
        <v>-327.11099999999999</v>
      </c>
      <c r="L43" s="58">
        <v>-330.87200000000001</v>
      </c>
      <c r="M43" s="58">
        <v>-411.64299999999997</v>
      </c>
      <c r="N43" s="76">
        <v>-376.03399999999999</v>
      </c>
      <c r="O43" s="76">
        <v>-370.59800000000001</v>
      </c>
      <c r="P43" s="76">
        <v>-380.62599999999998</v>
      </c>
      <c r="Q43" s="76">
        <v>-383.76600000000002</v>
      </c>
      <c r="R43" s="76">
        <v>-385.745</v>
      </c>
      <c r="S43" s="58">
        <v>-389.245</v>
      </c>
    </row>
    <row r="44" spans="1:19" ht="12" x14ac:dyDescent="0.2">
      <c r="A44" s="13"/>
      <c r="B44" s="2" t="s">
        <v>100</v>
      </c>
      <c r="C44" s="10">
        <v>60</v>
      </c>
      <c r="D44" s="10"/>
      <c r="E44" s="11" t="s">
        <v>89</v>
      </c>
      <c r="F44" s="13"/>
      <c r="G44" s="57" t="s">
        <v>101</v>
      </c>
      <c r="H44" s="58">
        <v>-18.260999999999999</v>
      </c>
      <c r="I44" s="58">
        <v>-15.17</v>
      </c>
      <c r="J44" s="58">
        <v>-12.808999999999999</v>
      </c>
      <c r="K44" s="58">
        <v>20.893999999999998</v>
      </c>
      <c r="L44" s="58">
        <v>-2.06</v>
      </c>
      <c r="M44" s="58">
        <v>-1.79</v>
      </c>
      <c r="N44" s="76">
        <v>-4.915</v>
      </c>
      <c r="O44" s="76">
        <v>-4.5279999999999996</v>
      </c>
      <c r="P44" s="76">
        <v>-4.5</v>
      </c>
      <c r="Q44" s="76">
        <v>-4.5</v>
      </c>
      <c r="R44" s="76">
        <v>-4.5</v>
      </c>
      <c r="S44" s="58">
        <v>-4.5</v>
      </c>
    </row>
    <row r="45" spans="1:19" ht="12" x14ac:dyDescent="0.2">
      <c r="A45" s="8"/>
      <c r="B45" s="2" t="s">
        <v>102</v>
      </c>
      <c r="C45" s="10">
        <v>61</v>
      </c>
      <c r="D45" s="10"/>
      <c r="E45" s="11" t="s">
        <v>89</v>
      </c>
      <c r="G45" s="57" t="s">
        <v>103</v>
      </c>
      <c r="H45" s="58">
        <v>-205.44300000000001</v>
      </c>
      <c r="I45" s="58">
        <v>-223.04599999999999</v>
      </c>
      <c r="J45" s="58">
        <v>-209.04</v>
      </c>
      <c r="K45" s="58">
        <v>-184.25299999999999</v>
      </c>
      <c r="L45" s="58">
        <v>-193.61799999999999</v>
      </c>
      <c r="M45" s="58">
        <v>-232.767</v>
      </c>
      <c r="N45" s="76">
        <v>-207.69499999999999</v>
      </c>
      <c r="O45" s="76">
        <v>-194.179</v>
      </c>
      <c r="P45" s="76">
        <v>-200.124</v>
      </c>
      <c r="Q45" s="76">
        <v>-200.99799999999999</v>
      </c>
      <c r="R45" s="76">
        <v>-202.84200000000001</v>
      </c>
      <c r="S45" s="58">
        <v>-200.096</v>
      </c>
    </row>
    <row r="46" spans="1:19" x14ac:dyDescent="0.2">
      <c r="A46" s="8"/>
      <c r="B46" s="2" t="s">
        <v>104</v>
      </c>
      <c r="C46" s="10"/>
      <c r="D46" s="10"/>
      <c r="E46" s="9"/>
      <c r="G46" s="57" t="s">
        <v>105</v>
      </c>
      <c r="H46" s="56">
        <f t="shared" ref="H46:S46" si="12">H33+H38+H41</f>
        <v>90.485999999999876</v>
      </c>
      <c r="I46" s="56">
        <f t="shared" si="12"/>
        <v>71.344000000000051</v>
      </c>
      <c r="J46" s="56">
        <f t="shared" si="12"/>
        <v>-120.38099999999997</v>
      </c>
      <c r="K46" s="56">
        <f t="shared" si="12"/>
        <v>104.22500000000002</v>
      </c>
      <c r="L46" s="56">
        <f t="shared" si="12"/>
        <v>83.427000000000135</v>
      </c>
      <c r="M46" s="56">
        <f t="shared" si="12"/>
        <v>-98.423000000000002</v>
      </c>
      <c r="N46" s="77">
        <f t="shared" si="12"/>
        <v>60.938000000000102</v>
      </c>
      <c r="O46" s="77">
        <f t="shared" si="12"/>
        <v>-159.45699999999999</v>
      </c>
      <c r="P46" s="77">
        <f t="shared" si="12"/>
        <v>-80.01400000000001</v>
      </c>
      <c r="Q46" s="77">
        <f t="shared" si="12"/>
        <v>-65.837999999999965</v>
      </c>
      <c r="R46" s="77">
        <f t="shared" si="12"/>
        <v>-68.331000000000131</v>
      </c>
      <c r="S46" s="56">
        <f t="shared" si="12"/>
        <v>-122.423</v>
      </c>
    </row>
    <row r="47" spans="1:19" ht="12" x14ac:dyDescent="0.2">
      <c r="A47" s="8"/>
      <c r="B47" s="2" t="s">
        <v>106</v>
      </c>
      <c r="C47" s="10">
        <v>65</v>
      </c>
      <c r="D47" s="10"/>
      <c r="E47" s="11" t="s">
        <v>72</v>
      </c>
      <c r="G47" s="57" t="s">
        <v>107</v>
      </c>
      <c r="H47" s="58">
        <v>-15.256</v>
      </c>
      <c r="I47" s="58">
        <v>-2.8639999999999999</v>
      </c>
      <c r="J47" s="58">
        <v>0</v>
      </c>
      <c r="K47" s="58">
        <v>0</v>
      </c>
      <c r="L47" s="58">
        <v>0.64200000000000002</v>
      </c>
      <c r="M47" s="58">
        <v>0.64700000000000002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</row>
    <row r="48" spans="1:19" x14ac:dyDescent="0.2">
      <c r="A48" s="8"/>
      <c r="B48" s="2" t="s">
        <v>108</v>
      </c>
      <c r="C48" s="10"/>
      <c r="D48" s="10"/>
      <c r="E48" s="9"/>
      <c r="G48" s="57" t="s">
        <v>109</v>
      </c>
      <c r="H48" s="56">
        <f t="shared" ref="H48:S48" si="13">H46+H47</f>
        <v>75.229999999999876</v>
      </c>
      <c r="I48" s="56">
        <f t="shared" si="13"/>
        <v>68.480000000000047</v>
      </c>
      <c r="J48" s="56">
        <f t="shared" si="13"/>
        <v>-120.38099999999997</v>
      </c>
      <c r="K48" s="56">
        <f t="shared" si="13"/>
        <v>104.22500000000002</v>
      </c>
      <c r="L48" s="56">
        <f t="shared" si="13"/>
        <v>84.069000000000131</v>
      </c>
      <c r="M48" s="56">
        <f t="shared" si="13"/>
        <v>-97.775999999999996</v>
      </c>
      <c r="N48" s="77">
        <f t="shared" si="13"/>
        <v>60.938000000000102</v>
      </c>
      <c r="O48" s="77">
        <f t="shared" si="13"/>
        <v>-159.45699999999999</v>
      </c>
      <c r="P48" s="77">
        <f t="shared" si="13"/>
        <v>-80.01400000000001</v>
      </c>
      <c r="Q48" s="77">
        <f t="shared" si="13"/>
        <v>-65.837999999999965</v>
      </c>
      <c r="R48" s="77">
        <f t="shared" si="13"/>
        <v>-68.331000000000131</v>
      </c>
      <c r="S48" s="56">
        <f t="shared" si="13"/>
        <v>-122.423</v>
      </c>
    </row>
    <row r="49" spans="1:19" ht="12" x14ac:dyDescent="0.2">
      <c r="A49" s="8"/>
      <c r="B49" s="2" t="s">
        <v>110</v>
      </c>
      <c r="C49" s="10">
        <v>68</v>
      </c>
      <c r="D49" s="10"/>
      <c r="E49" s="11" t="s">
        <v>89</v>
      </c>
      <c r="G49" s="57" t="s">
        <v>111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76">
        <v>0</v>
      </c>
      <c r="O49" s="76">
        <v>0</v>
      </c>
      <c r="P49" s="76">
        <v>0</v>
      </c>
      <c r="Q49" s="76">
        <v>0</v>
      </c>
      <c r="R49" s="76">
        <v>0</v>
      </c>
      <c r="S49" s="58">
        <v>0</v>
      </c>
    </row>
    <row r="50" spans="1:19" ht="12" x14ac:dyDescent="0.2">
      <c r="A50" s="8"/>
      <c r="B50" s="2" t="s">
        <v>112</v>
      </c>
      <c r="C50" s="10">
        <v>69</v>
      </c>
      <c r="D50" s="10"/>
      <c r="E50" s="11" t="s">
        <v>11</v>
      </c>
      <c r="G50" s="57" t="s">
        <v>113</v>
      </c>
      <c r="H50" s="58">
        <v>0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76">
        <v>0</v>
      </c>
      <c r="O50" s="76">
        <v>0</v>
      </c>
      <c r="P50" s="76">
        <v>0</v>
      </c>
      <c r="Q50" s="76">
        <v>0</v>
      </c>
      <c r="R50" s="76">
        <v>0</v>
      </c>
      <c r="S50" s="58">
        <v>0</v>
      </c>
    </row>
    <row r="51" spans="1:19" x14ac:dyDescent="0.2">
      <c r="A51" s="8"/>
      <c r="B51" s="2" t="s">
        <v>114</v>
      </c>
      <c r="C51" s="10"/>
      <c r="D51" s="10"/>
      <c r="E51" s="9"/>
      <c r="G51" s="57" t="s">
        <v>115</v>
      </c>
      <c r="H51" s="56">
        <f t="shared" ref="H51:S51" si="14">H48+H49+H50</f>
        <v>75.229999999999876</v>
      </c>
      <c r="I51" s="56">
        <f t="shared" si="14"/>
        <v>68.480000000000047</v>
      </c>
      <c r="J51" s="56">
        <f t="shared" si="14"/>
        <v>-120.38099999999997</v>
      </c>
      <c r="K51" s="56">
        <f t="shared" si="14"/>
        <v>104.22500000000002</v>
      </c>
      <c r="L51" s="56">
        <f t="shared" si="14"/>
        <v>84.069000000000131</v>
      </c>
      <c r="M51" s="56">
        <f t="shared" si="14"/>
        <v>-97.775999999999996</v>
      </c>
      <c r="N51" s="77">
        <f t="shared" si="14"/>
        <v>60.938000000000102</v>
      </c>
      <c r="O51" s="77">
        <f t="shared" si="14"/>
        <v>-159.45699999999999</v>
      </c>
      <c r="P51" s="77">
        <f t="shared" si="14"/>
        <v>-80.01400000000001</v>
      </c>
      <c r="Q51" s="77">
        <f t="shared" si="14"/>
        <v>-65.837999999999965</v>
      </c>
      <c r="R51" s="77">
        <f t="shared" si="14"/>
        <v>-68.331000000000131</v>
      </c>
      <c r="S51" s="56">
        <f t="shared" si="14"/>
        <v>-122.423</v>
      </c>
    </row>
    <row r="52" spans="1:19" x14ac:dyDescent="0.2">
      <c r="A52" s="24"/>
      <c r="B52" s="2" t="s">
        <v>370</v>
      </c>
      <c r="C52" s="83" t="s">
        <v>371</v>
      </c>
      <c r="D52" s="25"/>
      <c r="E52" s="26"/>
      <c r="F52" s="24"/>
      <c r="G52" s="62" t="s">
        <v>116</v>
      </c>
      <c r="H52" s="63">
        <f t="shared" ref="H52:S52" si="15">H30-H51</f>
        <v>9.9000000000117439E-2</v>
      </c>
      <c r="I52" s="63">
        <f t="shared" si="15"/>
        <v>0</v>
      </c>
      <c r="J52" s="63">
        <f t="shared" si="15"/>
        <v>0</v>
      </c>
      <c r="K52" s="63">
        <f t="shared" si="15"/>
        <v>-1.0000000000189857E-3</v>
      </c>
      <c r="L52" s="63">
        <f t="shared" si="15"/>
        <v>-2.0000000001374474E-3</v>
      </c>
      <c r="M52" s="63">
        <f t="shared" si="15"/>
        <v>-0.11100000000000421</v>
      </c>
      <c r="N52" s="85">
        <f t="shared" si="15"/>
        <v>-0.1000000000001009</v>
      </c>
      <c r="O52" s="85">
        <f t="shared" si="15"/>
        <v>-2.6000000000010459E-2</v>
      </c>
      <c r="P52" s="85">
        <f t="shared" si="15"/>
        <v>-0.10999999999998522</v>
      </c>
      <c r="Q52" s="85">
        <f t="shared" si="15"/>
        <v>-0.21000000000003638</v>
      </c>
      <c r="R52" s="85">
        <f t="shared" si="15"/>
        <v>-0.20999999999986585</v>
      </c>
      <c r="S52" s="63">
        <f t="shared" si="15"/>
        <v>-0.23999999999999488</v>
      </c>
    </row>
    <row r="53" spans="1:19" x14ac:dyDescent="0.2">
      <c r="A53" s="8"/>
      <c r="B53" s="2"/>
      <c r="C53" s="10"/>
      <c r="D53" s="10"/>
      <c r="E53" s="9"/>
      <c r="G53" s="65" t="s">
        <v>117</v>
      </c>
      <c r="H53" s="48"/>
      <c r="I53" s="48"/>
      <c r="J53" s="48"/>
      <c r="K53" s="48"/>
      <c r="L53" s="48"/>
      <c r="M53" s="48"/>
      <c r="N53" s="4"/>
      <c r="O53" s="4"/>
      <c r="P53" s="4"/>
      <c r="Q53" s="4"/>
      <c r="R53" s="4"/>
      <c r="S53" s="48"/>
    </row>
    <row r="54" spans="1:19" ht="12" x14ac:dyDescent="0.2">
      <c r="A54" s="8"/>
      <c r="B54" s="2"/>
      <c r="C54" s="10">
        <v>90</v>
      </c>
      <c r="D54" s="10"/>
      <c r="E54" s="11" t="s">
        <v>11</v>
      </c>
      <c r="G54" s="65" t="s">
        <v>118</v>
      </c>
      <c r="H54" s="58">
        <v>18</v>
      </c>
      <c r="I54" s="58">
        <v>18</v>
      </c>
      <c r="J54" s="58">
        <v>18</v>
      </c>
      <c r="K54" s="58">
        <v>19</v>
      </c>
      <c r="L54" s="58">
        <v>20</v>
      </c>
      <c r="M54" s="58">
        <v>18.8</v>
      </c>
      <c r="N54" s="76">
        <v>18.75</v>
      </c>
      <c r="O54" s="76">
        <v>19</v>
      </c>
      <c r="P54" s="76">
        <v>19</v>
      </c>
      <c r="Q54" s="76">
        <v>19</v>
      </c>
      <c r="R54" s="76">
        <v>19</v>
      </c>
      <c r="S54" s="58">
        <v>19</v>
      </c>
    </row>
    <row r="55" spans="1:19" ht="12" x14ac:dyDescent="0.2">
      <c r="A55" s="8"/>
      <c r="B55" s="2"/>
      <c r="C55" s="10"/>
      <c r="D55" s="10"/>
      <c r="E55" s="11" t="s">
        <v>11</v>
      </c>
      <c r="G55" s="65" t="s">
        <v>119</v>
      </c>
      <c r="H55" s="58"/>
      <c r="I55" s="58"/>
      <c r="J55" s="58"/>
      <c r="K55" s="58"/>
      <c r="L55" s="66"/>
      <c r="M55" s="66"/>
      <c r="N55" s="88"/>
      <c r="O55" s="88"/>
      <c r="P55" s="88"/>
      <c r="Q55" s="88"/>
      <c r="R55" s="88"/>
      <c r="S55" s="66"/>
    </row>
    <row r="56" spans="1:19" x14ac:dyDescent="0.2">
      <c r="A56" s="8"/>
      <c r="B56" s="2"/>
      <c r="C56" s="10"/>
      <c r="D56" s="10"/>
      <c r="E56" s="9"/>
      <c r="G56" s="67"/>
      <c r="H56" s="48"/>
      <c r="I56" s="48"/>
      <c r="J56" s="48"/>
      <c r="K56" s="48"/>
      <c r="L56" s="48"/>
      <c r="M56" s="48"/>
      <c r="N56" s="4"/>
      <c r="O56" s="4"/>
      <c r="P56" s="4"/>
      <c r="Q56" s="4"/>
      <c r="R56" s="4"/>
      <c r="S56" s="48"/>
    </row>
    <row r="57" spans="1:19" x14ac:dyDescent="0.2">
      <c r="A57" s="8"/>
      <c r="B57" s="2"/>
      <c r="C57" s="10"/>
      <c r="D57" s="29" t="s">
        <v>120</v>
      </c>
      <c r="E57" s="30" t="s">
        <v>3</v>
      </c>
      <c r="F57" s="9"/>
      <c r="G57" s="53" t="s">
        <v>121</v>
      </c>
      <c r="H57" s="64">
        <f t="shared" ref="H57:S57" si="16">H32</f>
        <v>2011</v>
      </c>
      <c r="I57" s="64">
        <f t="shared" si="16"/>
        <v>2012</v>
      </c>
      <c r="J57" s="64">
        <f t="shared" si="16"/>
        <v>2013</v>
      </c>
      <c r="K57" s="64">
        <f t="shared" si="16"/>
        <v>2014</v>
      </c>
      <c r="L57" s="64">
        <f t="shared" si="16"/>
        <v>2015</v>
      </c>
      <c r="M57" s="64">
        <f t="shared" si="16"/>
        <v>2016</v>
      </c>
      <c r="N57" s="87">
        <f t="shared" si="16"/>
        <v>2017</v>
      </c>
      <c r="O57" s="87">
        <f t="shared" si="16"/>
        <v>2018</v>
      </c>
      <c r="P57" s="87">
        <f t="shared" si="16"/>
        <v>2019</v>
      </c>
      <c r="Q57" s="87">
        <f t="shared" si="16"/>
        <v>2020</v>
      </c>
      <c r="R57" s="87">
        <f t="shared" si="16"/>
        <v>2021</v>
      </c>
      <c r="S57" s="64">
        <f t="shared" si="16"/>
        <v>2022</v>
      </c>
    </row>
    <row r="58" spans="1:19" ht="12" x14ac:dyDescent="0.2">
      <c r="A58" s="8"/>
      <c r="B58" s="31" t="s">
        <v>122</v>
      </c>
      <c r="C58" s="8" t="s">
        <v>123</v>
      </c>
      <c r="D58" s="32" t="s">
        <v>124</v>
      </c>
      <c r="E58" s="11" t="s">
        <v>89</v>
      </c>
      <c r="F58" s="12"/>
      <c r="G58" s="55" t="s">
        <v>125</v>
      </c>
      <c r="H58" s="58">
        <v>-235.52699999999999</v>
      </c>
      <c r="I58" s="58">
        <v>-60.4</v>
      </c>
      <c r="J58" s="58">
        <v>-33.624000000000002</v>
      </c>
      <c r="K58" s="58">
        <v>-264.762</v>
      </c>
      <c r="L58" s="58">
        <v>-227.483</v>
      </c>
      <c r="M58" s="58">
        <v>-202</v>
      </c>
      <c r="N58" s="58">
        <v>-237</v>
      </c>
      <c r="O58" s="76">
        <v>-107.465</v>
      </c>
      <c r="P58" s="76">
        <v>-135</v>
      </c>
      <c r="Q58" s="76">
        <v>-140</v>
      </c>
      <c r="R58" s="76">
        <v>-130</v>
      </c>
      <c r="S58" s="58">
        <v>-50</v>
      </c>
    </row>
    <row r="59" spans="1:19" ht="12" x14ac:dyDescent="0.2">
      <c r="A59" s="8"/>
      <c r="B59" s="31" t="s">
        <v>126</v>
      </c>
      <c r="C59" s="33" t="s">
        <v>127</v>
      </c>
      <c r="D59" s="32" t="s">
        <v>128</v>
      </c>
      <c r="E59" s="11" t="s">
        <v>11</v>
      </c>
      <c r="F59" s="12"/>
      <c r="G59" s="68" t="s">
        <v>129</v>
      </c>
      <c r="H59" s="58">
        <v>0</v>
      </c>
      <c r="I59" s="58">
        <v>1</v>
      </c>
      <c r="J59" s="58">
        <v>0</v>
      </c>
      <c r="K59" s="58">
        <v>0</v>
      </c>
      <c r="L59" s="58">
        <v>3.89</v>
      </c>
      <c r="M59" s="58">
        <v>21</v>
      </c>
      <c r="N59" s="76"/>
      <c r="O59" s="76">
        <v>0</v>
      </c>
      <c r="P59" s="76">
        <v>0</v>
      </c>
      <c r="Q59" s="76">
        <v>0</v>
      </c>
      <c r="R59" s="76">
        <v>0</v>
      </c>
      <c r="S59" s="58">
        <v>0</v>
      </c>
    </row>
    <row r="60" spans="1:19" ht="12" x14ac:dyDescent="0.2">
      <c r="A60" s="8"/>
      <c r="B60" s="31" t="s">
        <v>130</v>
      </c>
      <c r="C60" s="34" t="s">
        <v>372</v>
      </c>
      <c r="D60" s="32" t="s">
        <v>131</v>
      </c>
      <c r="E60" s="11" t="s">
        <v>11</v>
      </c>
      <c r="F60" s="12"/>
      <c r="G60" s="57" t="s">
        <v>132</v>
      </c>
      <c r="H60" s="58">
        <v>5.8040000000000003</v>
      </c>
      <c r="I60" s="58">
        <v>52.161000000000001</v>
      </c>
      <c r="J60" s="58">
        <v>0</v>
      </c>
      <c r="K60" s="58">
        <v>162</v>
      </c>
      <c r="L60" s="58">
        <v>216.98599999999999</v>
      </c>
      <c r="M60" s="58">
        <v>75</v>
      </c>
      <c r="N60" s="76">
        <v>156.928</v>
      </c>
      <c r="O60" s="76">
        <v>34.695999999999998</v>
      </c>
      <c r="P60" s="76">
        <v>120</v>
      </c>
      <c r="Q60" s="76">
        <v>125</v>
      </c>
      <c r="R60" s="76">
        <v>114</v>
      </c>
      <c r="S60" s="58">
        <v>50</v>
      </c>
    </row>
    <row r="61" spans="1:19" ht="12" x14ac:dyDescent="0.2">
      <c r="A61" s="8"/>
      <c r="B61" s="31" t="s">
        <v>133</v>
      </c>
      <c r="C61" s="34" t="s">
        <v>134</v>
      </c>
      <c r="D61" s="34" t="s">
        <v>135</v>
      </c>
      <c r="E61" s="11" t="s">
        <v>89</v>
      </c>
      <c r="F61" s="12"/>
      <c r="G61" s="57" t="s">
        <v>136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76">
        <v>0</v>
      </c>
      <c r="O61" s="76">
        <v>0</v>
      </c>
      <c r="P61" s="76">
        <v>0</v>
      </c>
      <c r="Q61" s="76">
        <v>0</v>
      </c>
      <c r="R61" s="76">
        <v>0</v>
      </c>
      <c r="S61" s="58">
        <v>0</v>
      </c>
    </row>
    <row r="62" spans="1:19" ht="12" x14ac:dyDescent="0.2">
      <c r="A62" s="8"/>
      <c r="B62" s="31" t="s">
        <v>137</v>
      </c>
      <c r="C62" s="10">
        <v>253800</v>
      </c>
      <c r="D62" s="34" t="s">
        <v>131</v>
      </c>
      <c r="E62" s="11" t="s">
        <v>11</v>
      </c>
      <c r="F62" s="12"/>
      <c r="G62" s="57" t="s">
        <v>138</v>
      </c>
      <c r="H62" s="58">
        <v>0</v>
      </c>
      <c r="I62" s="58">
        <v>0</v>
      </c>
      <c r="J62" s="58">
        <v>0</v>
      </c>
      <c r="K62" s="58">
        <v>0</v>
      </c>
      <c r="L62" s="58">
        <v>0</v>
      </c>
      <c r="M62" s="58">
        <v>0</v>
      </c>
      <c r="N62" s="76">
        <v>0</v>
      </c>
      <c r="O62" s="76">
        <v>0</v>
      </c>
      <c r="P62" s="76">
        <v>0</v>
      </c>
      <c r="Q62" s="76">
        <v>0</v>
      </c>
      <c r="R62" s="76">
        <v>0</v>
      </c>
      <c r="S62" s="58">
        <v>0</v>
      </c>
    </row>
    <row r="63" spans="1:19" ht="12" x14ac:dyDescent="0.2">
      <c r="A63" s="8"/>
      <c r="B63" s="31" t="s">
        <v>139</v>
      </c>
      <c r="C63" s="10">
        <v>150</v>
      </c>
      <c r="D63" s="34" t="s">
        <v>135</v>
      </c>
      <c r="E63" s="11" t="s">
        <v>89</v>
      </c>
      <c r="F63" s="12"/>
      <c r="G63" s="57" t="s">
        <v>140</v>
      </c>
      <c r="H63" s="58">
        <v>0</v>
      </c>
      <c r="I63" s="58">
        <v>0</v>
      </c>
      <c r="J63" s="58">
        <v>0</v>
      </c>
      <c r="K63" s="58">
        <v>0</v>
      </c>
      <c r="L63" s="58">
        <v>0</v>
      </c>
      <c r="M63" s="58">
        <v>0</v>
      </c>
      <c r="N63" s="76">
        <v>0</v>
      </c>
      <c r="O63" s="76">
        <v>0</v>
      </c>
      <c r="P63" s="76">
        <v>0</v>
      </c>
      <c r="Q63" s="76">
        <v>0</v>
      </c>
      <c r="R63" s="76">
        <v>0</v>
      </c>
      <c r="S63" s="58">
        <v>0</v>
      </c>
    </row>
    <row r="64" spans="1:19" ht="12" x14ac:dyDescent="0.2">
      <c r="A64" s="8"/>
      <c r="B64" s="31" t="s">
        <v>141</v>
      </c>
      <c r="C64" s="34" t="s">
        <v>142</v>
      </c>
      <c r="D64" s="34" t="s">
        <v>131</v>
      </c>
      <c r="E64" s="11" t="s">
        <v>11</v>
      </c>
      <c r="F64" s="12"/>
      <c r="G64" s="57" t="s">
        <v>143</v>
      </c>
      <c r="H64" s="58">
        <v>0</v>
      </c>
      <c r="I64" s="58">
        <v>0</v>
      </c>
      <c r="J64" s="58">
        <v>0</v>
      </c>
      <c r="K64" s="58">
        <v>0</v>
      </c>
      <c r="L64" s="58">
        <v>0</v>
      </c>
      <c r="M64" s="58">
        <v>0</v>
      </c>
      <c r="N64" s="76">
        <v>0</v>
      </c>
      <c r="O64" s="76">
        <v>0</v>
      </c>
      <c r="P64" s="76">
        <v>0</v>
      </c>
      <c r="Q64" s="76">
        <v>0</v>
      </c>
      <c r="R64" s="76">
        <v>0</v>
      </c>
      <c r="S64" s="58">
        <v>0</v>
      </c>
    </row>
    <row r="65" spans="1:19" ht="12" x14ac:dyDescent="0.2">
      <c r="A65" s="8"/>
      <c r="B65" s="31" t="s">
        <v>144</v>
      </c>
      <c r="C65" s="8" t="s">
        <v>373</v>
      </c>
      <c r="D65" s="34" t="s">
        <v>135</v>
      </c>
      <c r="E65" s="11" t="s">
        <v>89</v>
      </c>
      <c r="F65" s="12"/>
      <c r="G65" s="57" t="s">
        <v>145</v>
      </c>
      <c r="H65" s="58">
        <v>0</v>
      </c>
      <c r="I65" s="58">
        <v>0</v>
      </c>
      <c r="J65" s="58">
        <v>0</v>
      </c>
      <c r="K65" s="58">
        <v>0</v>
      </c>
      <c r="L65" s="58">
        <v>0</v>
      </c>
      <c r="M65" s="58">
        <v>0</v>
      </c>
      <c r="N65" s="76">
        <v>0</v>
      </c>
      <c r="O65" s="76">
        <v>0</v>
      </c>
      <c r="P65" s="76">
        <v>0</v>
      </c>
      <c r="Q65" s="76">
        <v>0</v>
      </c>
      <c r="R65" s="76">
        <v>0</v>
      </c>
      <c r="S65" s="58">
        <v>0</v>
      </c>
    </row>
    <row r="66" spans="1:19" ht="12" x14ac:dyDescent="0.2">
      <c r="A66" s="8"/>
      <c r="B66" s="31" t="s">
        <v>146</v>
      </c>
      <c r="C66" s="8" t="s">
        <v>373</v>
      </c>
      <c r="D66" s="34" t="s">
        <v>131</v>
      </c>
      <c r="E66" s="11" t="s">
        <v>11</v>
      </c>
      <c r="F66" s="12"/>
      <c r="G66" s="57" t="s">
        <v>147</v>
      </c>
      <c r="H66" s="58">
        <v>0</v>
      </c>
      <c r="I66" s="58">
        <v>0</v>
      </c>
      <c r="J66" s="58">
        <v>0</v>
      </c>
      <c r="K66" s="58">
        <v>0</v>
      </c>
      <c r="L66" s="58">
        <v>0</v>
      </c>
      <c r="M66" s="58">
        <v>0</v>
      </c>
      <c r="N66" s="76">
        <v>0</v>
      </c>
      <c r="O66" s="76">
        <v>0</v>
      </c>
      <c r="P66" s="76">
        <v>0</v>
      </c>
      <c r="Q66" s="76">
        <v>0</v>
      </c>
      <c r="R66" s="76">
        <v>0</v>
      </c>
      <c r="S66" s="58">
        <v>0</v>
      </c>
    </row>
    <row r="67" spans="1:19" ht="12" x14ac:dyDescent="0.2">
      <c r="A67" s="8"/>
      <c r="B67" s="31" t="s">
        <v>148</v>
      </c>
      <c r="C67" s="8" t="s">
        <v>149</v>
      </c>
      <c r="D67" s="34" t="s">
        <v>135</v>
      </c>
      <c r="E67" s="11" t="s">
        <v>89</v>
      </c>
      <c r="F67" s="12"/>
      <c r="G67" s="57" t="s">
        <v>150</v>
      </c>
      <c r="H67" s="58">
        <v>0</v>
      </c>
      <c r="I67" s="58">
        <v>0</v>
      </c>
      <c r="J67" s="58">
        <v>0</v>
      </c>
      <c r="K67" s="58">
        <v>0</v>
      </c>
      <c r="L67" s="58">
        <v>0</v>
      </c>
      <c r="M67" s="58">
        <v>0</v>
      </c>
      <c r="N67" s="76">
        <v>0</v>
      </c>
      <c r="O67" s="76">
        <v>0</v>
      </c>
      <c r="P67" s="76">
        <v>0</v>
      </c>
      <c r="Q67" s="76">
        <v>0</v>
      </c>
      <c r="R67" s="76">
        <v>0</v>
      </c>
      <c r="S67" s="58">
        <v>0</v>
      </c>
    </row>
    <row r="68" spans="1:19" ht="12" x14ac:dyDescent="0.2">
      <c r="A68" s="8"/>
      <c r="B68" s="31" t="s">
        <v>151</v>
      </c>
      <c r="C68" s="8" t="s">
        <v>149</v>
      </c>
      <c r="D68" s="34" t="s">
        <v>131</v>
      </c>
      <c r="E68" s="11" t="s">
        <v>11</v>
      </c>
      <c r="F68" s="12"/>
      <c r="G68" s="57" t="s">
        <v>152</v>
      </c>
      <c r="H68" s="58">
        <v>0</v>
      </c>
      <c r="I68" s="58">
        <v>0</v>
      </c>
      <c r="J68" s="58">
        <v>0</v>
      </c>
      <c r="K68" s="58">
        <v>0</v>
      </c>
      <c r="L68" s="58">
        <v>0</v>
      </c>
      <c r="M68" s="58">
        <v>0</v>
      </c>
      <c r="N68" s="76">
        <v>0</v>
      </c>
      <c r="O68" s="76">
        <v>0</v>
      </c>
      <c r="P68" s="76">
        <v>0</v>
      </c>
      <c r="Q68" s="76">
        <v>0</v>
      </c>
      <c r="R68" s="76">
        <v>0</v>
      </c>
      <c r="S68" s="58">
        <v>0</v>
      </c>
    </row>
    <row r="69" spans="1:19" ht="12" x14ac:dyDescent="0.2">
      <c r="A69" s="8"/>
      <c r="B69" s="31" t="s">
        <v>153</v>
      </c>
      <c r="C69" s="34" t="s">
        <v>142</v>
      </c>
      <c r="D69" s="34" t="s">
        <v>131</v>
      </c>
      <c r="E69" s="11" t="s">
        <v>11</v>
      </c>
      <c r="F69" s="12"/>
      <c r="G69" s="57" t="s">
        <v>154</v>
      </c>
      <c r="H69" s="58">
        <v>0</v>
      </c>
      <c r="I69" s="58">
        <v>0</v>
      </c>
      <c r="J69" s="58">
        <v>0</v>
      </c>
      <c r="K69" s="58">
        <v>0</v>
      </c>
      <c r="L69" s="58">
        <v>0</v>
      </c>
      <c r="M69" s="58">
        <v>0</v>
      </c>
      <c r="N69" s="76">
        <v>0</v>
      </c>
      <c r="O69" s="76">
        <v>0</v>
      </c>
      <c r="P69" s="76">
        <v>0</v>
      </c>
      <c r="Q69" s="76">
        <v>0</v>
      </c>
      <c r="R69" s="76">
        <v>0</v>
      </c>
      <c r="S69" s="58">
        <v>0</v>
      </c>
    </row>
    <row r="70" spans="1:19" ht="12" x14ac:dyDescent="0.2">
      <c r="A70" s="8"/>
      <c r="B70" s="31" t="s">
        <v>155</v>
      </c>
      <c r="C70" s="35" t="s">
        <v>156</v>
      </c>
      <c r="D70" s="8"/>
      <c r="E70" s="11" t="s">
        <v>72</v>
      </c>
      <c r="F70" s="12"/>
      <c r="G70" s="57" t="s">
        <v>107</v>
      </c>
      <c r="H70" s="58">
        <v>0.13700000000000001</v>
      </c>
      <c r="I70" s="58">
        <v>0.59899999999999998</v>
      </c>
      <c r="J70" s="58">
        <v>3.4000000000000002E-2</v>
      </c>
      <c r="K70" s="58">
        <v>0</v>
      </c>
      <c r="L70" s="58">
        <v>0.38100000000000001</v>
      </c>
      <c r="M70" s="58">
        <v>0.78600000000000003</v>
      </c>
      <c r="N70" s="76">
        <v>0</v>
      </c>
      <c r="O70" s="76">
        <v>0</v>
      </c>
      <c r="P70" s="76">
        <v>0</v>
      </c>
      <c r="Q70" s="76">
        <v>0</v>
      </c>
      <c r="R70" s="76">
        <v>0</v>
      </c>
      <c r="S70" s="58">
        <v>0</v>
      </c>
    </row>
    <row r="71" spans="1:19" x14ac:dyDescent="0.2">
      <c r="A71" s="8"/>
      <c r="B71" s="31" t="s">
        <v>157</v>
      </c>
      <c r="C71" s="10"/>
      <c r="D71" s="8"/>
      <c r="E71" s="12"/>
      <c r="F71" s="12"/>
      <c r="G71" s="69" t="s">
        <v>158</v>
      </c>
      <c r="H71" s="56">
        <f t="shared" ref="H71:S71" si="17">SUM(H58:H70)</f>
        <v>-229.58599999999998</v>
      </c>
      <c r="I71" s="56">
        <f t="shared" si="17"/>
        <v>-6.639999999999997</v>
      </c>
      <c r="J71" s="56">
        <f t="shared" si="17"/>
        <v>-33.590000000000003</v>
      </c>
      <c r="K71" s="56">
        <f t="shared" si="17"/>
        <v>-102.762</v>
      </c>
      <c r="L71" s="56">
        <f t="shared" si="17"/>
        <v>-6.2260000000000275</v>
      </c>
      <c r="M71" s="56">
        <f t="shared" si="17"/>
        <v>-105.214</v>
      </c>
      <c r="N71" s="77">
        <f t="shared" si="17"/>
        <v>-80.072000000000003</v>
      </c>
      <c r="O71" s="77">
        <f t="shared" si="17"/>
        <v>-72.769000000000005</v>
      </c>
      <c r="P71" s="77">
        <f t="shared" si="17"/>
        <v>-15</v>
      </c>
      <c r="Q71" s="77">
        <f t="shared" si="17"/>
        <v>-15</v>
      </c>
      <c r="R71" s="77">
        <f t="shared" si="17"/>
        <v>-16</v>
      </c>
      <c r="S71" s="56">
        <f t="shared" si="17"/>
        <v>0</v>
      </c>
    </row>
    <row r="72" spans="1:19" x14ac:dyDescent="0.2">
      <c r="A72" s="8"/>
      <c r="B72" s="2"/>
      <c r="C72" s="10"/>
      <c r="D72" s="8"/>
      <c r="E72" s="9"/>
      <c r="G72" s="67"/>
      <c r="H72" s="48"/>
      <c r="I72" s="48"/>
      <c r="J72" s="48"/>
      <c r="K72" s="48"/>
      <c r="L72" s="48"/>
      <c r="M72" s="48"/>
      <c r="N72" s="4"/>
      <c r="O72" s="4"/>
      <c r="P72" s="4"/>
      <c r="Q72" s="4"/>
      <c r="R72" s="4"/>
      <c r="S72" s="48"/>
    </row>
    <row r="73" spans="1:19" x14ac:dyDescent="0.2">
      <c r="A73" s="8"/>
      <c r="B73" s="2"/>
      <c r="C73" s="10"/>
      <c r="D73" s="29" t="s">
        <v>120</v>
      </c>
      <c r="E73" s="30" t="s">
        <v>3</v>
      </c>
      <c r="F73" s="9"/>
      <c r="G73" s="53" t="s">
        <v>159</v>
      </c>
      <c r="H73" s="64">
        <f t="shared" ref="H73:S73" si="18">H57</f>
        <v>2011</v>
      </c>
      <c r="I73" s="64">
        <f t="shared" si="18"/>
        <v>2012</v>
      </c>
      <c r="J73" s="64">
        <f t="shared" si="18"/>
        <v>2013</v>
      </c>
      <c r="K73" s="64">
        <f t="shared" si="18"/>
        <v>2014</v>
      </c>
      <c r="L73" s="64">
        <f t="shared" si="18"/>
        <v>2015</v>
      </c>
      <c r="M73" s="64">
        <f t="shared" si="18"/>
        <v>2016</v>
      </c>
      <c r="N73" s="87">
        <f t="shared" si="18"/>
        <v>2017</v>
      </c>
      <c r="O73" s="87">
        <f t="shared" si="18"/>
        <v>2018</v>
      </c>
      <c r="P73" s="87">
        <f t="shared" si="18"/>
        <v>2019</v>
      </c>
      <c r="Q73" s="87">
        <f t="shared" si="18"/>
        <v>2020</v>
      </c>
      <c r="R73" s="87">
        <f t="shared" si="18"/>
        <v>2021</v>
      </c>
      <c r="S73" s="64">
        <f t="shared" si="18"/>
        <v>2022</v>
      </c>
    </row>
    <row r="74" spans="1:19" ht="12" x14ac:dyDescent="0.2">
      <c r="A74" s="8"/>
      <c r="B74" s="2" t="s">
        <v>160</v>
      </c>
      <c r="C74" s="34" t="s">
        <v>161</v>
      </c>
      <c r="D74" s="34" t="s">
        <v>128</v>
      </c>
      <c r="E74" s="11" t="s">
        <v>11</v>
      </c>
      <c r="G74" s="55" t="s">
        <v>162</v>
      </c>
      <c r="H74" s="58">
        <v>0</v>
      </c>
      <c r="I74" s="58">
        <v>0</v>
      </c>
      <c r="J74" s="58">
        <v>0</v>
      </c>
      <c r="K74" s="58">
        <v>0</v>
      </c>
      <c r="L74" s="58">
        <v>0</v>
      </c>
      <c r="M74" s="58">
        <v>0</v>
      </c>
      <c r="N74" s="76">
        <v>0</v>
      </c>
      <c r="O74" s="76">
        <v>0</v>
      </c>
      <c r="P74" s="76">
        <v>0</v>
      </c>
      <c r="Q74" s="76">
        <v>0</v>
      </c>
      <c r="R74" s="76">
        <v>0</v>
      </c>
      <c r="S74" s="58">
        <v>0</v>
      </c>
    </row>
    <row r="75" spans="1:19" ht="12" x14ac:dyDescent="0.2">
      <c r="A75" s="8"/>
      <c r="B75" s="2" t="s">
        <v>163</v>
      </c>
      <c r="C75" s="34" t="s">
        <v>161</v>
      </c>
      <c r="D75" s="34" t="s">
        <v>124</v>
      </c>
      <c r="E75" s="11" t="s">
        <v>89</v>
      </c>
      <c r="F75" s="12"/>
      <c r="G75" s="57" t="s">
        <v>164</v>
      </c>
      <c r="H75" s="58">
        <v>0</v>
      </c>
      <c r="I75" s="58">
        <v>0</v>
      </c>
      <c r="J75" s="58">
        <v>0</v>
      </c>
      <c r="K75" s="58">
        <v>0</v>
      </c>
      <c r="L75" s="58">
        <v>0</v>
      </c>
      <c r="M75" s="58">
        <v>0</v>
      </c>
      <c r="N75" s="76">
        <v>0</v>
      </c>
      <c r="O75" s="76">
        <v>0</v>
      </c>
      <c r="P75" s="76">
        <v>0</v>
      </c>
      <c r="Q75" s="76">
        <v>0</v>
      </c>
      <c r="R75" s="76">
        <v>0</v>
      </c>
      <c r="S75" s="58">
        <v>0</v>
      </c>
    </row>
    <row r="76" spans="1:19" ht="12" x14ac:dyDescent="0.2">
      <c r="A76" s="8"/>
      <c r="B76" s="2" t="s">
        <v>165</v>
      </c>
      <c r="C76" s="34" t="s">
        <v>166</v>
      </c>
      <c r="D76" s="34" t="s">
        <v>131</v>
      </c>
      <c r="E76" s="11" t="s">
        <v>11</v>
      </c>
      <c r="G76" s="57" t="s">
        <v>167</v>
      </c>
      <c r="H76" s="58">
        <v>0</v>
      </c>
      <c r="I76" s="58">
        <v>0</v>
      </c>
      <c r="J76" s="58">
        <v>0</v>
      </c>
      <c r="K76" s="58">
        <v>0</v>
      </c>
      <c r="L76" s="58">
        <v>0</v>
      </c>
      <c r="M76" s="58">
        <v>0</v>
      </c>
      <c r="N76" s="76">
        <v>0</v>
      </c>
      <c r="O76" s="76">
        <v>0</v>
      </c>
      <c r="P76" s="76">
        <v>0</v>
      </c>
      <c r="Q76" s="76">
        <v>0</v>
      </c>
      <c r="R76" s="76">
        <v>0</v>
      </c>
      <c r="S76" s="58">
        <v>0</v>
      </c>
    </row>
    <row r="77" spans="1:19" ht="12" x14ac:dyDescent="0.2">
      <c r="A77" s="8"/>
      <c r="B77" s="2" t="s">
        <v>168</v>
      </c>
      <c r="C77" s="34" t="s">
        <v>166</v>
      </c>
      <c r="D77" s="34" t="s">
        <v>135</v>
      </c>
      <c r="E77" s="11" t="s">
        <v>89</v>
      </c>
      <c r="F77" s="12"/>
      <c r="G77" s="57" t="s">
        <v>169</v>
      </c>
      <c r="H77" s="58">
        <v>-48.247</v>
      </c>
      <c r="I77" s="58">
        <v>0</v>
      </c>
      <c r="J77" s="58">
        <v>0</v>
      </c>
      <c r="K77" s="58">
        <v>0</v>
      </c>
      <c r="L77" s="58">
        <v>0</v>
      </c>
      <c r="M77" s="58">
        <v>0</v>
      </c>
      <c r="N77" s="76">
        <v>0</v>
      </c>
      <c r="O77" s="76">
        <v>0</v>
      </c>
      <c r="P77" s="76">
        <v>0</v>
      </c>
      <c r="Q77" s="76">
        <v>0</v>
      </c>
      <c r="R77" s="76">
        <v>0</v>
      </c>
      <c r="S77" s="58">
        <v>0</v>
      </c>
    </row>
    <row r="78" spans="1:19" ht="12" x14ac:dyDescent="0.2">
      <c r="A78" s="8"/>
      <c r="B78" s="2" t="s">
        <v>170</v>
      </c>
      <c r="C78" s="34" t="s">
        <v>171</v>
      </c>
      <c r="D78" s="34" t="s">
        <v>135</v>
      </c>
      <c r="E78" s="11" t="s">
        <v>89</v>
      </c>
      <c r="F78" s="12"/>
      <c r="G78" s="57" t="s">
        <v>172</v>
      </c>
      <c r="H78" s="58">
        <v>0</v>
      </c>
      <c r="I78" s="58">
        <v>0</v>
      </c>
      <c r="J78" s="58">
        <v>0</v>
      </c>
      <c r="K78" s="58">
        <v>0</v>
      </c>
      <c r="L78" s="58">
        <v>0</v>
      </c>
      <c r="M78" s="58">
        <v>0</v>
      </c>
      <c r="N78" s="76">
        <v>0</v>
      </c>
      <c r="O78" s="76">
        <v>0</v>
      </c>
      <c r="P78" s="76">
        <v>0</v>
      </c>
      <c r="Q78" s="76">
        <v>0</v>
      </c>
      <c r="R78" s="76">
        <v>0</v>
      </c>
      <c r="S78" s="58">
        <v>0</v>
      </c>
    </row>
    <row r="79" spans="1:19" ht="12" x14ac:dyDescent="0.2">
      <c r="A79" s="8"/>
      <c r="B79" s="2" t="s">
        <v>173</v>
      </c>
      <c r="C79" s="34" t="s">
        <v>174</v>
      </c>
      <c r="D79" s="34" t="s">
        <v>135</v>
      </c>
      <c r="E79" s="11" t="s">
        <v>89</v>
      </c>
      <c r="F79" s="12"/>
      <c r="G79" s="57" t="s">
        <v>175</v>
      </c>
      <c r="H79" s="58">
        <f>-15.97-0.15</f>
        <v>-16.12</v>
      </c>
      <c r="I79" s="58">
        <v>0</v>
      </c>
      <c r="J79" s="58">
        <v>0</v>
      </c>
      <c r="K79" s="58">
        <v>0</v>
      </c>
      <c r="L79" s="58">
        <v>-0.08</v>
      </c>
      <c r="M79" s="58">
        <v>0</v>
      </c>
      <c r="N79" s="76">
        <v>0</v>
      </c>
      <c r="O79" s="76">
        <v>0</v>
      </c>
      <c r="P79" s="76">
        <v>0</v>
      </c>
      <c r="Q79" s="76">
        <v>0</v>
      </c>
      <c r="R79" s="76">
        <v>0</v>
      </c>
      <c r="S79" s="58">
        <v>0</v>
      </c>
    </row>
    <row r="80" spans="1:19" ht="12" x14ac:dyDescent="0.2">
      <c r="A80" s="8"/>
      <c r="B80" s="2" t="s">
        <v>176</v>
      </c>
      <c r="C80" s="34" t="s">
        <v>177</v>
      </c>
      <c r="D80" s="34" t="s">
        <v>135</v>
      </c>
      <c r="E80" s="11" t="s">
        <v>89</v>
      </c>
      <c r="F80" s="12"/>
      <c r="G80" s="57" t="s">
        <v>178</v>
      </c>
      <c r="H80" s="58">
        <v>0</v>
      </c>
      <c r="I80" s="58">
        <v>0</v>
      </c>
      <c r="J80" s="58">
        <v>0</v>
      </c>
      <c r="K80" s="58">
        <v>0</v>
      </c>
      <c r="L80" s="58">
        <v>0</v>
      </c>
      <c r="M80" s="58">
        <v>0</v>
      </c>
      <c r="N80" s="76">
        <v>0</v>
      </c>
      <c r="O80" s="76">
        <v>0</v>
      </c>
      <c r="P80" s="76">
        <v>0</v>
      </c>
      <c r="Q80" s="76">
        <v>0</v>
      </c>
      <c r="R80" s="76">
        <v>0</v>
      </c>
      <c r="S80" s="58">
        <v>0</v>
      </c>
    </row>
    <row r="81" spans="1:19" ht="12" x14ac:dyDescent="0.2">
      <c r="A81" s="8"/>
      <c r="B81" s="2" t="s">
        <v>179</v>
      </c>
      <c r="C81" s="34" t="s">
        <v>52</v>
      </c>
      <c r="D81" s="34" t="s">
        <v>135</v>
      </c>
      <c r="E81" s="11" t="s">
        <v>89</v>
      </c>
      <c r="F81" s="12"/>
      <c r="G81" s="57" t="s">
        <v>180</v>
      </c>
      <c r="H81" s="58">
        <v>0</v>
      </c>
      <c r="I81" s="58">
        <v>0</v>
      </c>
      <c r="J81" s="58">
        <v>0</v>
      </c>
      <c r="K81" s="58">
        <v>0</v>
      </c>
      <c r="L81" s="58">
        <v>0</v>
      </c>
      <c r="M81" s="58">
        <v>0</v>
      </c>
      <c r="N81" s="76">
        <v>0</v>
      </c>
      <c r="O81" s="76">
        <v>0</v>
      </c>
      <c r="P81" s="76">
        <v>0</v>
      </c>
      <c r="Q81" s="76">
        <v>0</v>
      </c>
      <c r="R81" s="76">
        <v>0</v>
      </c>
      <c r="S81" s="58">
        <v>0</v>
      </c>
    </row>
    <row r="82" spans="1:19" ht="12" x14ac:dyDescent="0.2">
      <c r="A82" s="8"/>
      <c r="B82" s="2" t="s">
        <v>181</v>
      </c>
      <c r="C82" s="34" t="s">
        <v>182</v>
      </c>
      <c r="D82" s="34" t="s">
        <v>131</v>
      </c>
      <c r="E82" s="11" t="s">
        <v>11</v>
      </c>
      <c r="G82" s="57" t="s">
        <v>183</v>
      </c>
      <c r="H82" s="58">
        <v>0</v>
      </c>
      <c r="I82" s="58">
        <v>0</v>
      </c>
      <c r="J82" s="58">
        <v>0</v>
      </c>
      <c r="K82" s="58">
        <v>0</v>
      </c>
      <c r="L82" s="58">
        <v>0</v>
      </c>
      <c r="M82" s="58">
        <v>0</v>
      </c>
      <c r="N82" s="76">
        <v>0</v>
      </c>
      <c r="O82" s="76">
        <v>0</v>
      </c>
      <c r="P82" s="76">
        <v>0</v>
      </c>
      <c r="Q82" s="76">
        <v>0</v>
      </c>
      <c r="R82" s="76">
        <v>0</v>
      </c>
      <c r="S82" s="58">
        <v>0</v>
      </c>
    </row>
    <row r="83" spans="1:19" ht="12" x14ac:dyDescent="0.2">
      <c r="A83" s="8"/>
      <c r="B83" s="2" t="s">
        <v>184</v>
      </c>
      <c r="C83" s="34" t="s">
        <v>182</v>
      </c>
      <c r="D83" s="34" t="s">
        <v>135</v>
      </c>
      <c r="E83" s="11" t="s">
        <v>89</v>
      </c>
      <c r="F83" s="12"/>
      <c r="G83" s="57" t="s">
        <v>374</v>
      </c>
      <c r="H83" s="58">
        <v>0</v>
      </c>
      <c r="I83" s="58">
        <v>0</v>
      </c>
      <c r="J83" s="58">
        <v>0</v>
      </c>
      <c r="K83" s="58">
        <v>0</v>
      </c>
      <c r="L83" s="58">
        <v>0</v>
      </c>
      <c r="M83" s="58">
        <v>0</v>
      </c>
      <c r="N83" s="76">
        <v>0</v>
      </c>
      <c r="O83" s="76">
        <v>0</v>
      </c>
      <c r="P83" s="76">
        <v>0</v>
      </c>
      <c r="Q83" s="76">
        <v>0</v>
      </c>
      <c r="R83" s="76">
        <v>0</v>
      </c>
      <c r="S83" s="58">
        <v>0</v>
      </c>
    </row>
    <row r="84" spans="1:19" ht="12" x14ac:dyDescent="0.2">
      <c r="A84" s="8"/>
      <c r="B84" s="2" t="s">
        <v>185</v>
      </c>
      <c r="C84" s="34" t="s">
        <v>375</v>
      </c>
      <c r="D84" s="34" t="s">
        <v>135</v>
      </c>
      <c r="E84" s="11" t="s">
        <v>89</v>
      </c>
      <c r="F84" s="12"/>
      <c r="G84" s="57" t="s">
        <v>376</v>
      </c>
      <c r="H84" s="58">
        <v>0</v>
      </c>
      <c r="I84" s="58">
        <v>0</v>
      </c>
      <c r="J84" s="58">
        <v>0</v>
      </c>
      <c r="K84" s="58">
        <v>0</v>
      </c>
      <c r="L84" s="58">
        <v>0</v>
      </c>
      <c r="M84" s="58">
        <v>0</v>
      </c>
      <c r="N84" s="76">
        <v>0</v>
      </c>
      <c r="O84" s="76">
        <v>0</v>
      </c>
      <c r="P84" s="76">
        <v>0</v>
      </c>
      <c r="Q84" s="76">
        <v>0</v>
      </c>
      <c r="R84" s="76">
        <v>0</v>
      </c>
      <c r="S84" s="58">
        <v>0</v>
      </c>
    </row>
    <row r="85" spans="1:19" ht="12" x14ac:dyDescent="0.2">
      <c r="A85" s="8"/>
      <c r="B85" s="2" t="s">
        <v>186</v>
      </c>
      <c r="C85" s="36">
        <v>68</v>
      </c>
      <c r="D85" s="34" t="s">
        <v>135</v>
      </c>
      <c r="E85" s="11" t="s">
        <v>89</v>
      </c>
      <c r="F85" s="12"/>
      <c r="G85" s="70" t="s">
        <v>111</v>
      </c>
      <c r="H85" s="58">
        <v>0</v>
      </c>
      <c r="I85" s="58">
        <v>0</v>
      </c>
      <c r="J85" s="58">
        <v>0</v>
      </c>
      <c r="K85" s="58">
        <v>0</v>
      </c>
      <c r="L85" s="58">
        <v>0</v>
      </c>
      <c r="M85" s="58">
        <v>0</v>
      </c>
      <c r="N85" s="76">
        <v>0</v>
      </c>
      <c r="O85" s="76">
        <v>0</v>
      </c>
      <c r="P85" s="76">
        <v>0</v>
      </c>
      <c r="Q85" s="76">
        <v>0</v>
      </c>
      <c r="R85" s="76">
        <v>0</v>
      </c>
      <c r="S85" s="58">
        <v>0</v>
      </c>
    </row>
    <row r="86" spans="1:19" x14ac:dyDescent="0.2">
      <c r="A86" s="8"/>
      <c r="B86" s="2" t="s">
        <v>377</v>
      </c>
      <c r="C86" s="10"/>
      <c r="D86" s="10"/>
      <c r="E86" s="9"/>
      <c r="G86" s="70" t="s">
        <v>158</v>
      </c>
      <c r="H86" s="56">
        <f t="shared" ref="H86:R86" si="19">SUM(H74:H85)</f>
        <v>-64.367000000000004</v>
      </c>
      <c r="I86" s="56">
        <f t="shared" si="19"/>
        <v>0</v>
      </c>
      <c r="J86" s="56">
        <f t="shared" si="19"/>
        <v>0</v>
      </c>
      <c r="K86" s="56">
        <f t="shared" si="19"/>
        <v>0</v>
      </c>
      <c r="L86" s="56">
        <f t="shared" si="19"/>
        <v>-0.08</v>
      </c>
      <c r="M86" s="56">
        <f t="shared" si="19"/>
        <v>0</v>
      </c>
      <c r="N86" s="56">
        <f t="shared" si="19"/>
        <v>0</v>
      </c>
      <c r="O86" s="56">
        <f t="shared" si="19"/>
        <v>0</v>
      </c>
      <c r="P86" s="56">
        <f t="shared" si="19"/>
        <v>0</v>
      </c>
      <c r="Q86" s="56">
        <f t="shared" si="19"/>
        <v>0</v>
      </c>
      <c r="R86" s="56">
        <f t="shared" si="19"/>
        <v>0</v>
      </c>
      <c r="S86" s="56">
        <f>SUM(S74:S85)</f>
        <v>0</v>
      </c>
    </row>
    <row r="87" spans="1:19" s="4" customFormat="1" x14ac:dyDescent="0.2">
      <c r="A87" s="8"/>
      <c r="B87" s="2" t="s">
        <v>378</v>
      </c>
      <c r="C87" s="10"/>
      <c r="D87" s="10"/>
      <c r="E87" s="9"/>
      <c r="F87" s="8"/>
      <c r="G87" s="89" t="s">
        <v>379</v>
      </c>
      <c r="H87" s="98"/>
      <c r="I87" s="85">
        <f t="shared" ref="I87:S87" si="20">(I14+I15)-(H14+H15-I58-I59+I45)</f>
        <v>8.3999999999832653E-2</v>
      </c>
      <c r="J87" s="85">
        <f t="shared" si="20"/>
        <v>0</v>
      </c>
      <c r="K87" s="85">
        <f t="shared" si="20"/>
        <v>0</v>
      </c>
      <c r="L87" s="85">
        <f t="shared" si="20"/>
        <v>-1.0000000000218279E-2</v>
      </c>
      <c r="M87" s="85">
        <f t="shared" si="20"/>
        <v>0.35599999999976717</v>
      </c>
      <c r="N87" s="85">
        <f t="shared" si="20"/>
        <v>-5.2999999999883585E-2</v>
      </c>
      <c r="O87" s="85">
        <f t="shared" si="20"/>
        <v>-5.4000000000087311E-2</v>
      </c>
      <c r="P87" s="85">
        <f t="shared" si="20"/>
        <v>5.2999999999883585E-2</v>
      </c>
      <c r="Q87" s="85">
        <f t="shared" si="20"/>
        <v>0</v>
      </c>
      <c r="R87" s="85">
        <f t="shared" si="20"/>
        <v>-9.9999999974897946E-4</v>
      </c>
      <c r="S87" s="85">
        <f t="shared" si="20"/>
        <v>0</v>
      </c>
    </row>
    <row r="88" spans="1:19" s="4" customFormat="1" x14ac:dyDescent="0.2">
      <c r="A88" s="8"/>
      <c r="B88" s="2" t="s">
        <v>380</v>
      </c>
      <c r="C88" s="10"/>
      <c r="D88" s="10"/>
      <c r="E88" s="9"/>
      <c r="F88" s="8"/>
      <c r="G88" s="89" t="s">
        <v>381</v>
      </c>
      <c r="H88" s="98"/>
      <c r="I88" s="85">
        <f>I24-(H24+(I74+I76)+(I75+I77)+(I78))</f>
        <v>-233.46600000000001</v>
      </c>
      <c r="J88" s="85">
        <f>J24-(I24+(J74+J76)+(J75+J77)+(J78))</f>
        <v>0</v>
      </c>
      <c r="K88" s="85">
        <f>K24-(J24+(K74+K76)+(K75+K77)+(K78))</f>
        <v>0</v>
      </c>
      <c r="L88" s="85">
        <f>L24-(K24+(L74+L76)+(L75+L77)+(L78))</f>
        <v>0</v>
      </c>
      <c r="M88" s="85">
        <f>M24-(L24+(M74+M76)+(M75+M77)+(M78))</f>
        <v>0</v>
      </c>
      <c r="N88" s="85">
        <f t="shared" ref="N88:S88" si="21">N24-(M24+(N74+N76)+(N75+N77)+(N78))</f>
        <v>0</v>
      </c>
      <c r="O88" s="85">
        <f t="shared" si="21"/>
        <v>0</v>
      </c>
      <c r="P88" s="85">
        <f t="shared" si="21"/>
        <v>0</v>
      </c>
      <c r="Q88" s="85">
        <f t="shared" si="21"/>
        <v>0</v>
      </c>
      <c r="R88" s="85">
        <f t="shared" si="21"/>
        <v>0</v>
      </c>
      <c r="S88" s="85">
        <f t="shared" si="21"/>
        <v>0</v>
      </c>
    </row>
    <row r="89" spans="1:19" s="4" customFormat="1" x14ac:dyDescent="0.2">
      <c r="A89" s="8"/>
      <c r="B89" s="2" t="s">
        <v>382</v>
      </c>
      <c r="C89" s="10"/>
      <c r="D89" s="10"/>
      <c r="E89" s="9"/>
      <c r="F89" s="8"/>
      <c r="G89" s="89" t="s">
        <v>383</v>
      </c>
      <c r="H89" s="98"/>
      <c r="I89" s="85">
        <f t="shared" ref="I89:S89" si="22">I28-(H28+(I82+I83))</f>
        <v>0</v>
      </c>
      <c r="J89" s="85">
        <f t="shared" si="22"/>
        <v>0</v>
      </c>
      <c r="K89" s="85">
        <f t="shared" si="22"/>
        <v>0</v>
      </c>
      <c r="L89" s="85">
        <f t="shared" si="22"/>
        <v>0</v>
      </c>
      <c r="M89" s="85">
        <f t="shared" si="22"/>
        <v>0</v>
      </c>
      <c r="N89" s="85">
        <f t="shared" si="22"/>
        <v>0</v>
      </c>
      <c r="O89" s="85">
        <f t="shared" si="22"/>
        <v>0</v>
      </c>
      <c r="P89" s="85">
        <f t="shared" si="22"/>
        <v>0</v>
      </c>
      <c r="Q89" s="85">
        <f t="shared" si="22"/>
        <v>0</v>
      </c>
      <c r="R89" s="85">
        <f t="shared" si="22"/>
        <v>0</v>
      </c>
      <c r="S89" s="85">
        <f t="shared" si="22"/>
        <v>0</v>
      </c>
    </row>
    <row r="90" spans="1:19" s="4" customFormat="1" x14ac:dyDescent="0.2">
      <c r="A90" s="8"/>
      <c r="B90" s="2" t="s">
        <v>384</v>
      </c>
      <c r="C90" s="10"/>
      <c r="D90" s="10"/>
      <c r="E90" s="9"/>
      <c r="F90" s="8"/>
      <c r="G90" s="89" t="s">
        <v>385</v>
      </c>
      <c r="H90" s="98"/>
      <c r="I90" s="85">
        <f t="shared" ref="I90:S90" si="23">I29-(H29+H30)-I84</f>
        <v>0</v>
      </c>
      <c r="J90" s="85">
        <f t="shared" si="23"/>
        <v>0</v>
      </c>
      <c r="K90" s="85">
        <f t="shared" si="23"/>
        <v>0</v>
      </c>
      <c r="L90" s="85">
        <f t="shared" si="23"/>
        <v>0</v>
      </c>
      <c r="M90" s="85">
        <f t="shared" si="23"/>
        <v>0</v>
      </c>
      <c r="N90" s="85">
        <f t="shared" si="23"/>
        <v>2.2737367544323206E-13</v>
      </c>
      <c r="O90" s="85">
        <f t="shared" si="23"/>
        <v>0</v>
      </c>
      <c r="P90" s="85">
        <f t="shared" si="23"/>
        <v>9.9999999997635314E-4</v>
      </c>
      <c r="Q90" s="85">
        <f t="shared" si="23"/>
        <v>0</v>
      </c>
      <c r="R90" s="85">
        <f t="shared" si="23"/>
        <v>0</v>
      </c>
      <c r="S90" s="85">
        <f t="shared" si="23"/>
        <v>0</v>
      </c>
    </row>
    <row r="91" spans="1:19" s="4" customFormat="1" x14ac:dyDescent="0.2">
      <c r="A91" s="8"/>
      <c r="B91" s="2"/>
      <c r="C91" s="10"/>
      <c r="D91" s="10"/>
      <c r="E91" s="9"/>
      <c r="F91" s="8"/>
      <c r="G91" s="28"/>
      <c r="L91" s="93">
        <f>L90-L87</f>
        <v>1.0000000000218279E-2</v>
      </c>
    </row>
    <row r="92" spans="1:19" s="4" customFormat="1" x14ac:dyDescent="0.2">
      <c r="A92" s="13" t="s">
        <v>0</v>
      </c>
      <c r="B92" s="2"/>
      <c r="C92" s="10"/>
      <c r="D92" s="753" t="s">
        <v>187</v>
      </c>
      <c r="E92" s="754"/>
      <c r="F92" s="8"/>
      <c r="G92" s="94" t="s">
        <v>386</v>
      </c>
      <c r="H92" s="87">
        <f>H73</f>
        <v>2011</v>
      </c>
      <c r="I92" s="87">
        <f t="shared" ref="I92:S92" si="24">I73</f>
        <v>2012</v>
      </c>
      <c r="J92" s="87">
        <f t="shared" si="24"/>
        <v>2013</v>
      </c>
      <c r="K92" s="87">
        <f t="shared" si="24"/>
        <v>2014</v>
      </c>
      <c r="L92" s="87">
        <f t="shared" si="24"/>
        <v>2015</v>
      </c>
      <c r="M92" s="87">
        <f t="shared" si="24"/>
        <v>2016</v>
      </c>
      <c r="N92" s="87">
        <f t="shared" si="24"/>
        <v>2017</v>
      </c>
      <c r="O92" s="87">
        <f t="shared" si="24"/>
        <v>2018</v>
      </c>
      <c r="P92" s="87">
        <f t="shared" si="24"/>
        <v>2019</v>
      </c>
      <c r="Q92" s="87">
        <f t="shared" si="24"/>
        <v>2020</v>
      </c>
      <c r="R92" s="87">
        <f t="shared" si="24"/>
        <v>2021</v>
      </c>
      <c r="S92" s="87">
        <f t="shared" si="24"/>
        <v>2022</v>
      </c>
    </row>
    <row r="93" spans="1:19" s="4" customFormat="1" x14ac:dyDescent="0.2">
      <c r="A93" s="8"/>
      <c r="B93" s="2" t="s">
        <v>387</v>
      </c>
      <c r="C93" s="10" t="s">
        <v>388</v>
      </c>
      <c r="D93" s="10"/>
      <c r="E93" s="9"/>
      <c r="F93" s="8"/>
      <c r="G93" s="95" t="s">
        <v>389</v>
      </c>
      <c r="H93" s="96">
        <f>H5+H11+H12+H13</f>
        <v>137.78099999999998</v>
      </c>
      <c r="I93" s="96">
        <f>I5+I11+I12+I13</f>
        <v>141.69900000000001</v>
      </c>
      <c r="J93" s="96">
        <f t="shared" ref="J93:S93" si="25">J5+J11+J12+J13</f>
        <v>200.78899999999999</v>
      </c>
      <c r="K93" s="96">
        <f t="shared" si="25"/>
        <v>357.24400000000003</v>
      </c>
      <c r="L93" s="96">
        <f t="shared" si="25"/>
        <v>281.61900000000003</v>
      </c>
      <c r="M93" s="96">
        <f t="shared" si="25"/>
        <v>232.13200000000001</v>
      </c>
      <c r="N93" s="96">
        <f t="shared" si="25"/>
        <v>263.68099999999998</v>
      </c>
      <c r="O93" s="96">
        <f t="shared" si="25"/>
        <v>190.78699999999998</v>
      </c>
      <c r="P93" s="96">
        <f t="shared" si="25"/>
        <v>176.577</v>
      </c>
      <c r="Q93" s="96">
        <f t="shared" si="25"/>
        <v>171.58799999999999</v>
      </c>
      <c r="R93" s="96">
        <f t="shared" si="25"/>
        <v>175.19</v>
      </c>
      <c r="S93" s="96">
        <f t="shared" si="25"/>
        <v>203.02300000000002</v>
      </c>
    </row>
    <row r="94" spans="1:19" s="4" customFormat="1" x14ac:dyDescent="0.2">
      <c r="A94" s="8"/>
      <c r="B94" s="2" t="s">
        <v>390</v>
      </c>
      <c r="C94" s="10"/>
      <c r="D94" s="10"/>
      <c r="E94" s="9"/>
      <c r="F94" s="8"/>
      <c r="G94" s="97" t="s">
        <v>391</v>
      </c>
      <c r="H94" s="98"/>
      <c r="I94" s="96">
        <f>I93-H93</f>
        <v>3.9180000000000348</v>
      </c>
      <c r="J94" s="96">
        <f t="shared" ref="J94:S94" si="26">J93-I93</f>
        <v>59.089999999999975</v>
      </c>
      <c r="K94" s="96">
        <f t="shared" si="26"/>
        <v>156.45500000000004</v>
      </c>
      <c r="L94" s="96">
        <f t="shared" si="26"/>
        <v>-75.625</v>
      </c>
      <c r="M94" s="96">
        <f t="shared" si="26"/>
        <v>-49.487000000000023</v>
      </c>
      <c r="N94" s="96">
        <f t="shared" si="26"/>
        <v>31.548999999999978</v>
      </c>
      <c r="O94" s="96">
        <f t="shared" si="26"/>
        <v>-72.894000000000005</v>
      </c>
      <c r="P94" s="96">
        <f t="shared" si="26"/>
        <v>-14.20999999999998</v>
      </c>
      <c r="Q94" s="96">
        <f t="shared" si="26"/>
        <v>-4.9890000000000043</v>
      </c>
      <c r="R94" s="96">
        <f t="shared" si="26"/>
        <v>3.6020000000000039</v>
      </c>
      <c r="S94" s="96">
        <f t="shared" si="26"/>
        <v>27.833000000000027</v>
      </c>
    </row>
    <row r="95" spans="1:19" s="4" customFormat="1" x14ac:dyDescent="0.2">
      <c r="A95" s="8"/>
      <c r="B95" s="2" t="s">
        <v>392</v>
      </c>
      <c r="C95" s="10" t="s">
        <v>42</v>
      </c>
      <c r="D95" s="10"/>
      <c r="E95" s="9"/>
      <c r="F95" s="8"/>
      <c r="G95" s="95" t="s">
        <v>393</v>
      </c>
      <c r="H95" s="96">
        <f>H19</f>
        <v>257.43299999999999</v>
      </c>
      <c r="I95" s="96">
        <f t="shared" ref="I95:S95" si="27">I19</f>
        <v>29.306000000000001</v>
      </c>
      <c r="J95" s="96">
        <f t="shared" si="27"/>
        <v>33.36</v>
      </c>
      <c r="K95" s="96">
        <f t="shared" si="27"/>
        <v>166.1</v>
      </c>
      <c r="L95" s="96">
        <f t="shared" si="27"/>
        <v>36.372999999999998</v>
      </c>
      <c r="M95" s="96">
        <f t="shared" si="27"/>
        <v>33.363999999999997</v>
      </c>
      <c r="N95" s="96">
        <f>N19</f>
        <v>33.325000000000003</v>
      </c>
      <c r="O95" s="96">
        <f t="shared" si="27"/>
        <v>33.200000000000003</v>
      </c>
      <c r="P95" s="96">
        <f t="shared" si="27"/>
        <v>33.988999999999997</v>
      </c>
      <c r="Q95" s="96">
        <f t="shared" si="27"/>
        <v>34.049999999999997</v>
      </c>
      <c r="R95" s="96">
        <f t="shared" si="27"/>
        <v>33.35</v>
      </c>
      <c r="S95" s="96">
        <f t="shared" si="27"/>
        <v>33.75</v>
      </c>
    </row>
    <row r="96" spans="1:19" s="4" customFormat="1" x14ac:dyDescent="0.2">
      <c r="A96" s="8"/>
      <c r="B96" s="2" t="s">
        <v>394</v>
      </c>
      <c r="C96" s="10"/>
      <c r="D96" s="10"/>
      <c r="E96" s="9"/>
      <c r="F96" s="8"/>
      <c r="G96" s="97" t="s">
        <v>391</v>
      </c>
      <c r="H96" s="98"/>
      <c r="I96" s="96">
        <f>I95-H95</f>
        <v>-228.12699999999998</v>
      </c>
      <c r="J96" s="96">
        <f t="shared" ref="J96:S96" si="28">J95-I95</f>
        <v>4.0539999999999985</v>
      </c>
      <c r="K96" s="96">
        <f t="shared" si="28"/>
        <v>132.74</v>
      </c>
      <c r="L96" s="96">
        <f t="shared" si="28"/>
        <v>-129.727</v>
      </c>
      <c r="M96" s="96">
        <f t="shared" si="28"/>
        <v>-3.0090000000000003</v>
      </c>
      <c r="N96" s="96">
        <f t="shared" si="28"/>
        <v>-3.8999999999994373E-2</v>
      </c>
      <c r="O96" s="96">
        <f t="shared" si="28"/>
        <v>-0.125</v>
      </c>
      <c r="P96" s="96">
        <f t="shared" si="28"/>
        <v>0.78899999999999437</v>
      </c>
      <c r="Q96" s="96">
        <f t="shared" si="28"/>
        <v>6.0999999999999943E-2</v>
      </c>
      <c r="R96" s="96">
        <f t="shared" si="28"/>
        <v>-0.69999999999999574</v>
      </c>
      <c r="S96" s="96">
        <f t="shared" si="28"/>
        <v>0.39999999999999858</v>
      </c>
    </row>
    <row r="97" spans="1:20" s="40" customFormat="1" x14ac:dyDescent="0.2">
      <c r="A97" s="29" t="s">
        <v>395</v>
      </c>
      <c r="B97" s="2" t="s">
        <v>188</v>
      </c>
      <c r="C97" s="10" t="s">
        <v>396</v>
      </c>
      <c r="D97" s="99"/>
      <c r="E97" s="30"/>
      <c r="F97" s="29"/>
      <c r="G97" s="100" t="s">
        <v>386</v>
      </c>
      <c r="H97" s="101"/>
      <c r="I97" s="102">
        <f>I94-I96</f>
        <v>232.04500000000002</v>
      </c>
      <c r="J97" s="102">
        <f t="shared" ref="J97:S97" si="29">J94-J96</f>
        <v>55.035999999999973</v>
      </c>
      <c r="K97" s="102">
        <f t="shared" si="29"/>
        <v>23.715000000000032</v>
      </c>
      <c r="L97" s="102">
        <f t="shared" si="29"/>
        <v>54.102000000000004</v>
      </c>
      <c r="M97" s="102">
        <f t="shared" si="29"/>
        <v>-46.478000000000023</v>
      </c>
      <c r="N97" s="102">
        <f t="shared" si="29"/>
        <v>31.587999999999973</v>
      </c>
      <c r="O97" s="102">
        <f t="shared" si="29"/>
        <v>-72.769000000000005</v>
      </c>
      <c r="P97" s="102">
        <f t="shared" si="29"/>
        <v>-14.998999999999974</v>
      </c>
      <c r="Q97" s="102">
        <f t="shared" si="29"/>
        <v>-5.0500000000000043</v>
      </c>
      <c r="R97" s="102">
        <f t="shared" si="29"/>
        <v>4.3019999999999996</v>
      </c>
      <c r="S97" s="102">
        <f t="shared" si="29"/>
        <v>27.433000000000028</v>
      </c>
    </row>
    <row r="98" spans="1:20" s="4" customFormat="1" x14ac:dyDescent="0.2">
      <c r="A98" s="8"/>
      <c r="B98" s="2"/>
      <c r="C98" s="10"/>
      <c r="D98" s="10"/>
      <c r="E98" s="9"/>
      <c r="F98" s="8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</row>
    <row r="99" spans="1:20" s="4" customFormat="1" x14ac:dyDescent="0.2">
      <c r="A99" s="8"/>
      <c r="B99" s="2" t="s">
        <v>397</v>
      </c>
      <c r="C99" s="10" t="s">
        <v>398</v>
      </c>
      <c r="D99" s="10"/>
      <c r="E99" s="9"/>
      <c r="F99" s="8"/>
      <c r="G99" s="95" t="s">
        <v>399</v>
      </c>
      <c r="H99" s="96">
        <f>H4-H93</f>
        <v>2848.431</v>
      </c>
      <c r="I99" s="96">
        <f t="shared" ref="I99:S99" si="30">I4-I93</f>
        <v>2684.8690000000001</v>
      </c>
      <c r="J99" s="96">
        <f t="shared" si="30"/>
        <v>2509.4530000000004</v>
      </c>
      <c r="K99" s="96">
        <f t="shared" si="30"/>
        <v>2589.962</v>
      </c>
      <c r="L99" s="96">
        <f t="shared" si="30"/>
        <v>2619.9270000000001</v>
      </c>
      <c r="M99" s="96">
        <f t="shared" si="30"/>
        <v>2568.5160000000001</v>
      </c>
      <c r="N99" s="96">
        <f t="shared" si="30"/>
        <v>2597.768</v>
      </c>
      <c r="O99" s="96">
        <f t="shared" si="30"/>
        <v>2511</v>
      </c>
      <c r="P99" s="96">
        <f t="shared" si="30"/>
        <v>2445.9290000000001</v>
      </c>
      <c r="Q99" s="96">
        <f t="shared" si="30"/>
        <v>2384.931</v>
      </c>
      <c r="R99" s="96">
        <f t="shared" si="30"/>
        <v>2312.0880000000002</v>
      </c>
      <c r="S99" s="96">
        <f t="shared" si="30"/>
        <v>2161.9920000000002</v>
      </c>
    </row>
    <row r="100" spans="1:20" s="4" customFormat="1" x14ac:dyDescent="0.2">
      <c r="A100" s="8"/>
      <c r="B100" s="2" t="s">
        <v>400</v>
      </c>
      <c r="C100" s="10"/>
      <c r="D100" s="10"/>
      <c r="E100" s="9"/>
      <c r="F100" s="8"/>
      <c r="G100" s="97" t="s">
        <v>391</v>
      </c>
      <c r="H100" s="98"/>
      <c r="I100" s="96">
        <f>I99-H99</f>
        <v>-163.5619999999999</v>
      </c>
      <c r="J100" s="96">
        <f t="shared" ref="J100:S100" si="31">J99-I99</f>
        <v>-175.41599999999971</v>
      </c>
      <c r="K100" s="96">
        <f t="shared" si="31"/>
        <v>80.50899999999956</v>
      </c>
      <c r="L100" s="96">
        <f t="shared" si="31"/>
        <v>29.965000000000146</v>
      </c>
      <c r="M100" s="96">
        <f t="shared" si="31"/>
        <v>-51.411000000000058</v>
      </c>
      <c r="N100" s="96">
        <f t="shared" si="31"/>
        <v>29.251999999999953</v>
      </c>
      <c r="O100" s="96">
        <f t="shared" si="31"/>
        <v>-86.768000000000029</v>
      </c>
      <c r="P100" s="96">
        <f t="shared" si="31"/>
        <v>-65.070999999999913</v>
      </c>
      <c r="Q100" s="96">
        <f t="shared" si="31"/>
        <v>-60.998000000000047</v>
      </c>
      <c r="R100" s="96">
        <f t="shared" si="31"/>
        <v>-72.842999999999847</v>
      </c>
      <c r="S100" s="96">
        <f t="shared" si="31"/>
        <v>-150.096</v>
      </c>
    </row>
    <row r="101" spans="1:20" s="4" customFormat="1" x14ac:dyDescent="0.2">
      <c r="A101" s="8"/>
      <c r="B101" s="2" t="s">
        <v>401</v>
      </c>
      <c r="C101" s="10" t="s">
        <v>64</v>
      </c>
      <c r="D101" s="10"/>
      <c r="E101" s="9"/>
      <c r="F101" s="8"/>
      <c r="G101" s="95" t="s">
        <v>402</v>
      </c>
      <c r="H101" s="96">
        <f>H27</f>
        <v>2728.7820000000002</v>
      </c>
      <c r="I101" s="96">
        <f t="shared" ref="I101:S101" si="32">I27</f>
        <v>2797.2620000000002</v>
      </c>
      <c r="J101" s="96">
        <f t="shared" si="32"/>
        <v>2676.8809999999999</v>
      </c>
      <c r="K101" s="96">
        <f t="shared" si="32"/>
        <v>2781.105</v>
      </c>
      <c r="L101" s="96">
        <f t="shared" si="32"/>
        <v>2865.1719999999996</v>
      </c>
      <c r="M101" s="96">
        <f t="shared" si="32"/>
        <v>2767.2849999999994</v>
      </c>
      <c r="N101" s="96">
        <f t="shared" si="32"/>
        <v>2828.123</v>
      </c>
      <c r="O101" s="96">
        <f t="shared" si="32"/>
        <v>2668.64</v>
      </c>
      <c r="P101" s="96">
        <f t="shared" si="32"/>
        <v>2588.5170000000003</v>
      </c>
      <c r="Q101" s="96">
        <f t="shared" si="32"/>
        <v>2522.4690000000001</v>
      </c>
      <c r="R101" s="96">
        <f t="shared" si="32"/>
        <v>2453.9279999999999</v>
      </c>
      <c r="S101" s="96">
        <f t="shared" si="32"/>
        <v>2331.2649999999999</v>
      </c>
    </row>
    <row r="102" spans="1:20" s="4" customFormat="1" x14ac:dyDescent="0.2">
      <c r="A102" s="8"/>
      <c r="B102" s="2" t="s">
        <v>403</v>
      </c>
      <c r="C102" s="10"/>
      <c r="D102" s="10"/>
      <c r="E102" s="9"/>
      <c r="F102" s="8"/>
      <c r="G102" s="97" t="s">
        <v>391</v>
      </c>
      <c r="H102" s="98"/>
      <c r="I102" s="96">
        <f>I101-H101</f>
        <v>68.480000000000018</v>
      </c>
      <c r="J102" s="96">
        <f t="shared" ref="J102:S102" si="33">J101-I101</f>
        <v>-120.38100000000031</v>
      </c>
      <c r="K102" s="96">
        <f t="shared" si="33"/>
        <v>104.22400000000016</v>
      </c>
      <c r="L102" s="96">
        <f t="shared" si="33"/>
        <v>84.066999999999553</v>
      </c>
      <c r="M102" s="96">
        <f t="shared" si="33"/>
        <v>-97.887000000000171</v>
      </c>
      <c r="N102" s="96">
        <f t="shared" si="33"/>
        <v>60.838000000000648</v>
      </c>
      <c r="O102" s="96">
        <f t="shared" si="33"/>
        <v>-159.48300000000017</v>
      </c>
      <c r="P102" s="96">
        <f t="shared" si="33"/>
        <v>-80.122999999999593</v>
      </c>
      <c r="Q102" s="96">
        <f t="shared" si="33"/>
        <v>-66.048000000000229</v>
      </c>
      <c r="R102" s="96">
        <f t="shared" si="33"/>
        <v>-68.541000000000167</v>
      </c>
      <c r="S102" s="96">
        <f t="shared" si="33"/>
        <v>-122.66300000000001</v>
      </c>
    </row>
    <row r="103" spans="1:20" s="40" customFormat="1" x14ac:dyDescent="0.2">
      <c r="A103" s="29" t="s">
        <v>404</v>
      </c>
      <c r="B103" s="2" t="s">
        <v>189</v>
      </c>
      <c r="C103" s="10" t="s">
        <v>405</v>
      </c>
      <c r="D103" s="10"/>
      <c r="E103" s="9"/>
      <c r="F103" s="8"/>
      <c r="G103" s="100" t="s">
        <v>406</v>
      </c>
      <c r="H103" s="101"/>
      <c r="I103" s="102">
        <f>I102-I100</f>
        <v>232.04199999999992</v>
      </c>
      <c r="J103" s="102">
        <f t="shared" ref="J103:S103" si="34">J102-J100</f>
        <v>55.0349999999994</v>
      </c>
      <c r="K103" s="102">
        <f t="shared" si="34"/>
        <v>23.7150000000006</v>
      </c>
      <c r="L103" s="102">
        <f t="shared" si="34"/>
        <v>54.101999999999407</v>
      </c>
      <c r="M103" s="102">
        <f t="shared" si="34"/>
        <v>-46.476000000000113</v>
      </c>
      <c r="N103" s="102">
        <f t="shared" si="34"/>
        <v>31.586000000000695</v>
      </c>
      <c r="O103" s="102">
        <f t="shared" si="34"/>
        <v>-72.715000000000146</v>
      </c>
      <c r="P103" s="102">
        <f t="shared" si="34"/>
        <v>-15.05199999999968</v>
      </c>
      <c r="Q103" s="102">
        <f t="shared" si="34"/>
        <v>-5.0500000000001819</v>
      </c>
      <c r="R103" s="102">
        <f t="shared" si="34"/>
        <v>4.3019999999996799</v>
      </c>
      <c r="S103" s="102">
        <f t="shared" si="34"/>
        <v>27.432999999999993</v>
      </c>
    </row>
    <row r="104" spans="1:20" s="4" customFormat="1" x14ac:dyDescent="0.2">
      <c r="A104" s="8"/>
      <c r="B104" s="2"/>
      <c r="C104" s="10"/>
      <c r="D104" s="10"/>
      <c r="E104" s="9"/>
      <c r="F104" s="8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</row>
    <row r="105" spans="1:20" s="4" customFormat="1" x14ac:dyDescent="0.2">
      <c r="A105" s="13"/>
      <c r="B105" s="2"/>
      <c r="C105" s="10"/>
      <c r="D105" s="10"/>
      <c r="E105" s="9"/>
      <c r="F105" s="8"/>
      <c r="G105" s="94" t="s">
        <v>407</v>
      </c>
      <c r="H105" s="87">
        <f t="shared" ref="H105:S105" si="35">H32</f>
        <v>2011</v>
      </c>
      <c r="I105" s="87">
        <f t="shared" si="35"/>
        <v>2012</v>
      </c>
      <c r="J105" s="87">
        <f t="shared" si="35"/>
        <v>2013</v>
      </c>
      <c r="K105" s="87">
        <f t="shared" si="35"/>
        <v>2014</v>
      </c>
      <c r="L105" s="87">
        <f t="shared" si="35"/>
        <v>2015</v>
      </c>
      <c r="M105" s="87">
        <f t="shared" si="35"/>
        <v>2016</v>
      </c>
      <c r="N105" s="87">
        <f t="shared" si="35"/>
        <v>2017</v>
      </c>
      <c r="O105" s="87">
        <f t="shared" si="35"/>
        <v>2018</v>
      </c>
      <c r="P105" s="87">
        <f t="shared" si="35"/>
        <v>2019</v>
      </c>
      <c r="Q105" s="87">
        <f t="shared" si="35"/>
        <v>2020</v>
      </c>
      <c r="R105" s="87">
        <f t="shared" si="35"/>
        <v>2021</v>
      </c>
      <c r="S105" s="87">
        <f t="shared" si="35"/>
        <v>2022</v>
      </c>
    </row>
    <row r="106" spans="1:20" s="40" customFormat="1" x14ac:dyDescent="0.2">
      <c r="A106" s="29" t="s">
        <v>408</v>
      </c>
      <c r="B106" s="2" t="s">
        <v>192</v>
      </c>
      <c r="C106" s="29" t="s">
        <v>409</v>
      </c>
      <c r="D106" s="10"/>
      <c r="E106" s="9"/>
      <c r="F106" s="8"/>
      <c r="G106" s="103" t="s">
        <v>407</v>
      </c>
      <c r="H106" s="101" t="s">
        <v>358</v>
      </c>
      <c r="I106" s="104">
        <f t="shared" ref="I106:N106" si="36">(I48-I45+I50)+(I58+I59)+(I82+I83+I84+I85)-(I85-I49)</f>
        <v>232.12600000000006</v>
      </c>
      <c r="J106" s="104">
        <f t="shared" si="36"/>
        <v>55.035000000000018</v>
      </c>
      <c r="K106" s="104">
        <f t="shared" si="36"/>
        <v>23.716000000000008</v>
      </c>
      <c r="L106" s="104">
        <f t="shared" si="36"/>
        <v>54.094000000000108</v>
      </c>
      <c r="M106" s="104">
        <f t="shared" si="36"/>
        <v>-46.009000000000015</v>
      </c>
      <c r="N106" s="104">
        <f t="shared" si="36"/>
        <v>31.633000000000095</v>
      </c>
      <c r="O106" s="104">
        <f>(O48-O45+O50)+(O58+O59)+(O82+O83+O84+O85)-(O85-O49)</f>
        <v>-72.742999999999995</v>
      </c>
      <c r="P106" s="104">
        <f>(P48-P45+P50)+(P58+P59)+(P82+P83+P84+P85)-(P85-P49)</f>
        <v>-14.890000000000015</v>
      </c>
      <c r="Q106" s="104">
        <f>(Q48-Q45+Q50)+(Q58+Q59)+(Q82+Q83+Q84+Q85)-(Q85-Q49)</f>
        <v>-4.839999999999975</v>
      </c>
      <c r="R106" s="104">
        <f>(R48-R45+R50)+(R58+R59)+(R82+R83+R84+R85)-(R85-R49)</f>
        <v>4.510999999999882</v>
      </c>
      <c r="S106" s="104">
        <f>(S48-S45+S50)+(S58+S59)+(S82+S83+S84+S85)-(S85-S49)</f>
        <v>27.673000000000002</v>
      </c>
    </row>
    <row r="107" spans="1:20" s="40" customFormat="1" x14ac:dyDescent="0.2">
      <c r="A107" s="29" t="s">
        <v>410</v>
      </c>
      <c r="B107" s="2" t="s">
        <v>194</v>
      </c>
      <c r="C107" s="29" t="s">
        <v>411</v>
      </c>
      <c r="D107" s="10"/>
      <c r="E107" s="9"/>
      <c r="F107" s="8"/>
      <c r="G107" s="89" t="s">
        <v>412</v>
      </c>
      <c r="H107" s="101" t="s">
        <v>358</v>
      </c>
      <c r="I107" s="85">
        <f>I97-I106</f>
        <v>-8.1000000000045702E-2</v>
      </c>
      <c r="J107" s="85">
        <f t="shared" ref="J107:S107" si="37">J97-J106</f>
        <v>9.9999999995503686E-4</v>
      </c>
      <c r="K107" s="85">
        <f t="shared" si="37"/>
        <v>-9.9999999997635314E-4</v>
      </c>
      <c r="L107" s="85">
        <f t="shared" si="37"/>
        <v>7.9999999998960902E-3</v>
      </c>
      <c r="M107" s="85">
        <f t="shared" si="37"/>
        <v>-0.4690000000000083</v>
      </c>
      <c r="N107" s="85">
        <f t="shared" si="37"/>
        <v>-4.5000000000122498E-2</v>
      </c>
      <c r="O107" s="85">
        <f t="shared" si="37"/>
        <v>-2.6000000000010459E-2</v>
      </c>
      <c r="P107" s="85">
        <f t="shared" si="37"/>
        <v>-0.10899999999995913</v>
      </c>
      <c r="Q107" s="85">
        <f t="shared" si="37"/>
        <v>-0.21000000000002927</v>
      </c>
      <c r="R107" s="85">
        <f t="shared" si="37"/>
        <v>-0.20899999999988239</v>
      </c>
      <c r="S107" s="85">
        <f t="shared" si="37"/>
        <v>-0.23999999999997357</v>
      </c>
    </row>
    <row r="108" spans="1:20" s="40" customFormat="1" x14ac:dyDescent="0.2">
      <c r="A108" s="29"/>
      <c r="B108" s="2"/>
      <c r="C108" s="29"/>
      <c r="D108" s="10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</row>
    <row r="109" spans="1:20" s="40" customFormat="1" x14ac:dyDescent="0.2">
      <c r="A109" s="29"/>
      <c r="B109" s="2"/>
      <c r="C109" s="29"/>
      <c r="D109" s="10"/>
      <c r="E109" s="9"/>
      <c r="F109" s="8"/>
      <c r="G109" s="94" t="s">
        <v>413</v>
      </c>
      <c r="H109" s="87">
        <f>H105</f>
        <v>2011</v>
      </c>
      <c r="I109" s="87">
        <f t="shared" ref="I109:S109" si="38">I105</f>
        <v>2012</v>
      </c>
      <c r="J109" s="87">
        <f t="shared" si="38"/>
        <v>2013</v>
      </c>
      <c r="K109" s="87">
        <f t="shared" si="38"/>
        <v>2014</v>
      </c>
      <c r="L109" s="87">
        <f t="shared" si="38"/>
        <v>2015</v>
      </c>
      <c r="M109" s="87">
        <f t="shared" si="38"/>
        <v>2016</v>
      </c>
      <c r="N109" s="87">
        <f t="shared" si="38"/>
        <v>2017</v>
      </c>
      <c r="O109" s="87">
        <f t="shared" si="38"/>
        <v>2018</v>
      </c>
      <c r="P109" s="87">
        <f t="shared" si="38"/>
        <v>2019</v>
      </c>
      <c r="Q109" s="87">
        <f t="shared" si="38"/>
        <v>2020</v>
      </c>
      <c r="R109" s="87">
        <f t="shared" si="38"/>
        <v>2021</v>
      </c>
      <c r="S109" s="87">
        <f t="shared" si="38"/>
        <v>2022</v>
      </c>
    </row>
    <row r="110" spans="1:20" s="4" customFormat="1" x14ac:dyDescent="0.2">
      <c r="A110" s="8" t="s">
        <v>414</v>
      </c>
      <c r="B110" s="2" t="s">
        <v>415</v>
      </c>
      <c r="C110" s="34" t="s">
        <v>190</v>
      </c>
      <c r="D110" s="10"/>
      <c r="E110" s="9"/>
      <c r="F110" s="8"/>
      <c r="G110" s="103" t="s">
        <v>191</v>
      </c>
      <c r="H110" s="105">
        <f t="shared" ref="H110:S110" si="39">H33+H38+H41-H45</f>
        <v>295.92899999999986</v>
      </c>
      <c r="I110" s="77">
        <f t="shared" si="39"/>
        <v>294.39000000000004</v>
      </c>
      <c r="J110" s="77">
        <f t="shared" si="39"/>
        <v>88.65900000000002</v>
      </c>
      <c r="K110" s="77">
        <f t="shared" si="39"/>
        <v>288.47800000000001</v>
      </c>
      <c r="L110" s="77">
        <f t="shared" si="39"/>
        <v>277.04500000000013</v>
      </c>
      <c r="M110" s="77">
        <f t="shared" si="39"/>
        <v>134.34399999999999</v>
      </c>
      <c r="N110" s="77">
        <f t="shared" si="39"/>
        <v>268.6330000000001</v>
      </c>
      <c r="O110" s="77">
        <f t="shared" si="39"/>
        <v>34.722000000000008</v>
      </c>
      <c r="P110" s="77">
        <f t="shared" si="39"/>
        <v>120.10999999999999</v>
      </c>
      <c r="Q110" s="77">
        <f t="shared" si="39"/>
        <v>135.16000000000003</v>
      </c>
      <c r="R110" s="77">
        <f t="shared" si="39"/>
        <v>134.51099999999988</v>
      </c>
      <c r="S110" s="77">
        <f t="shared" si="39"/>
        <v>77.673000000000002</v>
      </c>
    </row>
    <row r="111" spans="1:20" s="4" customFormat="1" x14ac:dyDescent="0.2">
      <c r="A111" s="8" t="s">
        <v>416</v>
      </c>
      <c r="B111" s="2" t="s">
        <v>197</v>
      </c>
      <c r="C111" s="8" t="s">
        <v>417</v>
      </c>
      <c r="D111" s="10"/>
      <c r="E111" s="106">
        <v>0</v>
      </c>
      <c r="F111" s="8"/>
      <c r="G111" s="46" t="s">
        <v>193</v>
      </c>
      <c r="H111" s="107">
        <f t="shared" ref="H111:S111" si="40">H110/H33</f>
        <v>0.38036853186222197</v>
      </c>
      <c r="I111" s="108">
        <f t="shared" si="40"/>
        <v>0.34537493928749929</v>
      </c>
      <c r="J111" s="108">
        <f t="shared" si="40"/>
        <v>0.11489907662400781</v>
      </c>
      <c r="K111" s="108">
        <f t="shared" si="40"/>
        <v>0.30557847716037156</v>
      </c>
      <c r="L111" s="108">
        <f t="shared" si="40"/>
        <v>0.27508665808112065</v>
      </c>
      <c r="M111" s="108">
        <f t="shared" si="40"/>
        <v>0.14274800319191777</v>
      </c>
      <c r="N111" s="108">
        <f t="shared" si="40"/>
        <v>0.25559096007999804</v>
      </c>
      <c r="O111" s="108">
        <f t="shared" si="40"/>
        <v>4.0280742459396758E-2</v>
      </c>
      <c r="P111" s="108">
        <f t="shared" si="40"/>
        <v>0.12545592800411118</v>
      </c>
      <c r="Q111" s="108">
        <f t="shared" si="40"/>
        <v>0.13854350959123723</v>
      </c>
      <c r="R111" s="108">
        <f t="shared" si="40"/>
        <v>0.13769055018486889</v>
      </c>
      <c r="S111" s="108">
        <f t="shared" si="40"/>
        <v>8.4100826142035803E-2</v>
      </c>
    </row>
    <row r="112" spans="1:20" s="4" customFormat="1" x14ac:dyDescent="0.2">
      <c r="A112" s="8" t="s">
        <v>418</v>
      </c>
      <c r="B112" s="2" t="s">
        <v>200</v>
      </c>
      <c r="C112" s="34" t="s">
        <v>195</v>
      </c>
      <c r="D112" s="10"/>
      <c r="E112" s="109"/>
      <c r="F112" s="8"/>
      <c r="G112" s="110" t="s">
        <v>196</v>
      </c>
      <c r="H112" s="111">
        <f t="shared" ref="H112:S112" si="41">-H33/(H38+H41)</f>
        <v>1.1316121712822897</v>
      </c>
      <c r="I112" s="111">
        <f t="shared" si="41"/>
        <v>1.0913455752246382</v>
      </c>
      <c r="J112" s="111">
        <f t="shared" si="41"/>
        <v>0.86504462974464302</v>
      </c>
      <c r="K112" s="111">
        <f t="shared" si="41"/>
        <v>1.1241048613145292</v>
      </c>
      <c r="L112" s="111">
        <f t="shared" si="41"/>
        <v>1.0903190673947594</v>
      </c>
      <c r="M112" s="111">
        <f t="shared" si="41"/>
        <v>0.90532153335577892</v>
      </c>
      <c r="N112" s="111">
        <f t="shared" si="41"/>
        <v>1.0615480022503028</v>
      </c>
      <c r="O112" s="111">
        <f t="shared" si="41"/>
        <v>0.84389259655570426</v>
      </c>
      <c r="P112" s="111">
        <f t="shared" si="41"/>
        <v>0.92287078683094881</v>
      </c>
      <c r="Q112" s="111">
        <f t="shared" si="41"/>
        <v>0.93678030681303148</v>
      </c>
      <c r="R112" s="111">
        <f t="shared" si="41"/>
        <v>0.93462643471971474</v>
      </c>
      <c r="S112" s="111">
        <f t="shared" si="41"/>
        <v>0.88296001980892802</v>
      </c>
    </row>
    <row r="113" spans="1:20" s="4" customFormat="1" x14ac:dyDescent="0.2">
      <c r="A113" s="8" t="s">
        <v>419</v>
      </c>
      <c r="B113" s="2" t="s">
        <v>420</v>
      </c>
      <c r="C113" s="8" t="s">
        <v>198</v>
      </c>
      <c r="D113" s="10"/>
      <c r="E113" s="109"/>
      <c r="F113" s="8"/>
      <c r="G113" s="103" t="s">
        <v>199</v>
      </c>
      <c r="H113" s="105">
        <f t="shared" ref="H113:S113" si="42">H46</f>
        <v>90.485999999999876</v>
      </c>
      <c r="I113" s="105">
        <f t="shared" si="42"/>
        <v>71.344000000000051</v>
      </c>
      <c r="J113" s="105">
        <f t="shared" si="42"/>
        <v>-120.38099999999997</v>
      </c>
      <c r="K113" s="105">
        <f t="shared" si="42"/>
        <v>104.22500000000002</v>
      </c>
      <c r="L113" s="105">
        <f t="shared" si="42"/>
        <v>83.427000000000135</v>
      </c>
      <c r="M113" s="105">
        <f t="shared" si="42"/>
        <v>-98.423000000000002</v>
      </c>
      <c r="N113" s="105">
        <f t="shared" si="42"/>
        <v>60.938000000000102</v>
      </c>
      <c r="O113" s="105">
        <f t="shared" si="42"/>
        <v>-159.45699999999999</v>
      </c>
      <c r="P113" s="105">
        <f t="shared" si="42"/>
        <v>-80.01400000000001</v>
      </c>
      <c r="Q113" s="105">
        <f t="shared" si="42"/>
        <v>-65.837999999999965</v>
      </c>
      <c r="R113" s="105">
        <f t="shared" si="42"/>
        <v>-68.331000000000131</v>
      </c>
      <c r="S113" s="105">
        <f t="shared" si="42"/>
        <v>-122.423</v>
      </c>
    </row>
    <row r="114" spans="1:20" s="4" customFormat="1" x14ac:dyDescent="0.2">
      <c r="A114" s="8" t="s">
        <v>421</v>
      </c>
      <c r="B114" s="2" t="s">
        <v>422</v>
      </c>
      <c r="C114" s="8" t="s">
        <v>201</v>
      </c>
      <c r="D114" s="106">
        <v>-0.3</v>
      </c>
      <c r="E114" s="106">
        <v>0</v>
      </c>
      <c r="F114" s="8"/>
      <c r="G114" s="110" t="s">
        <v>202</v>
      </c>
      <c r="H114" s="112">
        <f t="shared" ref="H114:S114" si="43">H46/H33</f>
        <v>0.11630501564255273</v>
      </c>
      <c r="I114" s="113">
        <f t="shared" si="43"/>
        <v>8.3699954714927013E-2</v>
      </c>
      <c r="J114" s="113">
        <f t="shared" si="43"/>
        <v>-0.15600971974728653</v>
      </c>
      <c r="K114" s="113">
        <f t="shared" si="43"/>
        <v>0.11040327783068286</v>
      </c>
      <c r="L114" s="113">
        <f t="shared" si="43"/>
        <v>8.2837281393757969E-2</v>
      </c>
      <c r="M114" s="113">
        <f t="shared" si="43"/>
        <v>-0.10457993448280627</v>
      </c>
      <c r="N114" s="113">
        <f t="shared" si="43"/>
        <v>5.7979481021895818E-2</v>
      </c>
      <c r="O114" s="113">
        <f t="shared" si="43"/>
        <v>-0.18498491879350348</v>
      </c>
      <c r="P114" s="113">
        <f t="shared" si="43"/>
        <v>-8.3575311159112098E-2</v>
      </c>
      <c r="Q114" s="113">
        <f t="shared" si="43"/>
        <v>-6.748614667407421E-2</v>
      </c>
      <c r="R114" s="113">
        <f t="shared" si="43"/>
        <v>-6.9946197594860662E-2</v>
      </c>
      <c r="S114" s="113">
        <f t="shared" si="43"/>
        <v>-0.13255411067921219</v>
      </c>
    </row>
    <row r="115" spans="1:20" s="4" customFormat="1" x14ac:dyDescent="0.2">
      <c r="A115" s="8" t="s">
        <v>423</v>
      </c>
      <c r="B115" s="2" t="s">
        <v>424</v>
      </c>
      <c r="C115" s="8" t="s">
        <v>204</v>
      </c>
      <c r="D115" s="10"/>
      <c r="E115" s="109"/>
      <c r="F115" s="8"/>
      <c r="G115" s="46" t="s">
        <v>205</v>
      </c>
      <c r="H115" s="105">
        <f t="shared" ref="H115:S115" si="44">H29+H30</f>
        <v>1152.8329999999999</v>
      </c>
      <c r="I115" s="105">
        <f t="shared" si="44"/>
        <v>1221.3129999999999</v>
      </c>
      <c r="J115" s="105">
        <f t="shared" si="44"/>
        <v>1100.9319999999998</v>
      </c>
      <c r="K115" s="105">
        <f t="shared" si="44"/>
        <v>1205.1559999999997</v>
      </c>
      <c r="L115" s="105">
        <f t="shared" si="44"/>
        <v>1289.2229999999997</v>
      </c>
      <c r="M115" s="105">
        <f t="shared" si="44"/>
        <v>1191.3359999999998</v>
      </c>
      <c r="N115" s="105">
        <f t="shared" si="44"/>
        <v>1252.174</v>
      </c>
      <c r="O115" s="105">
        <f t="shared" si="44"/>
        <v>1092.691</v>
      </c>
      <c r="P115" s="105">
        <f t="shared" si="44"/>
        <v>1012.568</v>
      </c>
      <c r="Q115" s="105">
        <f t="shared" si="44"/>
        <v>946.52</v>
      </c>
      <c r="R115" s="105">
        <f t="shared" si="44"/>
        <v>877.97900000000004</v>
      </c>
      <c r="S115" s="105">
        <f t="shared" si="44"/>
        <v>755.31600000000003</v>
      </c>
    </row>
    <row r="116" spans="1:20" s="4" customFormat="1" x14ac:dyDescent="0.2">
      <c r="A116" s="8"/>
      <c r="B116" s="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</row>
    <row r="117" spans="1:20" s="4" customFormat="1" x14ac:dyDescent="0.2">
      <c r="A117" s="8"/>
      <c r="B117" s="2"/>
      <c r="C117" s="10"/>
      <c r="D117" s="10"/>
      <c r="E117" s="8"/>
      <c r="F117" s="8"/>
      <c r="G117" s="94" t="s">
        <v>206</v>
      </c>
      <c r="H117" s="87">
        <f t="shared" ref="H117:S117" si="45">H105</f>
        <v>2011</v>
      </c>
      <c r="I117" s="87">
        <f t="shared" si="45"/>
        <v>2012</v>
      </c>
      <c r="J117" s="87">
        <f t="shared" si="45"/>
        <v>2013</v>
      </c>
      <c r="K117" s="87">
        <f t="shared" si="45"/>
        <v>2014</v>
      </c>
      <c r="L117" s="87">
        <f t="shared" si="45"/>
        <v>2015</v>
      </c>
      <c r="M117" s="87">
        <f t="shared" si="45"/>
        <v>2016</v>
      </c>
      <c r="N117" s="87">
        <f t="shared" si="45"/>
        <v>2017</v>
      </c>
      <c r="O117" s="87">
        <f t="shared" si="45"/>
        <v>2018</v>
      </c>
      <c r="P117" s="87">
        <f t="shared" si="45"/>
        <v>2019</v>
      </c>
      <c r="Q117" s="87">
        <f t="shared" si="45"/>
        <v>2020</v>
      </c>
      <c r="R117" s="87">
        <f t="shared" si="45"/>
        <v>2021</v>
      </c>
      <c r="S117" s="87">
        <f t="shared" si="45"/>
        <v>2022</v>
      </c>
    </row>
    <row r="118" spans="1:20" s="4" customFormat="1" x14ac:dyDescent="0.2">
      <c r="A118" s="34" t="s">
        <v>425</v>
      </c>
      <c r="B118" s="2" t="s">
        <v>426</v>
      </c>
      <c r="C118" s="10" t="s">
        <v>208</v>
      </c>
      <c r="D118" s="10"/>
      <c r="E118" s="109"/>
      <c r="F118" s="37"/>
      <c r="G118" s="103" t="s">
        <v>209</v>
      </c>
      <c r="H118" s="105">
        <f t="shared" ref="H118:S118" si="46">H6+H12</f>
        <v>84.438999999999993</v>
      </c>
      <c r="I118" s="77">
        <f t="shared" si="46"/>
        <v>65.412000000000006</v>
      </c>
      <c r="J118" s="77">
        <f t="shared" si="46"/>
        <v>138.69499999999999</v>
      </c>
      <c r="K118" s="77">
        <f t="shared" si="46"/>
        <v>276.14600000000002</v>
      </c>
      <c r="L118" s="77">
        <f t="shared" si="46"/>
        <v>228.43600000000001</v>
      </c>
      <c r="M118" s="77">
        <f t="shared" si="46"/>
        <v>162.84</v>
      </c>
      <c r="N118" s="77">
        <f t="shared" si="46"/>
        <v>194.10400000000001</v>
      </c>
      <c r="O118" s="77">
        <f t="shared" si="46"/>
        <v>134.33699999999999</v>
      </c>
      <c r="P118" s="77">
        <f t="shared" si="46"/>
        <v>118.577</v>
      </c>
      <c r="Q118" s="77">
        <f t="shared" si="46"/>
        <v>108.288</v>
      </c>
      <c r="R118" s="77">
        <f t="shared" si="46"/>
        <v>115.49</v>
      </c>
      <c r="S118" s="77">
        <f t="shared" si="46"/>
        <v>145.72300000000001</v>
      </c>
    </row>
    <row r="119" spans="1:20" s="4" customFormat="1" x14ac:dyDescent="0.2">
      <c r="A119" s="8" t="s">
        <v>427</v>
      </c>
      <c r="B119" s="2" t="s">
        <v>428</v>
      </c>
      <c r="C119" s="8" t="s">
        <v>42</v>
      </c>
      <c r="D119" s="10"/>
      <c r="E119" s="109"/>
      <c r="F119" s="37"/>
      <c r="G119" s="110" t="s">
        <v>211</v>
      </c>
      <c r="H119" s="105">
        <f t="shared" ref="H119:S119" si="47">H19</f>
        <v>257.43299999999999</v>
      </c>
      <c r="I119" s="105">
        <f t="shared" si="47"/>
        <v>29.306000000000001</v>
      </c>
      <c r="J119" s="105">
        <f t="shared" si="47"/>
        <v>33.36</v>
      </c>
      <c r="K119" s="105">
        <f t="shared" si="47"/>
        <v>166.1</v>
      </c>
      <c r="L119" s="105">
        <f t="shared" si="47"/>
        <v>36.372999999999998</v>
      </c>
      <c r="M119" s="105">
        <f t="shared" si="47"/>
        <v>33.363999999999997</v>
      </c>
      <c r="N119" s="105">
        <f t="shared" si="47"/>
        <v>33.325000000000003</v>
      </c>
      <c r="O119" s="105">
        <f t="shared" si="47"/>
        <v>33.200000000000003</v>
      </c>
      <c r="P119" s="105">
        <f t="shared" si="47"/>
        <v>33.988999999999997</v>
      </c>
      <c r="Q119" s="105">
        <f t="shared" si="47"/>
        <v>34.049999999999997</v>
      </c>
      <c r="R119" s="105">
        <f t="shared" si="47"/>
        <v>33.35</v>
      </c>
      <c r="S119" s="105">
        <f t="shared" si="47"/>
        <v>33.75</v>
      </c>
    </row>
    <row r="120" spans="1:20" s="4" customFormat="1" x14ac:dyDescent="0.2">
      <c r="A120" s="8" t="s">
        <v>429</v>
      </c>
      <c r="B120" s="2" t="s">
        <v>203</v>
      </c>
      <c r="C120" s="8" t="s">
        <v>430</v>
      </c>
      <c r="D120" s="10"/>
      <c r="E120" s="109"/>
      <c r="F120" s="37"/>
      <c r="G120" s="110" t="s">
        <v>212</v>
      </c>
      <c r="H120" s="105">
        <f t="shared" ref="H120:S120" si="48">H119-H118</f>
        <v>172.994</v>
      </c>
      <c r="I120" s="77">
        <f t="shared" si="48"/>
        <v>-36.106000000000009</v>
      </c>
      <c r="J120" s="77">
        <f t="shared" si="48"/>
        <v>-105.33499999999999</v>
      </c>
      <c r="K120" s="77">
        <f t="shared" si="48"/>
        <v>-110.04600000000002</v>
      </c>
      <c r="L120" s="77">
        <f t="shared" si="48"/>
        <v>-192.06300000000002</v>
      </c>
      <c r="M120" s="77">
        <f>M119-M118</f>
        <v>-129.476</v>
      </c>
      <c r="N120" s="77">
        <f t="shared" si="48"/>
        <v>-160.779</v>
      </c>
      <c r="O120" s="77">
        <f t="shared" si="48"/>
        <v>-101.13699999999999</v>
      </c>
      <c r="P120" s="77">
        <f t="shared" si="48"/>
        <v>-84.587999999999994</v>
      </c>
      <c r="Q120" s="77">
        <f t="shared" si="48"/>
        <v>-74.238</v>
      </c>
      <c r="R120" s="77">
        <f t="shared" si="48"/>
        <v>-82.139999999999986</v>
      </c>
      <c r="S120" s="77">
        <f t="shared" si="48"/>
        <v>-111.97300000000001</v>
      </c>
    </row>
    <row r="121" spans="1:20" s="4" customFormat="1" x14ac:dyDescent="0.2">
      <c r="A121" s="34" t="s">
        <v>431</v>
      </c>
      <c r="B121" s="2" t="s">
        <v>207</v>
      </c>
      <c r="C121" s="8" t="s">
        <v>432</v>
      </c>
      <c r="D121" s="10"/>
      <c r="E121" s="106">
        <v>0.4</v>
      </c>
      <c r="F121" s="114" t="s">
        <v>433</v>
      </c>
      <c r="G121" s="46" t="s">
        <v>213</v>
      </c>
      <c r="H121" s="115">
        <f t="shared" ref="H121:S121" si="49">H120/H33</f>
        <v>0.22235561165338058</v>
      </c>
      <c r="I121" s="108">
        <f t="shared" si="49"/>
        <v>-4.2359141132220696E-2</v>
      </c>
      <c r="J121" s="108">
        <f t="shared" si="49"/>
        <v>-0.13651061072412116</v>
      </c>
      <c r="K121" s="108">
        <f t="shared" si="49"/>
        <v>-0.11656933664816817</v>
      </c>
      <c r="L121" s="108">
        <f t="shared" si="49"/>
        <v>-0.19070536848177824</v>
      </c>
      <c r="M121" s="108">
        <f t="shared" si="49"/>
        <v>-0.13757548131123642</v>
      </c>
      <c r="N121" s="108">
        <f t="shared" si="49"/>
        <v>-0.15297323475039176</v>
      </c>
      <c r="O121" s="108">
        <f t="shared" si="49"/>
        <v>-0.11732830626450115</v>
      </c>
      <c r="P121" s="108">
        <f t="shared" si="49"/>
        <v>-8.8352893497725057E-2</v>
      </c>
      <c r="Q121" s="108">
        <f t="shared" si="49"/>
        <v>-7.6096426938696851E-2</v>
      </c>
      <c r="R121" s="108">
        <f t="shared" si="49"/>
        <v>-8.4081612598115682E-2</v>
      </c>
      <c r="S121" s="108">
        <f t="shared" si="49"/>
        <v>-0.12123932132919002</v>
      </c>
    </row>
    <row r="122" spans="1:20" s="4" customFormat="1" x14ac:dyDescent="0.2">
      <c r="A122" s="8" t="s">
        <v>434</v>
      </c>
      <c r="B122" s="2" t="s">
        <v>210</v>
      </c>
      <c r="C122" s="8" t="s">
        <v>435</v>
      </c>
      <c r="D122" s="116">
        <v>0</v>
      </c>
      <c r="E122" s="116">
        <v>5</v>
      </c>
      <c r="F122" s="37"/>
      <c r="G122" s="100" t="s">
        <v>215</v>
      </c>
      <c r="H122" s="111">
        <f t="shared" ref="H122:S122" si="50">H120/H110</f>
        <v>0.58457940925019203</v>
      </c>
      <c r="I122" s="111">
        <f t="shared" si="50"/>
        <v>-0.12264682903631238</v>
      </c>
      <c r="J122" s="111">
        <f t="shared" si="50"/>
        <v>-1.1880914515164842</v>
      </c>
      <c r="K122" s="111">
        <f t="shared" si="50"/>
        <v>-0.381471030719847</v>
      </c>
      <c r="L122" s="111">
        <f t="shared" si="50"/>
        <v>-0.69325560829468114</v>
      </c>
      <c r="M122" s="111">
        <f>M120/M110</f>
        <v>-0.96376466384803194</v>
      </c>
      <c r="N122" s="111">
        <f t="shared" si="50"/>
        <v>-0.59850800162303197</v>
      </c>
      <c r="O122" s="111">
        <f t="shared" si="50"/>
        <v>-2.9127642416911459</v>
      </c>
      <c r="P122" s="111">
        <f t="shared" si="50"/>
        <v>-0.70425443343601701</v>
      </c>
      <c r="Q122" s="111">
        <f t="shared" si="50"/>
        <v>-0.54926013613495106</v>
      </c>
      <c r="R122" s="111">
        <f t="shared" si="50"/>
        <v>-0.61065637754533131</v>
      </c>
      <c r="S122" s="111">
        <f t="shared" si="50"/>
        <v>-1.4415948914037053</v>
      </c>
    </row>
    <row r="123" spans="1:20" s="4" customFormat="1" x14ac:dyDescent="0.2">
      <c r="A123" s="8" t="s">
        <v>436</v>
      </c>
      <c r="B123" s="2" t="s">
        <v>437</v>
      </c>
      <c r="C123" s="8" t="s">
        <v>217</v>
      </c>
      <c r="D123" s="10"/>
      <c r="E123" s="109"/>
      <c r="F123" s="37"/>
      <c r="G123" s="110" t="s">
        <v>218</v>
      </c>
      <c r="H123" s="105">
        <f t="shared" ref="H123:S123" si="51">-(H75+H77+H78+H79+H80+H81)</f>
        <v>64.367000000000004</v>
      </c>
      <c r="I123" s="105">
        <f t="shared" si="51"/>
        <v>0</v>
      </c>
      <c r="J123" s="105">
        <f t="shared" si="51"/>
        <v>0</v>
      </c>
      <c r="K123" s="105">
        <f t="shared" si="51"/>
        <v>0</v>
      </c>
      <c r="L123" s="105">
        <f t="shared" si="51"/>
        <v>0.08</v>
      </c>
      <c r="M123" s="105">
        <f t="shared" si="51"/>
        <v>0</v>
      </c>
      <c r="N123" s="105">
        <f t="shared" si="51"/>
        <v>0</v>
      </c>
      <c r="O123" s="105">
        <f t="shared" si="51"/>
        <v>0</v>
      </c>
      <c r="P123" s="105">
        <f t="shared" si="51"/>
        <v>0</v>
      </c>
      <c r="Q123" s="105">
        <f t="shared" si="51"/>
        <v>0</v>
      </c>
      <c r="R123" s="105">
        <f t="shared" si="51"/>
        <v>0</v>
      </c>
      <c r="S123" s="105">
        <f t="shared" si="51"/>
        <v>0</v>
      </c>
    </row>
    <row r="124" spans="1:20" s="4" customFormat="1" x14ac:dyDescent="0.2">
      <c r="A124" s="8" t="s">
        <v>438</v>
      </c>
      <c r="B124" s="2" t="s">
        <v>439</v>
      </c>
      <c r="C124" s="8" t="s">
        <v>440</v>
      </c>
      <c r="D124" s="10"/>
      <c r="E124" s="116">
        <v>1.2</v>
      </c>
      <c r="F124" s="114" t="s">
        <v>433</v>
      </c>
      <c r="G124" s="110" t="s">
        <v>220</v>
      </c>
      <c r="H124" s="117">
        <f t="shared" ref="H124:S124" si="52">H110/H123</f>
        <v>4.5975266829275849</v>
      </c>
      <c r="I124" s="111" t="e">
        <f t="shared" si="52"/>
        <v>#DIV/0!</v>
      </c>
      <c r="J124" s="111" t="e">
        <f t="shared" si="52"/>
        <v>#DIV/0!</v>
      </c>
      <c r="K124" s="111" t="e">
        <f t="shared" si="52"/>
        <v>#DIV/0!</v>
      </c>
      <c r="L124" s="111">
        <f t="shared" si="52"/>
        <v>3463.0625000000014</v>
      </c>
      <c r="M124" s="111" t="e">
        <f t="shared" si="52"/>
        <v>#DIV/0!</v>
      </c>
      <c r="N124" s="111" t="e">
        <f t="shared" si="52"/>
        <v>#DIV/0!</v>
      </c>
      <c r="O124" s="111" t="e">
        <f t="shared" si="52"/>
        <v>#DIV/0!</v>
      </c>
      <c r="P124" s="111" t="e">
        <f t="shared" si="52"/>
        <v>#DIV/0!</v>
      </c>
      <c r="Q124" s="111" t="e">
        <f t="shared" si="52"/>
        <v>#DIV/0!</v>
      </c>
      <c r="R124" s="111" t="e">
        <f t="shared" si="52"/>
        <v>#DIV/0!</v>
      </c>
      <c r="S124" s="111" t="e">
        <f t="shared" si="52"/>
        <v>#DIV/0!</v>
      </c>
    </row>
    <row r="125" spans="1:20" s="4" customFormat="1" x14ac:dyDescent="0.2">
      <c r="A125" s="38" t="s">
        <v>441</v>
      </c>
      <c r="B125" s="2" t="s">
        <v>442</v>
      </c>
      <c r="C125" s="8" t="s">
        <v>222</v>
      </c>
      <c r="D125" s="10"/>
      <c r="E125" s="116">
        <v>0</v>
      </c>
      <c r="F125" s="37"/>
      <c r="G125" s="103" t="s">
        <v>223</v>
      </c>
      <c r="H125" s="105">
        <f t="shared" ref="H125:S125" si="53">H5-H20</f>
        <v>-119.64900000000003</v>
      </c>
      <c r="I125" s="105">
        <f t="shared" si="53"/>
        <v>112.39300000000001</v>
      </c>
      <c r="J125" s="105">
        <f t="shared" si="53"/>
        <v>167.42899999999997</v>
      </c>
      <c r="K125" s="105">
        <f t="shared" si="53"/>
        <v>191.14400000000003</v>
      </c>
      <c r="L125" s="105">
        <f t="shared" si="53"/>
        <v>245.24600000000004</v>
      </c>
      <c r="M125" s="105">
        <f t="shared" si="53"/>
        <v>198.768</v>
      </c>
      <c r="N125" s="105">
        <f t="shared" si="53"/>
        <v>230.35599999999999</v>
      </c>
      <c r="O125" s="105">
        <f t="shared" si="53"/>
        <v>157.78699999999998</v>
      </c>
      <c r="P125" s="105">
        <f t="shared" si="53"/>
        <v>142.58799999999999</v>
      </c>
      <c r="Q125" s="105">
        <f t="shared" si="53"/>
        <v>137.53800000000001</v>
      </c>
      <c r="R125" s="105">
        <f t="shared" si="53"/>
        <v>141.84</v>
      </c>
      <c r="S125" s="105">
        <f t="shared" si="53"/>
        <v>169.27300000000002</v>
      </c>
    </row>
    <row r="126" spans="1:20" s="4" customFormat="1" x14ac:dyDescent="0.2">
      <c r="A126" s="34" t="s">
        <v>443</v>
      </c>
      <c r="B126" s="2" t="s">
        <v>444</v>
      </c>
      <c r="C126" s="8" t="s">
        <v>225</v>
      </c>
      <c r="D126" s="10"/>
      <c r="E126" s="116">
        <v>1</v>
      </c>
      <c r="F126" s="114" t="s">
        <v>433</v>
      </c>
      <c r="G126" s="110" t="s">
        <v>226</v>
      </c>
      <c r="H126" s="117">
        <f t="shared" ref="H126:S126" si="54">H5/H20</f>
        <v>0.53521734063628934</v>
      </c>
      <c r="I126" s="117">
        <f t="shared" si="54"/>
        <v>4.8351532109465643</v>
      </c>
      <c r="J126" s="117">
        <f t="shared" si="54"/>
        <v>6.0188549160671458</v>
      </c>
      <c r="K126" s="117">
        <f t="shared" si="54"/>
        <v>2.1507766405779654</v>
      </c>
      <c r="L126" s="117">
        <f t="shared" si="54"/>
        <v>7.7425287988343019</v>
      </c>
      <c r="M126" s="117">
        <f t="shared" si="54"/>
        <v>6.9575590456779768</v>
      </c>
      <c r="N126" s="117">
        <f t="shared" si="54"/>
        <v>7.9124081020255055</v>
      </c>
      <c r="O126" s="117">
        <f t="shared" si="54"/>
        <v>5.7814242424242419</v>
      </c>
      <c r="P126" s="117">
        <f t="shared" si="54"/>
        <v>5.1951219512195124</v>
      </c>
      <c r="Q126" s="117">
        <f t="shared" si="54"/>
        <v>5.0392951541850222</v>
      </c>
      <c r="R126" s="117">
        <f t="shared" si="54"/>
        <v>5.2530734632683656</v>
      </c>
      <c r="S126" s="117">
        <f t="shared" si="54"/>
        <v>6.0154962962962975</v>
      </c>
    </row>
    <row r="127" spans="1:20" s="4" customFormat="1" x14ac:dyDescent="0.2">
      <c r="A127" s="34" t="s">
        <v>445</v>
      </c>
      <c r="B127" s="2" t="s">
        <v>214</v>
      </c>
      <c r="C127" s="34" t="s">
        <v>228</v>
      </c>
      <c r="D127" s="10"/>
      <c r="E127" s="116">
        <v>1</v>
      </c>
      <c r="F127" s="37"/>
      <c r="G127" s="46" t="s">
        <v>229</v>
      </c>
      <c r="H127" s="117">
        <f t="shared" ref="H127:S127" si="55">-H6/((H38+H41-H45+H47)/12)</f>
        <v>2.0374035103240677</v>
      </c>
      <c r="I127" s="117">
        <f t="shared" si="55"/>
        <v>1.3995563892078486</v>
      </c>
      <c r="J127" s="117">
        <f t="shared" si="55"/>
        <v>2.4369295104002244</v>
      </c>
      <c r="K127" s="117">
        <f t="shared" si="55"/>
        <v>5.0548339513790488</v>
      </c>
      <c r="L127" s="117">
        <f t="shared" si="55"/>
        <v>3.7580363899582152</v>
      </c>
      <c r="M127" s="117">
        <f t="shared" si="55"/>
        <v>2.4240078597159793</v>
      </c>
      <c r="N127" s="117">
        <f t="shared" si="55"/>
        <v>2.9770780450770329</v>
      </c>
      <c r="O127" s="117">
        <f t="shared" si="55"/>
        <v>1.9486121956585327</v>
      </c>
      <c r="P127" s="117">
        <f t="shared" si="55"/>
        <v>1.6994642161862608</v>
      </c>
      <c r="Q127" s="117">
        <f t="shared" si="55"/>
        <v>1.5462020090002833</v>
      </c>
      <c r="R127" s="117">
        <f t="shared" si="55"/>
        <v>1.6451625539976991</v>
      </c>
      <c r="S127" s="117">
        <f t="shared" si="55"/>
        <v>2.0672445936089145</v>
      </c>
    </row>
    <row r="128" spans="1:20" s="4" customFormat="1" x14ac:dyDescent="0.2">
      <c r="A128" s="34"/>
      <c r="B128" s="2"/>
      <c r="C128" s="34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</row>
    <row r="129" spans="1:21" s="4" customFormat="1" x14ac:dyDescent="0.2">
      <c r="A129" s="8"/>
      <c r="B129" s="2"/>
      <c r="C129" s="8"/>
      <c r="D129" s="10"/>
      <c r="E129" s="9"/>
      <c r="F129" s="37"/>
      <c r="G129" s="94" t="s">
        <v>230</v>
      </c>
      <c r="H129" s="87">
        <f t="shared" ref="H129:S129" si="56">H117</f>
        <v>2011</v>
      </c>
      <c r="I129" s="87">
        <f t="shared" si="56"/>
        <v>2012</v>
      </c>
      <c r="J129" s="87">
        <f t="shared" si="56"/>
        <v>2013</v>
      </c>
      <c r="K129" s="87">
        <f t="shared" si="56"/>
        <v>2014</v>
      </c>
      <c r="L129" s="87">
        <f t="shared" si="56"/>
        <v>2015</v>
      </c>
      <c r="M129" s="87">
        <f t="shared" si="56"/>
        <v>2016</v>
      </c>
      <c r="N129" s="87">
        <f t="shared" si="56"/>
        <v>2017</v>
      </c>
      <c r="O129" s="87">
        <f t="shared" si="56"/>
        <v>2018</v>
      </c>
      <c r="P129" s="87">
        <f t="shared" si="56"/>
        <v>2019</v>
      </c>
      <c r="Q129" s="87">
        <f t="shared" si="56"/>
        <v>2020</v>
      </c>
      <c r="R129" s="87">
        <f t="shared" si="56"/>
        <v>2021</v>
      </c>
      <c r="S129" s="87">
        <f t="shared" si="56"/>
        <v>2022</v>
      </c>
    </row>
    <row r="130" spans="1:21" s="4" customFormat="1" x14ac:dyDescent="0.2">
      <c r="A130" s="34" t="s">
        <v>446</v>
      </c>
      <c r="B130" s="2" t="s">
        <v>216</v>
      </c>
      <c r="C130" s="34" t="s">
        <v>232</v>
      </c>
      <c r="D130" s="10"/>
      <c r="E130" s="106">
        <v>0.6</v>
      </c>
      <c r="F130" s="37"/>
      <c r="G130" s="103" t="s">
        <v>233</v>
      </c>
      <c r="H130" s="115">
        <f t="shared" ref="H130:S130" si="57">H17/H4</f>
        <v>0</v>
      </c>
      <c r="I130" s="115">
        <f t="shared" si="57"/>
        <v>0</v>
      </c>
      <c r="J130" s="115">
        <f t="shared" si="57"/>
        <v>0</v>
      </c>
      <c r="K130" s="115">
        <f t="shared" si="57"/>
        <v>0</v>
      </c>
      <c r="L130" s="115">
        <f t="shared" si="57"/>
        <v>0</v>
      </c>
      <c r="M130" s="115">
        <f t="shared" si="57"/>
        <v>0</v>
      </c>
      <c r="N130" s="115">
        <f t="shared" si="57"/>
        <v>0</v>
      </c>
      <c r="O130" s="115">
        <f t="shared" si="57"/>
        <v>0</v>
      </c>
      <c r="P130" s="115">
        <f t="shared" si="57"/>
        <v>0</v>
      </c>
      <c r="Q130" s="115">
        <f t="shared" si="57"/>
        <v>0</v>
      </c>
      <c r="R130" s="115">
        <f t="shared" si="57"/>
        <v>0</v>
      </c>
      <c r="S130" s="115">
        <f t="shared" si="57"/>
        <v>0</v>
      </c>
    </row>
    <row r="131" spans="1:21" s="4" customFormat="1" x14ac:dyDescent="0.2">
      <c r="A131" s="34" t="s">
        <v>447</v>
      </c>
      <c r="B131" s="2" t="s">
        <v>219</v>
      </c>
      <c r="C131" s="34" t="s">
        <v>235</v>
      </c>
      <c r="D131" s="10"/>
      <c r="E131" s="106">
        <v>0.4</v>
      </c>
      <c r="F131" s="37"/>
      <c r="G131" s="46" t="s">
        <v>236</v>
      </c>
      <c r="H131" s="115" t="e">
        <f t="shared" ref="H131:S131" si="58">H27/H17</f>
        <v>#DIV/0!</v>
      </c>
      <c r="I131" s="115" t="e">
        <f t="shared" si="58"/>
        <v>#DIV/0!</v>
      </c>
      <c r="J131" s="115" t="e">
        <f t="shared" si="58"/>
        <v>#DIV/0!</v>
      </c>
      <c r="K131" s="115" t="e">
        <f t="shared" si="58"/>
        <v>#DIV/0!</v>
      </c>
      <c r="L131" s="115" t="e">
        <f t="shared" si="58"/>
        <v>#DIV/0!</v>
      </c>
      <c r="M131" s="115" t="e">
        <f t="shared" si="58"/>
        <v>#DIV/0!</v>
      </c>
      <c r="N131" s="115" t="e">
        <f t="shared" si="58"/>
        <v>#DIV/0!</v>
      </c>
      <c r="O131" s="115" t="e">
        <f t="shared" si="58"/>
        <v>#DIV/0!</v>
      </c>
      <c r="P131" s="115" t="e">
        <f t="shared" si="58"/>
        <v>#DIV/0!</v>
      </c>
      <c r="Q131" s="115" t="e">
        <f t="shared" si="58"/>
        <v>#DIV/0!</v>
      </c>
      <c r="R131" s="115" t="e">
        <f t="shared" si="58"/>
        <v>#DIV/0!</v>
      </c>
      <c r="S131" s="115" t="e">
        <f t="shared" si="58"/>
        <v>#DIV/0!</v>
      </c>
    </row>
    <row r="132" spans="1:21" s="4" customFormat="1" x14ac:dyDescent="0.2">
      <c r="A132" s="34"/>
      <c r="B132" s="2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</row>
    <row r="133" spans="1:21" s="4" customFormat="1" x14ac:dyDescent="0.2">
      <c r="A133" s="8"/>
      <c r="B133" s="2"/>
      <c r="C133" s="8"/>
      <c r="D133" s="10"/>
      <c r="E133" s="9"/>
      <c r="F133" s="37"/>
      <c r="G133" s="94" t="s">
        <v>237</v>
      </c>
      <c r="H133" s="87">
        <f t="shared" ref="H133:S133" si="59">H117</f>
        <v>2011</v>
      </c>
      <c r="I133" s="87">
        <f t="shared" si="59"/>
        <v>2012</v>
      </c>
      <c r="J133" s="87">
        <f t="shared" si="59"/>
        <v>2013</v>
      </c>
      <c r="K133" s="87">
        <f t="shared" si="59"/>
        <v>2014</v>
      </c>
      <c r="L133" s="87">
        <f t="shared" si="59"/>
        <v>2015</v>
      </c>
      <c r="M133" s="87">
        <f t="shared" si="59"/>
        <v>2016</v>
      </c>
      <c r="N133" s="87">
        <f t="shared" si="59"/>
        <v>2017</v>
      </c>
      <c r="O133" s="87">
        <f t="shared" si="59"/>
        <v>2018</v>
      </c>
      <c r="P133" s="87">
        <f t="shared" si="59"/>
        <v>2019</v>
      </c>
      <c r="Q133" s="87">
        <f t="shared" si="59"/>
        <v>2020</v>
      </c>
      <c r="R133" s="87">
        <f t="shared" si="59"/>
        <v>2021</v>
      </c>
      <c r="S133" s="87">
        <f t="shared" si="59"/>
        <v>2022</v>
      </c>
    </row>
    <row r="134" spans="1:21" s="4" customFormat="1" x14ac:dyDescent="0.2">
      <c r="A134" s="34" t="s">
        <v>448</v>
      </c>
      <c r="B134" s="2" t="s">
        <v>221</v>
      </c>
      <c r="C134" s="39" t="s">
        <v>239</v>
      </c>
      <c r="D134" s="10"/>
      <c r="E134" s="109"/>
      <c r="F134" s="37"/>
      <c r="G134" s="110" t="s">
        <v>240</v>
      </c>
      <c r="H134" s="118">
        <f t="shared" ref="H134:S134" si="60">H10/H4</f>
        <v>0.95386094490277318</v>
      </c>
      <c r="I134" s="118">
        <f t="shared" si="60"/>
        <v>0.94986888693284577</v>
      </c>
      <c r="J134" s="118">
        <f t="shared" si="60"/>
        <v>0.92591473381343803</v>
      </c>
      <c r="K134" s="118">
        <f t="shared" si="60"/>
        <v>0.87878553450284769</v>
      </c>
      <c r="L134" s="118">
        <f t="shared" si="60"/>
        <v>0.90294174209197442</v>
      </c>
      <c r="M134" s="118">
        <f t="shared" si="60"/>
        <v>0.91711489626686393</v>
      </c>
      <c r="N134" s="118">
        <f t="shared" si="60"/>
        <v>0.90785053306908492</v>
      </c>
      <c r="O134" s="118">
        <f t="shared" si="60"/>
        <v>0.92938488489285065</v>
      </c>
      <c r="P134" s="118">
        <f t="shared" si="60"/>
        <v>0.93266860018623399</v>
      </c>
      <c r="Q134" s="118">
        <f t="shared" si="60"/>
        <v>0.93288217298600162</v>
      </c>
      <c r="R134" s="118">
        <f t="shared" si="60"/>
        <v>0.92956557328935485</v>
      </c>
      <c r="S134" s="118">
        <f t="shared" si="60"/>
        <v>0.91415572417088264</v>
      </c>
    </row>
    <row r="135" spans="1:21" s="4" customFormat="1" x14ac:dyDescent="0.2">
      <c r="A135" s="34" t="s">
        <v>449</v>
      </c>
      <c r="B135" s="2" t="s">
        <v>224</v>
      </c>
      <c r="C135" s="39" t="s">
        <v>242</v>
      </c>
      <c r="D135" s="10"/>
      <c r="E135" s="109"/>
      <c r="F135" s="37"/>
      <c r="G135" s="110" t="s">
        <v>243</v>
      </c>
      <c r="H135" s="118">
        <f t="shared" ref="H135:S135" si="61">-(H58)/H15</f>
        <v>8.2686573766399818E-2</v>
      </c>
      <c r="I135" s="118">
        <f t="shared" si="61"/>
        <v>2.2496442098292317E-2</v>
      </c>
      <c r="J135" s="118">
        <f t="shared" si="61"/>
        <v>1.3398935943410776E-2</v>
      </c>
      <c r="K135" s="118">
        <f t="shared" si="61"/>
        <v>0.10222621026872208</v>
      </c>
      <c r="L135" s="118">
        <f t="shared" si="61"/>
        <v>8.6827991772289836E-2</v>
      </c>
      <c r="M135" s="118">
        <f t="shared" si="61"/>
        <v>7.8644633710671846E-2</v>
      </c>
      <c r="N135" s="118">
        <f t="shared" si="61"/>
        <v>9.1232165458963232E-2</v>
      </c>
      <c r="O135" s="118">
        <f t="shared" si="61"/>
        <v>4.2797690163281561E-2</v>
      </c>
      <c r="P135" s="118">
        <f t="shared" si="61"/>
        <v>5.5193752557821586E-2</v>
      </c>
      <c r="Q135" s="118">
        <f t="shared" si="61"/>
        <v>5.8701907937797781E-2</v>
      </c>
      <c r="R135" s="118">
        <f t="shared" si="61"/>
        <v>5.6226233603565261E-2</v>
      </c>
      <c r="S135" s="118">
        <f t="shared" si="61"/>
        <v>2.3126820080740351E-2</v>
      </c>
    </row>
    <row r="136" spans="1:21" s="4" customFormat="1" x14ac:dyDescent="0.2">
      <c r="A136" s="34" t="s">
        <v>450</v>
      </c>
      <c r="B136" s="2" t="s">
        <v>227</v>
      </c>
      <c r="C136" s="8" t="s">
        <v>245</v>
      </c>
      <c r="D136" s="10"/>
      <c r="E136" s="109"/>
      <c r="F136" s="37"/>
      <c r="G136" s="103" t="s">
        <v>246</v>
      </c>
      <c r="H136" s="111">
        <f t="shared" ref="H136:S136" si="62">H33/H4</f>
        <v>0.26053274181471375</v>
      </c>
      <c r="I136" s="111">
        <f t="shared" si="62"/>
        <v>0.30155934688286284</v>
      </c>
      <c r="J136" s="111">
        <f t="shared" si="62"/>
        <v>0.28470704830048382</v>
      </c>
      <c r="K136" s="111">
        <f t="shared" si="62"/>
        <v>0.3203165981611058</v>
      </c>
      <c r="L136" s="111">
        <f t="shared" si="62"/>
        <v>0.34709737498561111</v>
      </c>
      <c r="M136" s="111">
        <f t="shared" si="62"/>
        <v>0.33603901668471009</v>
      </c>
      <c r="N136" s="111">
        <f t="shared" si="62"/>
        <v>0.36730586496561707</v>
      </c>
      <c r="O136" s="111">
        <f t="shared" si="62"/>
        <v>0.31904809668563811</v>
      </c>
      <c r="P136" s="111">
        <f t="shared" si="62"/>
        <v>0.36506608564479925</v>
      </c>
      <c r="Q136" s="111">
        <f t="shared" si="62"/>
        <v>0.38160404831726263</v>
      </c>
      <c r="R136" s="111">
        <f t="shared" si="62"/>
        <v>0.39276188668898282</v>
      </c>
      <c r="S136" s="111">
        <f t="shared" si="62"/>
        <v>0.3905133794077415</v>
      </c>
    </row>
    <row r="137" spans="1:21" s="4" customFormat="1" x14ac:dyDescent="0.2">
      <c r="A137" s="34" t="s">
        <v>451</v>
      </c>
      <c r="B137" s="2" t="s">
        <v>231</v>
      </c>
      <c r="C137" s="39" t="s">
        <v>248</v>
      </c>
      <c r="D137" s="10"/>
      <c r="E137" s="109"/>
      <c r="F137" s="37"/>
      <c r="G137" s="46" t="s">
        <v>249</v>
      </c>
      <c r="H137" s="111">
        <f t="shared" ref="H137:S137" si="63">H33/H15</f>
        <v>0.2731349293698882</v>
      </c>
      <c r="I137" s="111">
        <f t="shared" si="63"/>
        <v>0.31747470733208955</v>
      </c>
      <c r="J137" s="111">
        <f t="shared" si="63"/>
        <v>0.30748732891191827</v>
      </c>
      <c r="K137" s="111">
        <f t="shared" si="63"/>
        <v>0.36449917025809647</v>
      </c>
      <c r="L137" s="111">
        <f t="shared" si="63"/>
        <v>0.38440727546988906</v>
      </c>
      <c r="M137" s="111">
        <f t="shared" si="63"/>
        <v>0.36640885242684879</v>
      </c>
      <c r="N137" s="111">
        <f t="shared" si="63"/>
        <v>0.40458847749298632</v>
      </c>
      <c r="O137" s="111">
        <f t="shared" si="63"/>
        <v>0.34328952608522501</v>
      </c>
      <c r="P137" s="111">
        <f t="shared" si="63"/>
        <v>0.39142101017650144</v>
      </c>
      <c r="Q137" s="111">
        <f t="shared" si="63"/>
        <v>0.40905921387243488</v>
      </c>
      <c r="R137" s="111">
        <f t="shared" si="63"/>
        <v>0.42252198013224401</v>
      </c>
      <c r="S137" s="111">
        <f t="shared" si="63"/>
        <v>0.42718474443938731</v>
      </c>
    </row>
    <row r="138" spans="1:21" s="4" customFormat="1" x14ac:dyDescent="0.2">
      <c r="A138" s="8" t="s">
        <v>452</v>
      </c>
      <c r="B138" s="2" t="s">
        <v>234</v>
      </c>
      <c r="C138" s="39" t="s">
        <v>251</v>
      </c>
      <c r="D138" s="106">
        <v>0.5</v>
      </c>
      <c r="E138" s="106">
        <f>1/3</f>
        <v>0.33333333333333331</v>
      </c>
      <c r="F138" s="114" t="s">
        <v>433</v>
      </c>
      <c r="G138" s="100" t="s">
        <v>252</v>
      </c>
      <c r="H138" s="118">
        <f t="shared" ref="H138:S138" si="64">H27/H4</f>
        <v>0.91379379628773849</v>
      </c>
      <c r="I138" s="118">
        <f t="shared" si="64"/>
        <v>0.98963194941710231</v>
      </c>
      <c r="J138" s="118">
        <f t="shared" si="64"/>
        <v>0.98769076709755055</v>
      </c>
      <c r="K138" s="118">
        <f t="shared" si="64"/>
        <v>0.94364119779886435</v>
      </c>
      <c r="L138" s="118">
        <f t="shared" si="64"/>
        <v>0.98746392440443798</v>
      </c>
      <c r="M138" s="118">
        <f t="shared" si="64"/>
        <v>0.98808739977319504</v>
      </c>
      <c r="N138" s="118">
        <f t="shared" si="64"/>
        <v>0.98835345309317058</v>
      </c>
      <c r="O138" s="118">
        <f t="shared" si="64"/>
        <v>0.9877314532936905</v>
      </c>
      <c r="P138" s="118">
        <f t="shared" si="64"/>
        <v>0.98703949581049577</v>
      </c>
      <c r="Q138" s="118">
        <f t="shared" si="64"/>
        <v>0.98668110817873833</v>
      </c>
      <c r="R138" s="118">
        <f t="shared" si="64"/>
        <v>0.98659176818996497</v>
      </c>
      <c r="S138" s="118">
        <f t="shared" si="64"/>
        <v>0.98572947740289152</v>
      </c>
    </row>
    <row r="139" spans="1:21" s="4" customFormat="1" x14ac:dyDescent="0.2">
      <c r="A139" s="8"/>
      <c r="B139" s="2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</row>
    <row r="140" spans="1:21" s="4" customFormat="1" x14ac:dyDescent="0.2">
      <c r="A140" s="40"/>
      <c r="B140" s="2"/>
      <c r="C140" s="2"/>
      <c r="D140" s="41"/>
      <c r="E140" s="42"/>
      <c r="F140" s="37"/>
      <c r="G140" s="94" t="s">
        <v>253</v>
      </c>
      <c r="H140" s="87">
        <f t="shared" ref="H140:S140" si="65">H133</f>
        <v>2011</v>
      </c>
      <c r="I140" s="87">
        <f t="shared" si="65"/>
        <v>2012</v>
      </c>
      <c r="J140" s="87">
        <f t="shared" si="65"/>
        <v>2013</v>
      </c>
      <c r="K140" s="87">
        <f t="shared" si="65"/>
        <v>2014</v>
      </c>
      <c r="L140" s="87">
        <f t="shared" si="65"/>
        <v>2015</v>
      </c>
      <c r="M140" s="87">
        <f t="shared" si="65"/>
        <v>2016</v>
      </c>
      <c r="N140" s="87">
        <f t="shared" si="65"/>
        <v>2017</v>
      </c>
      <c r="O140" s="87">
        <f t="shared" si="65"/>
        <v>2018</v>
      </c>
      <c r="P140" s="87">
        <f t="shared" si="65"/>
        <v>2019</v>
      </c>
      <c r="Q140" s="87">
        <f t="shared" si="65"/>
        <v>2020</v>
      </c>
      <c r="R140" s="87">
        <f t="shared" si="65"/>
        <v>2021</v>
      </c>
      <c r="S140" s="87">
        <f t="shared" si="65"/>
        <v>2022</v>
      </c>
    </row>
    <row r="141" spans="1:21" s="4" customFormat="1" x14ac:dyDescent="0.2">
      <c r="A141" s="8" t="s">
        <v>453</v>
      </c>
      <c r="B141" s="2" t="s">
        <v>238</v>
      </c>
      <c r="C141" s="8" t="s">
        <v>255</v>
      </c>
      <c r="D141" s="43"/>
      <c r="E141" s="106">
        <v>0.05</v>
      </c>
      <c r="F141" s="8"/>
      <c r="G141" s="103" t="s">
        <v>256</v>
      </c>
      <c r="H141" s="108">
        <f t="shared" ref="H141:S141" si="66">H35/H33</f>
        <v>0.31923789790824236</v>
      </c>
      <c r="I141" s="108">
        <f t="shared" si="66"/>
        <v>0.31456114540731933</v>
      </c>
      <c r="J141" s="108">
        <f t="shared" si="66"/>
        <v>0.39568184027215292</v>
      </c>
      <c r="K141" s="108">
        <f t="shared" si="66"/>
        <v>0.30983253869808347</v>
      </c>
      <c r="L141" s="108">
        <f t="shared" si="66"/>
        <v>0.32073568267503644</v>
      </c>
      <c r="M141" s="108">
        <f t="shared" si="66"/>
        <v>0.36929766120831725</v>
      </c>
      <c r="N141" s="108">
        <f t="shared" si="66"/>
        <v>0.3163325014485831</v>
      </c>
      <c r="O141" s="108">
        <f t="shared" si="66"/>
        <v>0.37703016241299303</v>
      </c>
      <c r="P141" s="108">
        <f t="shared" si="66"/>
        <v>0.34991038116207845</v>
      </c>
      <c r="Q141" s="108">
        <f t="shared" si="66"/>
        <v>0.35368776253667061</v>
      </c>
      <c r="R141" s="108">
        <f t="shared" si="66"/>
        <v>0.36380191379331528</v>
      </c>
      <c r="S141" s="108">
        <f t="shared" si="66"/>
        <v>0.39635652955379669</v>
      </c>
    </row>
    <row r="142" spans="1:21" s="4" customFormat="1" x14ac:dyDescent="0.2">
      <c r="A142" s="8" t="s">
        <v>454</v>
      </c>
      <c r="B142" s="2" t="s">
        <v>241</v>
      </c>
      <c r="C142" s="8" t="s">
        <v>258</v>
      </c>
      <c r="D142" s="10"/>
      <c r="E142" s="106">
        <v>0.95</v>
      </c>
      <c r="F142" s="8"/>
      <c r="G142" s="110" t="s">
        <v>259</v>
      </c>
      <c r="H142" s="118">
        <f t="shared" ref="H142:S142" si="67">(H36+H34)/H33</f>
        <v>0.68076210209175758</v>
      </c>
      <c r="I142" s="118">
        <f t="shared" si="67"/>
        <v>0.68534030676530844</v>
      </c>
      <c r="J142" s="118">
        <f t="shared" si="67"/>
        <v>0.60431815972784708</v>
      </c>
      <c r="K142" s="118">
        <f t="shared" si="67"/>
        <v>0.69016746130191653</v>
      </c>
      <c r="L142" s="118">
        <f t="shared" si="67"/>
        <v>0.67926431732496362</v>
      </c>
      <c r="M142" s="118">
        <f t="shared" si="67"/>
        <v>0.61042346038313644</v>
      </c>
      <c r="N142" s="118">
        <f t="shared" si="67"/>
        <v>0.63609498138487397</v>
      </c>
      <c r="O142" s="118">
        <f t="shared" si="67"/>
        <v>0.62296983758700697</v>
      </c>
      <c r="P142" s="118">
        <f t="shared" si="67"/>
        <v>0.65008961883792149</v>
      </c>
      <c r="Q142" s="118">
        <f t="shared" si="67"/>
        <v>0.64631223746332944</v>
      </c>
      <c r="R142" s="118">
        <f t="shared" si="67"/>
        <v>0.63619808620668472</v>
      </c>
      <c r="S142" s="118">
        <f t="shared" si="67"/>
        <v>0.60364347044620326</v>
      </c>
    </row>
    <row r="143" spans="1:21" s="4" customFormat="1" x14ac:dyDescent="0.2">
      <c r="A143" s="8" t="s">
        <v>455</v>
      </c>
      <c r="B143" s="2" t="s">
        <v>244</v>
      </c>
      <c r="C143" s="8" t="s">
        <v>261</v>
      </c>
      <c r="D143" s="10"/>
      <c r="E143" s="106">
        <v>0.95</v>
      </c>
      <c r="F143" s="8"/>
      <c r="G143" s="46" t="s">
        <v>262</v>
      </c>
      <c r="H143" s="108">
        <f t="shared" ref="H143:S143" si="68">H38/(H38+H41)</f>
        <v>1.4545031417267861E-4</v>
      </c>
      <c r="I143" s="108">
        <f t="shared" si="68"/>
        <v>0</v>
      </c>
      <c r="J143" s="108">
        <f t="shared" si="68"/>
        <v>4.2040075963614595E-4</v>
      </c>
      <c r="K143" s="108">
        <f t="shared" si="68"/>
        <v>1.3098138397311785E-4</v>
      </c>
      <c r="L143" s="108">
        <f t="shared" si="68"/>
        <v>1.1908731481922546E-4</v>
      </c>
      <c r="M143" s="108">
        <f t="shared" si="68"/>
        <v>0</v>
      </c>
      <c r="N143" s="108">
        <f t="shared" si="68"/>
        <v>0</v>
      </c>
      <c r="O143" s="108">
        <f t="shared" si="68"/>
        <v>0</v>
      </c>
      <c r="P143" s="108">
        <f t="shared" si="68"/>
        <v>0</v>
      </c>
      <c r="Q143" s="108">
        <f t="shared" si="68"/>
        <v>0</v>
      </c>
      <c r="R143" s="108">
        <f t="shared" si="68"/>
        <v>0</v>
      </c>
      <c r="S143" s="108">
        <f t="shared" si="68"/>
        <v>0</v>
      </c>
    </row>
    <row r="144" spans="1:21" s="4" customFormat="1" x14ac:dyDescent="0.2">
      <c r="A144" s="8"/>
      <c r="B144" s="2"/>
      <c r="C144" s="8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</row>
    <row r="145" spans="1:19" s="4" customFormat="1" x14ac:dyDescent="0.2">
      <c r="A145" s="40"/>
      <c r="B145" s="2"/>
      <c r="C145" s="119"/>
      <c r="D145" s="41"/>
      <c r="E145" s="42"/>
      <c r="F145" s="37"/>
      <c r="G145" s="94"/>
      <c r="H145" s="87">
        <f>H140</f>
        <v>2011</v>
      </c>
      <c r="I145" s="87">
        <f t="shared" ref="I145:S145" si="69">I140</f>
        <v>2012</v>
      </c>
      <c r="J145" s="87">
        <f t="shared" si="69"/>
        <v>2013</v>
      </c>
      <c r="K145" s="87">
        <f t="shared" si="69"/>
        <v>2014</v>
      </c>
      <c r="L145" s="87">
        <f t="shared" si="69"/>
        <v>2015</v>
      </c>
      <c r="M145" s="87">
        <f t="shared" si="69"/>
        <v>2016</v>
      </c>
      <c r="N145" s="87">
        <f t="shared" si="69"/>
        <v>2017</v>
      </c>
      <c r="O145" s="87">
        <f t="shared" si="69"/>
        <v>2018</v>
      </c>
      <c r="P145" s="87">
        <f t="shared" si="69"/>
        <v>2019</v>
      </c>
      <c r="Q145" s="87">
        <f t="shared" si="69"/>
        <v>2020</v>
      </c>
      <c r="R145" s="87">
        <f t="shared" si="69"/>
        <v>2021</v>
      </c>
      <c r="S145" s="87">
        <f t="shared" si="69"/>
        <v>2022</v>
      </c>
    </row>
    <row r="146" spans="1:19" s="4" customFormat="1" x14ac:dyDescent="0.2">
      <c r="A146" s="4" t="s">
        <v>456</v>
      </c>
      <c r="B146" s="2" t="s">
        <v>247</v>
      </c>
      <c r="C146" s="8" t="s">
        <v>264</v>
      </c>
      <c r="D146" s="120">
        <v>0.5</v>
      </c>
      <c r="E146" s="121" t="s">
        <v>265</v>
      </c>
      <c r="G146" s="103" t="s">
        <v>266</v>
      </c>
      <c r="H146" s="111" t="str">
        <f t="shared" ref="H146:S146" si="70">IF(H141&lt;$D$146,$E$146,H35/H4)</f>
        <v>N/A</v>
      </c>
      <c r="I146" s="111" t="str">
        <f t="shared" si="70"/>
        <v>N/A</v>
      </c>
      <c r="J146" s="111" t="str">
        <f t="shared" si="70"/>
        <v>N/A</v>
      </c>
      <c r="K146" s="111" t="str">
        <f t="shared" si="70"/>
        <v>N/A</v>
      </c>
      <c r="L146" s="111" t="str">
        <f t="shared" si="70"/>
        <v>N/A</v>
      </c>
      <c r="M146" s="111" t="str">
        <f t="shared" si="70"/>
        <v>N/A</v>
      </c>
      <c r="N146" s="111" t="str">
        <f t="shared" si="70"/>
        <v>N/A</v>
      </c>
      <c r="O146" s="111" t="str">
        <f t="shared" si="70"/>
        <v>N/A</v>
      </c>
      <c r="P146" s="111" t="str">
        <f t="shared" si="70"/>
        <v>N/A</v>
      </c>
      <c r="Q146" s="111" t="str">
        <f t="shared" si="70"/>
        <v>N/A</v>
      </c>
      <c r="R146" s="111" t="str">
        <f t="shared" si="70"/>
        <v>N/A</v>
      </c>
      <c r="S146" s="111" t="str">
        <f t="shared" si="70"/>
        <v>N/A</v>
      </c>
    </row>
    <row r="147" spans="1:19" s="4" customFormat="1" x14ac:dyDescent="0.2">
      <c r="A147" s="4" t="s">
        <v>457</v>
      </c>
      <c r="B147" s="2" t="s">
        <v>250</v>
      </c>
      <c r="C147" s="8" t="s">
        <v>267</v>
      </c>
      <c r="D147" s="120">
        <v>0.5</v>
      </c>
      <c r="E147" s="121" t="s">
        <v>265</v>
      </c>
      <c r="G147" s="110" t="s">
        <v>268</v>
      </c>
      <c r="H147" s="111" t="str">
        <f t="shared" ref="H147:S147" si="71">IF(H141&lt;$D$147,$E$147,H35/H15)</f>
        <v>N/A</v>
      </c>
      <c r="I147" s="111" t="str">
        <f t="shared" si="71"/>
        <v>N/A</v>
      </c>
      <c r="J147" s="111" t="str">
        <f t="shared" si="71"/>
        <v>N/A</v>
      </c>
      <c r="K147" s="111" t="str">
        <f t="shared" si="71"/>
        <v>N/A</v>
      </c>
      <c r="L147" s="111" t="str">
        <f t="shared" si="71"/>
        <v>N/A</v>
      </c>
      <c r="M147" s="111" t="str">
        <f t="shared" si="71"/>
        <v>N/A</v>
      </c>
      <c r="N147" s="111" t="str">
        <f t="shared" si="71"/>
        <v>N/A</v>
      </c>
      <c r="O147" s="111" t="str">
        <f t="shared" si="71"/>
        <v>N/A</v>
      </c>
      <c r="P147" s="111" t="str">
        <f t="shared" si="71"/>
        <v>N/A</v>
      </c>
      <c r="Q147" s="111" t="str">
        <f t="shared" si="71"/>
        <v>N/A</v>
      </c>
      <c r="R147" s="111" t="str">
        <f t="shared" si="71"/>
        <v>N/A</v>
      </c>
      <c r="S147" s="111" t="str">
        <f t="shared" si="71"/>
        <v>N/A</v>
      </c>
    </row>
    <row r="148" spans="1:19" s="4" customFormat="1" x14ac:dyDescent="0.2">
      <c r="A148" s="4" t="s">
        <v>458</v>
      </c>
      <c r="B148" s="2" t="s">
        <v>254</v>
      </c>
      <c r="C148" s="8" t="s">
        <v>201</v>
      </c>
      <c r="D148" s="120">
        <v>0.5</v>
      </c>
      <c r="E148" s="121" t="s">
        <v>265</v>
      </c>
      <c r="G148" s="103" t="s">
        <v>269</v>
      </c>
      <c r="H148" s="118" t="str">
        <f t="shared" ref="H148:S148" si="72">IF(H141&lt;$D$148,$E$148,H46/H33)</f>
        <v>N/A</v>
      </c>
      <c r="I148" s="118" t="str">
        <f t="shared" si="72"/>
        <v>N/A</v>
      </c>
      <c r="J148" s="118" t="str">
        <f t="shared" si="72"/>
        <v>N/A</v>
      </c>
      <c r="K148" s="118" t="str">
        <f t="shared" si="72"/>
        <v>N/A</v>
      </c>
      <c r="L148" s="118" t="str">
        <f t="shared" si="72"/>
        <v>N/A</v>
      </c>
      <c r="M148" s="118" t="str">
        <f t="shared" si="72"/>
        <v>N/A</v>
      </c>
      <c r="N148" s="118" t="str">
        <f t="shared" si="72"/>
        <v>N/A</v>
      </c>
      <c r="O148" s="118" t="str">
        <f t="shared" si="72"/>
        <v>N/A</v>
      </c>
      <c r="P148" s="118" t="str">
        <f t="shared" si="72"/>
        <v>N/A</v>
      </c>
      <c r="Q148" s="118" t="str">
        <f t="shared" si="72"/>
        <v>N/A</v>
      </c>
      <c r="R148" s="118" t="str">
        <f t="shared" si="72"/>
        <v>N/A</v>
      </c>
      <c r="S148" s="118" t="str">
        <f t="shared" si="72"/>
        <v>N/A</v>
      </c>
    </row>
    <row r="149" spans="1:19" s="4" customFormat="1" x14ac:dyDescent="0.2">
      <c r="A149" s="4" t="s">
        <v>459</v>
      </c>
      <c r="B149" s="2" t="s">
        <v>257</v>
      </c>
      <c r="C149" s="8" t="s">
        <v>270</v>
      </c>
      <c r="D149" s="120">
        <v>0.5</v>
      </c>
      <c r="E149" s="121" t="s">
        <v>265</v>
      </c>
      <c r="G149" s="110" t="s">
        <v>271</v>
      </c>
      <c r="H149" s="118" t="str">
        <f t="shared" ref="H149:S149" si="73">IF(H141&lt;$D$148,$E$149,H51/H33)</f>
        <v>N/A</v>
      </c>
      <c r="I149" s="118" t="str">
        <f t="shared" si="73"/>
        <v>N/A</v>
      </c>
      <c r="J149" s="118" t="str">
        <f t="shared" si="73"/>
        <v>N/A</v>
      </c>
      <c r="K149" s="118" t="str">
        <f t="shared" si="73"/>
        <v>N/A</v>
      </c>
      <c r="L149" s="118" t="str">
        <f t="shared" si="73"/>
        <v>N/A</v>
      </c>
      <c r="M149" s="118" t="str">
        <f t="shared" si="73"/>
        <v>N/A</v>
      </c>
      <c r="N149" s="118" t="str">
        <f t="shared" si="73"/>
        <v>N/A</v>
      </c>
      <c r="O149" s="118" t="str">
        <f t="shared" si="73"/>
        <v>N/A</v>
      </c>
      <c r="P149" s="118" t="str">
        <f t="shared" si="73"/>
        <v>N/A</v>
      </c>
      <c r="Q149" s="118" t="str">
        <f t="shared" si="73"/>
        <v>N/A</v>
      </c>
      <c r="R149" s="118" t="str">
        <f t="shared" si="73"/>
        <v>N/A</v>
      </c>
      <c r="S149" s="118" t="str">
        <f t="shared" si="73"/>
        <v>N/A</v>
      </c>
    </row>
    <row r="150" spans="1:19" s="4" customFormat="1" x14ac:dyDescent="0.2">
      <c r="A150" s="4" t="s">
        <v>460</v>
      </c>
      <c r="B150" s="2" t="s">
        <v>260</v>
      </c>
      <c r="C150" s="8" t="s">
        <v>272</v>
      </c>
      <c r="D150" s="120">
        <v>0.5</v>
      </c>
      <c r="E150" s="121" t="s">
        <v>265</v>
      </c>
      <c r="G150" s="110" t="s">
        <v>273</v>
      </c>
      <c r="H150" s="118" t="str">
        <f t="shared" ref="H150:S150" si="74">IF(H141&lt;$D$150,$E$150,H51/H4)</f>
        <v>N/A</v>
      </c>
      <c r="I150" s="118" t="str">
        <f t="shared" si="74"/>
        <v>N/A</v>
      </c>
      <c r="J150" s="118" t="str">
        <f t="shared" si="74"/>
        <v>N/A</v>
      </c>
      <c r="K150" s="118" t="str">
        <f t="shared" si="74"/>
        <v>N/A</v>
      </c>
      <c r="L150" s="118" t="str">
        <f t="shared" si="74"/>
        <v>N/A</v>
      </c>
      <c r="M150" s="118" t="str">
        <f t="shared" si="74"/>
        <v>N/A</v>
      </c>
      <c r="N150" s="118" t="str">
        <f t="shared" si="74"/>
        <v>N/A</v>
      </c>
      <c r="O150" s="118" t="str">
        <f t="shared" si="74"/>
        <v>N/A</v>
      </c>
      <c r="P150" s="118" t="str">
        <f t="shared" si="74"/>
        <v>N/A</v>
      </c>
      <c r="Q150" s="118" t="str">
        <f t="shared" si="74"/>
        <v>N/A</v>
      </c>
      <c r="R150" s="118" t="str">
        <f t="shared" si="74"/>
        <v>N/A</v>
      </c>
      <c r="S150" s="118" t="str">
        <f t="shared" si="74"/>
        <v>N/A</v>
      </c>
    </row>
    <row r="151" spans="1:19" s="4" customFormat="1" x14ac:dyDescent="0.2">
      <c r="A151" s="4" t="s">
        <v>461</v>
      </c>
      <c r="B151" s="2" t="s">
        <v>263</v>
      </c>
      <c r="C151" s="8" t="s">
        <v>274</v>
      </c>
      <c r="D151" s="120">
        <v>0.5</v>
      </c>
      <c r="E151" s="121" t="s">
        <v>265</v>
      </c>
      <c r="G151" s="46" t="s">
        <v>275</v>
      </c>
      <c r="H151" s="118" t="str">
        <f>IF(H141&lt;$D$151,$E$151,H51/H27)</f>
        <v>N/A</v>
      </c>
      <c r="I151" s="118" t="str">
        <f>IF(I141&lt;$D$151,$E$151,I51/((H27+I27)/2))</f>
        <v>N/A</v>
      </c>
      <c r="J151" s="118" t="str">
        <f>IF(J141&lt;$D$151,$E$151,J51/((I27+J27)/2))</f>
        <v>N/A</v>
      </c>
      <c r="K151" s="118" t="str">
        <f>IF(K141&lt;$D$151,$E$151,K51/((J27+K27)/2))</f>
        <v>N/A</v>
      </c>
      <c r="L151" s="118" t="str">
        <f>IF(L141&lt;$D$151,$E$151,L51/((K27+L27)/2))</f>
        <v>N/A</v>
      </c>
      <c r="M151" s="118" t="str">
        <f>IF(M141&lt;$D$151,$E$151,M51/((L27+M27)/2))</f>
        <v>N/A</v>
      </c>
      <c r="N151" s="118" t="str">
        <f t="shared" ref="N151:S151" si="75">IF(N141&lt;$D$151,$E$151,N51/((M27+N27)/2))</f>
        <v>N/A</v>
      </c>
      <c r="O151" s="118" t="str">
        <f t="shared" si="75"/>
        <v>N/A</v>
      </c>
      <c r="P151" s="118" t="str">
        <f t="shared" si="75"/>
        <v>N/A</v>
      </c>
      <c r="Q151" s="118" t="str">
        <f t="shared" si="75"/>
        <v>N/A</v>
      </c>
      <c r="R151" s="118" t="str">
        <f t="shared" si="75"/>
        <v>N/A</v>
      </c>
      <c r="S151" s="118" t="str">
        <f t="shared" si="75"/>
        <v>N/A</v>
      </c>
    </row>
    <row r="152" spans="1:19" s="4" customFormat="1" x14ac:dyDescent="0.2">
      <c r="A152" s="8"/>
      <c r="B152" s="2"/>
      <c r="C152" s="119"/>
      <c r="D152" s="41"/>
      <c r="E152" s="42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</row>
    <row r="153" spans="1:19" s="4" customFormat="1" x14ac:dyDescent="0.2">
      <c r="A153" s="8"/>
      <c r="B153" s="2"/>
      <c r="C153" s="10"/>
      <c r="D153" s="10"/>
      <c r="E153" s="9"/>
      <c r="F153" s="8"/>
      <c r="G153" s="94" t="s">
        <v>462</v>
      </c>
      <c r="H153" s="87">
        <f>H145</f>
        <v>2011</v>
      </c>
      <c r="I153" s="87">
        <f t="shared" ref="I153:S153" si="76">I145</f>
        <v>2012</v>
      </c>
      <c r="J153" s="87">
        <f t="shared" si="76"/>
        <v>2013</v>
      </c>
      <c r="K153" s="87">
        <f t="shared" si="76"/>
        <v>2014</v>
      </c>
      <c r="L153" s="87">
        <f t="shared" si="76"/>
        <v>2015</v>
      </c>
      <c r="M153" s="87">
        <f t="shared" si="76"/>
        <v>2016</v>
      </c>
      <c r="N153" s="87">
        <f t="shared" si="76"/>
        <v>2017</v>
      </c>
      <c r="O153" s="87">
        <f t="shared" si="76"/>
        <v>2018</v>
      </c>
      <c r="P153" s="87">
        <f t="shared" si="76"/>
        <v>2019</v>
      </c>
      <c r="Q153" s="87">
        <f t="shared" si="76"/>
        <v>2020</v>
      </c>
      <c r="R153" s="87">
        <f t="shared" si="76"/>
        <v>2021</v>
      </c>
      <c r="S153" s="87">
        <f t="shared" si="76"/>
        <v>2022</v>
      </c>
    </row>
    <row r="154" spans="1:19" s="4" customFormat="1" x14ac:dyDescent="0.2">
      <c r="A154" s="8"/>
      <c r="B154" s="2"/>
      <c r="C154" s="10"/>
      <c r="D154" s="10"/>
      <c r="E154" s="9"/>
      <c r="F154" s="8"/>
      <c r="G154" s="95" t="s">
        <v>276</v>
      </c>
      <c r="H154" s="96">
        <f t="shared" ref="H154:S154" si="77">H33</f>
        <v>778.00599999999997</v>
      </c>
      <c r="I154" s="96">
        <f t="shared" si="77"/>
        <v>852.37799999999993</v>
      </c>
      <c r="J154" s="96">
        <f t="shared" si="77"/>
        <v>771.625</v>
      </c>
      <c r="K154" s="96">
        <f t="shared" si="77"/>
        <v>944.03899999999999</v>
      </c>
      <c r="L154" s="96">
        <f>L33</f>
        <v>1007.119</v>
      </c>
      <c r="M154" s="96">
        <f t="shared" si="77"/>
        <v>941.12699999999995</v>
      </c>
      <c r="N154" s="96">
        <f t="shared" si="77"/>
        <v>1051.027</v>
      </c>
      <c r="O154" s="96">
        <f t="shared" si="77"/>
        <v>862</v>
      </c>
      <c r="P154" s="96">
        <f t="shared" si="77"/>
        <v>957.38800000000003</v>
      </c>
      <c r="Q154" s="96">
        <f t="shared" si="77"/>
        <v>975.57799999999997</v>
      </c>
      <c r="R154" s="96">
        <f t="shared" si="77"/>
        <v>976.9079999999999</v>
      </c>
      <c r="S154" s="96">
        <f t="shared" si="77"/>
        <v>923.56999999999994</v>
      </c>
    </row>
    <row r="155" spans="1:19" s="4" customFormat="1" x14ac:dyDescent="0.2">
      <c r="A155" s="8"/>
      <c r="B155" s="2"/>
      <c r="C155" s="10"/>
      <c r="D155" s="10"/>
      <c r="E155" s="9"/>
      <c r="F155" s="8"/>
      <c r="G155" s="95" t="s">
        <v>277</v>
      </c>
      <c r="H155" s="96">
        <f t="shared" ref="H155:S156" si="78">H35</f>
        <v>248.369</v>
      </c>
      <c r="I155" s="96">
        <f t="shared" si="78"/>
        <v>268.125</v>
      </c>
      <c r="J155" s="96">
        <f t="shared" si="78"/>
        <v>305.31799999999998</v>
      </c>
      <c r="K155" s="96">
        <f t="shared" si="78"/>
        <v>292.49400000000003</v>
      </c>
      <c r="L155" s="96">
        <f t="shared" si="78"/>
        <v>323.01900000000001</v>
      </c>
      <c r="M155" s="96">
        <f t="shared" si="78"/>
        <v>347.55599999999998</v>
      </c>
      <c r="N155" s="96">
        <f t="shared" si="78"/>
        <v>332.47399999999999</v>
      </c>
      <c r="O155" s="96">
        <f t="shared" si="78"/>
        <v>325</v>
      </c>
      <c r="P155" s="96">
        <f t="shared" si="78"/>
        <v>335</v>
      </c>
      <c r="Q155" s="96">
        <f t="shared" si="78"/>
        <v>345.05</v>
      </c>
      <c r="R155" s="96">
        <f t="shared" si="78"/>
        <v>355.40100000000001</v>
      </c>
      <c r="S155" s="96">
        <f t="shared" si="78"/>
        <v>366.06299999999999</v>
      </c>
    </row>
    <row r="156" spans="1:19" s="4" customFormat="1" x14ac:dyDescent="0.2">
      <c r="A156" s="8"/>
      <c r="B156" s="2"/>
      <c r="C156" s="10"/>
      <c r="D156" s="10"/>
      <c r="E156" s="9"/>
      <c r="F156" s="8"/>
      <c r="G156" s="95" t="s">
        <v>278</v>
      </c>
      <c r="H156" s="96">
        <f t="shared" si="78"/>
        <v>529.63699999999994</v>
      </c>
      <c r="I156" s="96">
        <f t="shared" si="78"/>
        <v>584.16899999999998</v>
      </c>
      <c r="J156" s="96">
        <f t="shared" si="78"/>
        <v>466.30700000000002</v>
      </c>
      <c r="K156" s="96">
        <f t="shared" si="78"/>
        <v>651.54499999999996</v>
      </c>
      <c r="L156" s="96">
        <f t="shared" si="78"/>
        <v>684.1</v>
      </c>
      <c r="M156" s="96">
        <f t="shared" si="78"/>
        <v>574.48599999999999</v>
      </c>
      <c r="N156" s="96">
        <f t="shared" si="78"/>
        <v>668.553</v>
      </c>
      <c r="O156" s="96">
        <f t="shared" si="78"/>
        <v>537</v>
      </c>
      <c r="P156" s="96">
        <f t="shared" si="78"/>
        <v>622.38800000000003</v>
      </c>
      <c r="Q156" s="96">
        <f t="shared" si="78"/>
        <v>630.52800000000002</v>
      </c>
      <c r="R156" s="96">
        <f t="shared" si="78"/>
        <v>621.50699999999995</v>
      </c>
      <c r="S156" s="96">
        <f t="shared" si="78"/>
        <v>557.50699999999995</v>
      </c>
    </row>
    <row r="157" spans="1:19" s="4" customFormat="1" x14ac:dyDescent="0.2">
      <c r="A157" s="8"/>
      <c r="B157" s="2"/>
      <c r="C157" s="10"/>
      <c r="D157" s="10"/>
      <c r="E157" s="9"/>
      <c r="F157" s="8"/>
      <c r="G157" s="95" t="s">
        <v>279</v>
      </c>
      <c r="H157" s="96">
        <f t="shared" ref="H157:S157" si="79">H38+H41</f>
        <v>-687.5200000000001</v>
      </c>
      <c r="I157" s="96">
        <f t="shared" si="79"/>
        <v>-781.03399999999988</v>
      </c>
      <c r="J157" s="96">
        <f t="shared" si="79"/>
        <v>-892.00599999999997</v>
      </c>
      <c r="K157" s="96">
        <f t="shared" si="79"/>
        <v>-839.81399999999996</v>
      </c>
      <c r="L157" s="96">
        <f t="shared" si="79"/>
        <v>-923.69199999999989</v>
      </c>
      <c r="M157" s="96">
        <f t="shared" si="79"/>
        <v>-1039.55</v>
      </c>
      <c r="N157" s="96">
        <f t="shared" si="79"/>
        <v>-990.08899999999994</v>
      </c>
      <c r="O157" s="96">
        <f t="shared" si="79"/>
        <v>-1021.457</v>
      </c>
      <c r="P157" s="96">
        <f t="shared" si="79"/>
        <v>-1037.402</v>
      </c>
      <c r="Q157" s="96">
        <f t="shared" si="79"/>
        <v>-1041.4159999999999</v>
      </c>
      <c r="R157" s="96">
        <f t="shared" si="79"/>
        <v>-1045.239</v>
      </c>
      <c r="S157" s="96">
        <f t="shared" si="79"/>
        <v>-1045.9929999999999</v>
      </c>
    </row>
    <row r="158" spans="1:19" s="4" customFormat="1" x14ac:dyDescent="0.2">
      <c r="A158" s="8"/>
      <c r="B158" s="2"/>
      <c r="C158" s="10"/>
      <c r="D158" s="10"/>
      <c r="E158" s="9"/>
      <c r="F158" s="8"/>
      <c r="G158" s="95" t="s">
        <v>280</v>
      </c>
      <c r="H158" s="96">
        <f t="shared" ref="H158:S158" si="80">H41</f>
        <v>-687.42000000000007</v>
      </c>
      <c r="I158" s="96">
        <f t="shared" si="80"/>
        <v>-781.03399999999988</v>
      </c>
      <c r="J158" s="96">
        <f t="shared" si="80"/>
        <v>-891.63099999999997</v>
      </c>
      <c r="K158" s="96">
        <f t="shared" si="80"/>
        <v>-839.70399999999995</v>
      </c>
      <c r="L158" s="96">
        <f t="shared" si="80"/>
        <v>-923.58199999999988</v>
      </c>
      <c r="M158" s="96">
        <f t="shared" si="80"/>
        <v>-1039.55</v>
      </c>
      <c r="N158" s="96">
        <f t="shared" si="80"/>
        <v>-990.08899999999994</v>
      </c>
      <c r="O158" s="96">
        <f t="shared" si="80"/>
        <v>-1021.457</v>
      </c>
      <c r="P158" s="96">
        <f t="shared" si="80"/>
        <v>-1037.402</v>
      </c>
      <c r="Q158" s="96">
        <f t="shared" si="80"/>
        <v>-1041.4159999999999</v>
      </c>
      <c r="R158" s="96">
        <f t="shared" si="80"/>
        <v>-1045.239</v>
      </c>
      <c r="S158" s="96">
        <f t="shared" si="80"/>
        <v>-1045.9929999999999</v>
      </c>
    </row>
    <row r="159" spans="1:19" s="4" customFormat="1" x14ac:dyDescent="0.2">
      <c r="A159" s="8"/>
      <c r="B159" s="2"/>
      <c r="C159" s="10"/>
      <c r="D159" s="10"/>
      <c r="E159" s="9"/>
      <c r="F159" s="8"/>
      <c r="G159" s="95" t="s">
        <v>281</v>
      </c>
      <c r="H159" s="96">
        <f t="shared" ref="H159:S159" si="81">H38</f>
        <v>-0.1</v>
      </c>
      <c r="I159" s="96">
        <f t="shared" si="81"/>
        <v>0</v>
      </c>
      <c r="J159" s="96">
        <f t="shared" si="81"/>
        <v>-0.375</v>
      </c>
      <c r="K159" s="96">
        <f t="shared" si="81"/>
        <v>-0.11</v>
      </c>
      <c r="L159" s="96">
        <f t="shared" si="81"/>
        <v>-0.11</v>
      </c>
      <c r="M159" s="96">
        <f t="shared" si="81"/>
        <v>0</v>
      </c>
      <c r="N159" s="96">
        <f t="shared" si="81"/>
        <v>0</v>
      </c>
      <c r="O159" s="96">
        <f t="shared" si="81"/>
        <v>0</v>
      </c>
      <c r="P159" s="96">
        <f t="shared" si="81"/>
        <v>0</v>
      </c>
      <c r="Q159" s="96">
        <f t="shared" si="81"/>
        <v>0</v>
      </c>
      <c r="R159" s="96">
        <f t="shared" si="81"/>
        <v>0</v>
      </c>
      <c r="S159" s="96">
        <f t="shared" si="81"/>
        <v>0</v>
      </c>
    </row>
    <row r="160" spans="1:19" s="4" customFormat="1" x14ac:dyDescent="0.2">
      <c r="A160" s="8"/>
      <c r="B160" s="2"/>
      <c r="C160" s="10"/>
      <c r="D160" s="10"/>
      <c r="E160" s="9"/>
      <c r="F160" s="8"/>
      <c r="G160" s="95" t="s">
        <v>282</v>
      </c>
      <c r="H160" s="96">
        <f t="shared" ref="H160:S160" si="82">H46</f>
        <v>90.485999999999876</v>
      </c>
      <c r="I160" s="96">
        <f t="shared" si="82"/>
        <v>71.344000000000051</v>
      </c>
      <c r="J160" s="96">
        <f t="shared" si="82"/>
        <v>-120.38099999999997</v>
      </c>
      <c r="K160" s="96">
        <f t="shared" si="82"/>
        <v>104.22500000000002</v>
      </c>
      <c r="L160" s="96">
        <f t="shared" si="82"/>
        <v>83.427000000000135</v>
      </c>
      <c r="M160" s="96">
        <f t="shared" si="82"/>
        <v>-98.423000000000002</v>
      </c>
      <c r="N160" s="96">
        <f t="shared" si="82"/>
        <v>60.938000000000102</v>
      </c>
      <c r="O160" s="96">
        <f t="shared" si="82"/>
        <v>-159.45699999999999</v>
      </c>
      <c r="P160" s="96">
        <f t="shared" si="82"/>
        <v>-80.01400000000001</v>
      </c>
      <c r="Q160" s="96">
        <f t="shared" si="82"/>
        <v>-65.837999999999965</v>
      </c>
      <c r="R160" s="96">
        <f t="shared" si="82"/>
        <v>-68.331000000000131</v>
      </c>
      <c r="S160" s="96">
        <f t="shared" si="82"/>
        <v>-122.423</v>
      </c>
    </row>
    <row r="161" spans="1:19" s="4" customFormat="1" x14ac:dyDescent="0.2">
      <c r="A161" s="8"/>
      <c r="B161" s="2"/>
      <c r="C161" s="10"/>
      <c r="D161" s="10"/>
      <c r="E161" s="9"/>
      <c r="F161" s="8"/>
      <c r="G161" s="95" t="s">
        <v>283</v>
      </c>
      <c r="H161" s="96">
        <f t="shared" ref="H161:S161" si="83">H51</f>
        <v>75.229999999999876</v>
      </c>
      <c r="I161" s="96">
        <f t="shared" si="83"/>
        <v>68.480000000000047</v>
      </c>
      <c r="J161" s="96">
        <f t="shared" si="83"/>
        <v>-120.38099999999997</v>
      </c>
      <c r="K161" s="96">
        <f t="shared" si="83"/>
        <v>104.22500000000002</v>
      </c>
      <c r="L161" s="96">
        <f t="shared" si="83"/>
        <v>84.069000000000131</v>
      </c>
      <c r="M161" s="96">
        <f t="shared" si="83"/>
        <v>-97.775999999999996</v>
      </c>
      <c r="N161" s="96">
        <f t="shared" si="83"/>
        <v>60.938000000000102</v>
      </c>
      <c r="O161" s="96">
        <f t="shared" si="83"/>
        <v>-159.45699999999999</v>
      </c>
      <c r="P161" s="96">
        <f t="shared" si="83"/>
        <v>-80.01400000000001</v>
      </c>
      <c r="Q161" s="96">
        <f t="shared" si="83"/>
        <v>-65.837999999999965</v>
      </c>
      <c r="R161" s="96">
        <f t="shared" si="83"/>
        <v>-68.331000000000131</v>
      </c>
      <c r="S161" s="96">
        <f t="shared" si="83"/>
        <v>-122.423</v>
      </c>
    </row>
    <row r="162" spans="1:19" s="4" customFormat="1" x14ac:dyDescent="0.2">
      <c r="A162" s="8"/>
      <c r="B162" s="2"/>
      <c r="C162" s="10"/>
      <c r="D162" s="10"/>
      <c r="E162" s="9"/>
      <c r="F162" s="8"/>
      <c r="G162" s="95" t="s">
        <v>284</v>
      </c>
      <c r="H162" s="96">
        <f t="shared" ref="H162:S163" si="84">H4</f>
        <v>2986.212</v>
      </c>
      <c r="I162" s="96">
        <f t="shared" si="84"/>
        <v>2826.5680000000002</v>
      </c>
      <c r="J162" s="96">
        <f t="shared" si="84"/>
        <v>2710.2420000000002</v>
      </c>
      <c r="K162" s="96">
        <f t="shared" si="84"/>
        <v>2947.2060000000001</v>
      </c>
      <c r="L162" s="96">
        <f t="shared" si="84"/>
        <v>2901.5460000000003</v>
      </c>
      <c r="M162" s="96">
        <f t="shared" si="84"/>
        <v>2800.6480000000001</v>
      </c>
      <c r="N162" s="96">
        <f t="shared" si="84"/>
        <v>2861.4490000000001</v>
      </c>
      <c r="O162" s="96">
        <f t="shared" si="84"/>
        <v>2701.7869999999998</v>
      </c>
      <c r="P162" s="96">
        <f t="shared" si="84"/>
        <v>2622.5060000000003</v>
      </c>
      <c r="Q162" s="96">
        <f t="shared" si="84"/>
        <v>2556.5190000000002</v>
      </c>
      <c r="R162" s="96">
        <f t="shared" si="84"/>
        <v>2487.2780000000002</v>
      </c>
      <c r="S162" s="96">
        <f t="shared" si="84"/>
        <v>2365.0150000000003</v>
      </c>
    </row>
    <row r="163" spans="1:19" s="4" customFormat="1" x14ac:dyDescent="0.2">
      <c r="A163" s="8"/>
      <c r="B163" s="2"/>
      <c r="C163" s="10"/>
      <c r="D163" s="10"/>
      <c r="E163" s="9"/>
      <c r="F163" s="8"/>
      <c r="G163" s="95" t="s">
        <v>285</v>
      </c>
      <c r="H163" s="96">
        <f t="shared" si="84"/>
        <v>137.78099999999998</v>
      </c>
      <c r="I163" s="96">
        <f t="shared" si="84"/>
        <v>141.69900000000001</v>
      </c>
      <c r="J163" s="96">
        <f t="shared" si="84"/>
        <v>200.78899999999999</v>
      </c>
      <c r="K163" s="96">
        <f t="shared" si="84"/>
        <v>357.24400000000003</v>
      </c>
      <c r="L163" s="96">
        <f t="shared" si="84"/>
        <v>281.61900000000003</v>
      </c>
      <c r="M163" s="96">
        <f t="shared" si="84"/>
        <v>232.13200000000001</v>
      </c>
      <c r="N163" s="96">
        <f t="shared" si="84"/>
        <v>263.68099999999998</v>
      </c>
      <c r="O163" s="96">
        <f t="shared" si="84"/>
        <v>190.78699999999998</v>
      </c>
      <c r="P163" s="96">
        <f t="shared" si="84"/>
        <v>176.577</v>
      </c>
      <c r="Q163" s="96">
        <f t="shared" si="84"/>
        <v>171.58799999999999</v>
      </c>
      <c r="R163" s="96">
        <f t="shared" si="84"/>
        <v>175.19</v>
      </c>
      <c r="S163" s="96">
        <f t="shared" si="84"/>
        <v>203.02300000000002</v>
      </c>
    </row>
    <row r="164" spans="1:19" s="4" customFormat="1" x14ac:dyDescent="0.2">
      <c r="A164" s="8"/>
      <c r="B164" s="2"/>
      <c r="C164" s="10"/>
      <c r="D164" s="10"/>
      <c r="E164" s="9"/>
      <c r="F164" s="8"/>
      <c r="G164" s="95" t="s">
        <v>286</v>
      </c>
      <c r="H164" s="96">
        <f t="shared" ref="H164:S164" si="85">H10</f>
        <v>2848.431</v>
      </c>
      <c r="I164" s="96">
        <f t="shared" si="85"/>
        <v>2684.8690000000001</v>
      </c>
      <c r="J164" s="96">
        <f t="shared" si="85"/>
        <v>2509.453</v>
      </c>
      <c r="K164" s="96">
        <f t="shared" si="85"/>
        <v>2589.962</v>
      </c>
      <c r="L164" s="96">
        <f t="shared" si="85"/>
        <v>2619.9270000000001</v>
      </c>
      <c r="M164" s="96">
        <f t="shared" si="85"/>
        <v>2568.5160000000001</v>
      </c>
      <c r="N164" s="96">
        <f t="shared" si="85"/>
        <v>2597.768</v>
      </c>
      <c r="O164" s="96">
        <f t="shared" si="85"/>
        <v>2511</v>
      </c>
      <c r="P164" s="96">
        <f t="shared" si="85"/>
        <v>2445.9290000000001</v>
      </c>
      <c r="Q164" s="96">
        <f t="shared" si="85"/>
        <v>2384.931</v>
      </c>
      <c r="R164" s="96">
        <f t="shared" si="85"/>
        <v>2312.0880000000002</v>
      </c>
      <c r="S164" s="96">
        <f t="shared" si="85"/>
        <v>2161.9920000000002</v>
      </c>
    </row>
    <row r="165" spans="1:19" s="4" customFormat="1" x14ac:dyDescent="0.2">
      <c r="A165" s="8"/>
      <c r="B165" s="2"/>
      <c r="C165" s="10"/>
      <c r="D165" s="10"/>
      <c r="E165" s="9"/>
      <c r="F165" s="8"/>
      <c r="G165" s="95" t="s">
        <v>287</v>
      </c>
      <c r="H165" s="96">
        <f t="shared" ref="H165:S166" si="86">H19</f>
        <v>257.43299999999999</v>
      </c>
      <c r="I165" s="96">
        <f t="shared" si="86"/>
        <v>29.306000000000001</v>
      </c>
      <c r="J165" s="96">
        <f t="shared" si="86"/>
        <v>33.36</v>
      </c>
      <c r="K165" s="96">
        <f t="shared" si="86"/>
        <v>166.1</v>
      </c>
      <c r="L165" s="96">
        <f t="shared" si="86"/>
        <v>36.372999999999998</v>
      </c>
      <c r="M165" s="96">
        <f t="shared" si="86"/>
        <v>33.363999999999997</v>
      </c>
      <c r="N165" s="96">
        <f t="shared" si="86"/>
        <v>33.325000000000003</v>
      </c>
      <c r="O165" s="96">
        <f t="shared" si="86"/>
        <v>33.200000000000003</v>
      </c>
      <c r="P165" s="96">
        <f t="shared" si="86"/>
        <v>33.988999999999997</v>
      </c>
      <c r="Q165" s="96">
        <f t="shared" si="86"/>
        <v>34.049999999999997</v>
      </c>
      <c r="R165" s="96">
        <f t="shared" si="86"/>
        <v>33.35</v>
      </c>
      <c r="S165" s="96">
        <f t="shared" si="86"/>
        <v>33.75</v>
      </c>
    </row>
    <row r="166" spans="1:19" s="4" customFormat="1" x14ac:dyDescent="0.2">
      <c r="A166" s="8"/>
      <c r="B166" s="2"/>
      <c r="C166" s="10"/>
      <c r="D166" s="10"/>
      <c r="E166" s="9"/>
      <c r="F166" s="8"/>
      <c r="G166" s="95" t="s">
        <v>288</v>
      </c>
      <c r="H166" s="96">
        <f t="shared" si="86"/>
        <v>257.43</v>
      </c>
      <c r="I166" s="96">
        <f t="shared" si="86"/>
        <v>29.306000000000001</v>
      </c>
      <c r="J166" s="96">
        <f t="shared" si="86"/>
        <v>33.36</v>
      </c>
      <c r="K166" s="96">
        <f t="shared" si="86"/>
        <v>166.1</v>
      </c>
      <c r="L166" s="96">
        <f t="shared" si="86"/>
        <v>36.372999999999998</v>
      </c>
      <c r="M166" s="96">
        <f t="shared" si="86"/>
        <v>33.363999999999997</v>
      </c>
      <c r="N166" s="96">
        <f t="shared" si="86"/>
        <v>33.325000000000003</v>
      </c>
      <c r="O166" s="96">
        <f t="shared" si="86"/>
        <v>33</v>
      </c>
      <c r="P166" s="96">
        <f t="shared" si="86"/>
        <v>33.988999999999997</v>
      </c>
      <c r="Q166" s="96">
        <f t="shared" si="86"/>
        <v>34.049999999999997</v>
      </c>
      <c r="R166" s="96">
        <f t="shared" si="86"/>
        <v>33.35</v>
      </c>
      <c r="S166" s="96">
        <f t="shared" si="86"/>
        <v>33.75</v>
      </c>
    </row>
    <row r="167" spans="1:19" s="4" customFormat="1" x14ac:dyDescent="0.2">
      <c r="A167" s="8"/>
      <c r="B167" s="2"/>
      <c r="C167" s="10"/>
      <c r="D167" s="10"/>
      <c r="E167" s="9"/>
      <c r="F167" s="8"/>
      <c r="G167" s="95" t="s">
        <v>289</v>
      </c>
      <c r="H167" s="96">
        <f t="shared" ref="H167:S167" si="87">H24</f>
        <v>233.46600000000001</v>
      </c>
      <c r="I167" s="96">
        <f t="shared" si="87"/>
        <v>0</v>
      </c>
      <c r="J167" s="96">
        <f t="shared" si="87"/>
        <v>0</v>
      </c>
      <c r="K167" s="96">
        <f t="shared" si="87"/>
        <v>0</v>
      </c>
      <c r="L167" s="96">
        <f t="shared" si="87"/>
        <v>0</v>
      </c>
      <c r="M167" s="96">
        <f t="shared" si="87"/>
        <v>0</v>
      </c>
      <c r="N167" s="96">
        <f t="shared" si="87"/>
        <v>0</v>
      </c>
      <c r="O167" s="96">
        <f t="shared" si="87"/>
        <v>0</v>
      </c>
      <c r="P167" s="96">
        <f t="shared" si="87"/>
        <v>0</v>
      </c>
      <c r="Q167" s="96">
        <f t="shared" si="87"/>
        <v>0</v>
      </c>
      <c r="R167" s="96">
        <f t="shared" si="87"/>
        <v>0</v>
      </c>
      <c r="S167" s="96">
        <f t="shared" si="87"/>
        <v>0</v>
      </c>
    </row>
    <row r="168" spans="1:19" s="4" customFormat="1" x14ac:dyDescent="0.2">
      <c r="A168" s="8"/>
      <c r="B168" s="2"/>
      <c r="C168" s="10"/>
      <c r="D168" s="10"/>
      <c r="E168" s="9"/>
      <c r="F168" s="8"/>
      <c r="G168" s="95" t="s">
        <v>290</v>
      </c>
      <c r="H168" s="96">
        <f t="shared" ref="H168:S168" si="88">H27</f>
        <v>2728.7820000000002</v>
      </c>
      <c r="I168" s="96">
        <f t="shared" si="88"/>
        <v>2797.2620000000002</v>
      </c>
      <c r="J168" s="96">
        <f t="shared" si="88"/>
        <v>2676.8809999999999</v>
      </c>
      <c r="K168" s="96">
        <f t="shared" si="88"/>
        <v>2781.105</v>
      </c>
      <c r="L168" s="96">
        <f t="shared" si="88"/>
        <v>2865.1719999999996</v>
      </c>
      <c r="M168" s="96">
        <f t="shared" si="88"/>
        <v>2767.2849999999994</v>
      </c>
      <c r="N168" s="96">
        <f t="shared" si="88"/>
        <v>2828.123</v>
      </c>
      <c r="O168" s="96">
        <f t="shared" si="88"/>
        <v>2668.64</v>
      </c>
      <c r="P168" s="96">
        <f t="shared" si="88"/>
        <v>2588.5170000000003</v>
      </c>
      <c r="Q168" s="96">
        <f t="shared" si="88"/>
        <v>2522.4690000000001</v>
      </c>
      <c r="R168" s="96">
        <f t="shared" si="88"/>
        <v>2453.9279999999999</v>
      </c>
      <c r="S168" s="96">
        <f t="shared" si="88"/>
        <v>2331.2649999999999</v>
      </c>
    </row>
    <row r="169" spans="1:19" s="4" customFormat="1" x14ac:dyDescent="0.2">
      <c r="A169" s="8"/>
      <c r="B169" s="2"/>
      <c r="C169" s="119"/>
      <c r="D169" s="41"/>
      <c r="E169" s="42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</row>
    <row r="170" spans="1:19" s="4" customFormat="1" x14ac:dyDescent="0.2">
      <c r="A170" s="8"/>
      <c r="B170" s="2"/>
      <c r="C170" s="119" t="s">
        <v>463</v>
      </c>
      <c r="D170" s="41"/>
      <c r="E170" s="42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</row>
    <row r="171" spans="1:19" s="4" customFormat="1" x14ac:dyDescent="0.2">
      <c r="A171" s="8"/>
      <c r="B171" s="2"/>
      <c r="C171" s="119"/>
      <c r="D171" s="41"/>
      <c r="E171" s="42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</row>
    <row r="172" spans="1:19" s="40" customFormat="1" x14ac:dyDescent="0.2">
      <c r="A172" s="29"/>
      <c r="B172" s="2"/>
      <c r="C172" s="29" t="s">
        <v>464</v>
      </c>
      <c r="D172" s="99"/>
      <c r="E172" s="30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</row>
    <row r="173" spans="1:19" s="4" customFormat="1" x14ac:dyDescent="0.2">
      <c r="A173" s="8"/>
      <c r="B173" s="2"/>
      <c r="C173" s="8"/>
      <c r="D173" s="10"/>
      <c r="E173" s="9"/>
      <c r="F173" s="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</row>
    <row r="174" spans="1:19" s="4" customFormat="1" x14ac:dyDescent="0.2">
      <c r="A174" s="8"/>
      <c r="B174" s="2"/>
      <c r="C174" s="8" t="s">
        <v>291</v>
      </c>
      <c r="D174" s="10"/>
      <c r="E174" s="9"/>
      <c r="F174" s="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</row>
    <row r="175" spans="1:19" s="4" customFormat="1" x14ac:dyDescent="0.2">
      <c r="A175" s="8"/>
      <c r="B175" s="2"/>
      <c r="C175" s="8" t="s">
        <v>292</v>
      </c>
      <c r="D175" s="10"/>
      <c r="E175" s="9"/>
      <c r="F175" s="12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  <c r="R175" s="44"/>
    </row>
    <row r="176" spans="1:19" s="4" customFormat="1" x14ac:dyDescent="0.2">
      <c r="A176" s="8"/>
      <c r="B176" s="2"/>
      <c r="C176" s="8"/>
      <c r="D176" s="10"/>
      <c r="E176" s="9"/>
      <c r="F176" s="12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</row>
    <row r="177" spans="1:7" s="4" customFormat="1" x14ac:dyDescent="0.2">
      <c r="A177" s="8"/>
      <c r="B177" s="2"/>
      <c r="C177" s="8" t="s">
        <v>293</v>
      </c>
      <c r="D177" s="10"/>
      <c r="E177" s="9"/>
      <c r="F177" s="12"/>
      <c r="G177" s="28"/>
    </row>
    <row r="178" spans="1:7" s="4" customFormat="1" x14ac:dyDescent="0.2">
      <c r="A178" s="8"/>
      <c r="B178" s="2"/>
      <c r="C178" s="8" t="s">
        <v>294</v>
      </c>
      <c r="D178" s="10"/>
      <c r="E178" s="9"/>
      <c r="F178" s="12"/>
      <c r="G178" s="28"/>
    </row>
    <row r="179" spans="1:7" s="4" customFormat="1" x14ac:dyDescent="0.2">
      <c r="A179" s="8"/>
      <c r="B179" s="2"/>
      <c r="C179" s="10"/>
      <c r="D179" s="10"/>
      <c r="E179" s="9"/>
      <c r="F179" s="8"/>
      <c r="G179" s="28"/>
    </row>
    <row r="180" spans="1:7" s="4" customFormat="1" x14ac:dyDescent="0.2">
      <c r="A180" s="8"/>
      <c r="B180" s="2"/>
      <c r="C180" s="10"/>
      <c r="D180" s="10"/>
      <c r="E180" s="9"/>
      <c r="F180" s="8"/>
      <c r="G180" s="28"/>
    </row>
    <row r="181" spans="1:7" s="4" customFormat="1" x14ac:dyDescent="0.2">
      <c r="A181" s="8"/>
      <c r="B181" s="2"/>
      <c r="C181" s="10"/>
      <c r="D181" s="10"/>
      <c r="E181" s="9"/>
      <c r="F181" s="8"/>
      <c r="G181" s="28"/>
    </row>
    <row r="182" spans="1:7" s="4" customFormat="1" x14ac:dyDescent="0.2">
      <c r="A182" s="8"/>
      <c r="B182" s="2"/>
      <c r="C182" s="10"/>
      <c r="D182" s="10"/>
      <c r="E182" s="9"/>
      <c r="F182" s="8"/>
      <c r="G182" s="28"/>
    </row>
    <row r="183" spans="1:7" s="4" customFormat="1" x14ac:dyDescent="0.2">
      <c r="A183" s="8"/>
      <c r="B183" s="2"/>
      <c r="C183" s="10"/>
      <c r="D183" s="10"/>
      <c r="E183" s="9"/>
      <c r="F183" s="8"/>
      <c r="G183" s="28"/>
    </row>
    <row r="184" spans="1:7" s="4" customFormat="1" x14ac:dyDescent="0.2">
      <c r="A184" s="8"/>
      <c r="B184" s="2"/>
      <c r="C184" s="10"/>
      <c r="D184" s="10"/>
      <c r="E184" s="9"/>
      <c r="F184" s="8"/>
      <c r="G184" s="28"/>
    </row>
    <row r="185" spans="1:7" s="4" customFormat="1" x14ac:dyDescent="0.2">
      <c r="A185" s="8"/>
      <c r="B185" s="2"/>
      <c r="C185" s="10"/>
      <c r="D185" s="10"/>
      <c r="E185" s="9"/>
      <c r="F185" s="8"/>
      <c r="G185" s="28"/>
    </row>
    <row r="186" spans="1:7" s="4" customFormat="1" x14ac:dyDescent="0.2">
      <c r="A186" s="8"/>
      <c r="B186" s="2"/>
      <c r="C186" s="10"/>
      <c r="D186" s="10"/>
      <c r="E186" s="9"/>
      <c r="F186" s="8"/>
      <c r="G186" s="28"/>
    </row>
    <row r="187" spans="1:7" s="4" customFormat="1" x14ac:dyDescent="0.2">
      <c r="A187" s="8"/>
      <c r="B187" s="2"/>
      <c r="C187" s="10"/>
      <c r="D187" s="10"/>
      <c r="E187" s="9"/>
      <c r="F187" s="8"/>
      <c r="G187" s="28"/>
    </row>
    <row r="188" spans="1:7" s="4" customFormat="1" x14ac:dyDescent="0.2">
      <c r="A188" s="8"/>
      <c r="B188" s="2"/>
      <c r="C188" s="10"/>
      <c r="D188" s="10"/>
      <c r="E188" s="9"/>
      <c r="F188" s="8"/>
      <c r="G188" s="28"/>
    </row>
    <row r="189" spans="1:7" s="4" customFormat="1" x14ac:dyDescent="0.2">
      <c r="A189" s="8"/>
      <c r="B189" s="2"/>
      <c r="C189" s="10"/>
      <c r="D189" s="10"/>
      <c r="E189" s="9"/>
      <c r="F189" s="8"/>
      <c r="G189" s="28"/>
    </row>
    <row r="190" spans="1:7" s="4" customFormat="1" x14ac:dyDescent="0.2">
      <c r="A190" s="8"/>
      <c r="B190" s="2"/>
      <c r="C190" s="10"/>
      <c r="D190" s="10"/>
      <c r="E190" s="9"/>
      <c r="F190" s="8"/>
      <c r="G190" s="28"/>
    </row>
    <row r="191" spans="1:7" s="4" customFormat="1" x14ac:dyDescent="0.2">
      <c r="A191" s="8"/>
      <c r="B191" s="2"/>
      <c r="C191" s="10"/>
      <c r="D191" s="10"/>
      <c r="E191" s="9"/>
      <c r="F191" s="8"/>
      <c r="G191" s="28"/>
    </row>
    <row r="192" spans="1:7" s="4" customFormat="1" x14ac:dyDescent="0.2">
      <c r="A192" s="8"/>
      <c r="B192" s="2"/>
      <c r="C192" s="10"/>
      <c r="D192" s="10"/>
      <c r="E192" s="9"/>
      <c r="F192" s="8"/>
      <c r="G192" s="28"/>
    </row>
    <row r="193" spans="1:7" s="4" customFormat="1" x14ac:dyDescent="0.2">
      <c r="A193" s="8"/>
      <c r="B193" s="2"/>
      <c r="C193" s="10"/>
      <c r="D193" s="10"/>
      <c r="E193" s="9"/>
      <c r="F193" s="8"/>
      <c r="G193" s="28"/>
    </row>
    <row r="194" spans="1:7" s="4" customFormat="1" x14ac:dyDescent="0.2">
      <c r="A194" s="8"/>
      <c r="B194" s="2"/>
      <c r="C194" s="10"/>
      <c r="D194" s="10"/>
      <c r="E194" s="9"/>
      <c r="F194" s="8"/>
      <c r="G194" s="28"/>
    </row>
    <row r="195" spans="1:7" s="4" customFormat="1" x14ac:dyDescent="0.2">
      <c r="A195" s="8"/>
      <c r="B195" s="2"/>
      <c r="C195" s="10"/>
      <c r="D195" s="10"/>
      <c r="E195" s="9"/>
      <c r="F195" s="8"/>
      <c r="G195" s="28"/>
    </row>
    <row r="196" spans="1:7" s="4" customFormat="1" x14ac:dyDescent="0.2">
      <c r="A196" s="8"/>
      <c r="B196" s="2"/>
      <c r="C196" s="10"/>
      <c r="D196" s="10"/>
      <c r="E196" s="9"/>
      <c r="F196" s="8"/>
      <c r="G196" s="28"/>
    </row>
    <row r="197" spans="1:7" s="4" customFormat="1" x14ac:dyDescent="0.2">
      <c r="A197" s="8"/>
      <c r="B197" s="2"/>
      <c r="C197" s="10"/>
      <c r="D197" s="10"/>
      <c r="E197" s="9"/>
      <c r="F197" s="8"/>
      <c r="G197" s="28"/>
    </row>
    <row r="198" spans="1:7" s="4" customFormat="1" x14ac:dyDescent="0.2">
      <c r="A198" s="8"/>
      <c r="B198" s="2"/>
      <c r="C198" s="10"/>
      <c r="D198" s="10"/>
      <c r="E198" s="9"/>
      <c r="F198" s="8"/>
      <c r="G198" s="28"/>
    </row>
    <row r="199" spans="1:7" s="4" customFormat="1" x14ac:dyDescent="0.2">
      <c r="A199" s="8"/>
      <c r="B199" s="2"/>
      <c r="C199" s="10"/>
      <c r="D199" s="10"/>
      <c r="E199" s="9"/>
      <c r="F199" s="8"/>
      <c r="G199" s="28"/>
    </row>
    <row r="200" spans="1:7" s="4" customFormat="1" x14ac:dyDescent="0.2">
      <c r="A200" s="8"/>
      <c r="B200" s="2"/>
      <c r="C200" s="10"/>
      <c r="D200" s="10"/>
      <c r="E200" s="9"/>
      <c r="F200" s="8"/>
      <c r="G200" s="28"/>
    </row>
    <row r="201" spans="1:7" s="4" customFormat="1" x14ac:dyDescent="0.2">
      <c r="A201" s="8"/>
      <c r="B201" s="2"/>
      <c r="C201" s="10"/>
      <c r="D201" s="10"/>
      <c r="E201" s="9"/>
      <c r="F201" s="8"/>
      <c r="G201" s="28"/>
    </row>
    <row r="202" spans="1:7" s="4" customFormat="1" x14ac:dyDescent="0.2">
      <c r="A202" s="8"/>
      <c r="B202" s="2"/>
      <c r="C202" s="10"/>
      <c r="D202" s="10"/>
      <c r="E202" s="9"/>
      <c r="F202" s="8"/>
      <c r="G202" s="28"/>
    </row>
  </sheetData>
  <mergeCells count="1">
    <mergeCell ref="D92:E92"/>
  </mergeCells>
  <conditionalFormatting sqref="H141:Q141">
    <cfRule type="cellIs" dxfId="1099" priority="51" stopIfTrue="1" operator="greaterThan">
      <formula>$E$141</formula>
    </cfRule>
    <cfRule type="cellIs" dxfId="1098" priority="52" stopIfTrue="1" operator="lessThanOrEqual">
      <formula>$E$141</formula>
    </cfRule>
  </conditionalFormatting>
  <conditionalFormatting sqref="H143:Q143">
    <cfRule type="cellIs" dxfId="1097" priority="49" stopIfTrue="1" operator="lessThanOrEqual">
      <formula>$E$143</formula>
    </cfRule>
    <cfRule type="cellIs" dxfId="1096" priority="50" stopIfTrue="1" operator="greaterThan">
      <formula>$E$143</formula>
    </cfRule>
  </conditionalFormatting>
  <conditionalFormatting sqref="H121:Q121">
    <cfRule type="cellIs" dxfId="1095" priority="47" operator="greaterThan">
      <formula>$E$121</formula>
    </cfRule>
    <cfRule type="cellIs" dxfId="1094" priority="48" operator="lessThanOrEqual">
      <formula>$E$121</formula>
    </cfRule>
  </conditionalFormatting>
  <conditionalFormatting sqref="H124:Q124">
    <cfRule type="cellIs" dxfId="1093" priority="45" stopIfTrue="1" operator="greaterThanOrEqual">
      <formula>$E$124</formula>
    </cfRule>
    <cfRule type="cellIs" dxfId="1092" priority="46" stopIfTrue="1" operator="lessThan">
      <formula>$E$124</formula>
    </cfRule>
  </conditionalFormatting>
  <conditionalFormatting sqref="H126:Q126">
    <cfRule type="cellIs" dxfId="1091" priority="43" stopIfTrue="1" operator="lessThan">
      <formula>$E$126</formula>
    </cfRule>
    <cfRule type="cellIs" dxfId="1090" priority="44" stopIfTrue="1" operator="greaterThanOrEqual">
      <formula>$E$126</formula>
    </cfRule>
  </conditionalFormatting>
  <conditionalFormatting sqref="H125:Q125">
    <cfRule type="cellIs" dxfId="1089" priority="41" stopIfTrue="1" operator="greaterThan">
      <formula>$E$125</formula>
    </cfRule>
    <cfRule type="cellIs" dxfId="1088" priority="42" stopIfTrue="1" operator="lessThanOrEqual">
      <formula>$E$125</formula>
    </cfRule>
  </conditionalFormatting>
  <conditionalFormatting sqref="H122:Q122">
    <cfRule type="cellIs" dxfId="1087" priority="30" stopIfTrue="1" operator="between">
      <formula>$D$122</formula>
      <formula>$E$122</formula>
    </cfRule>
    <cfRule type="cellIs" dxfId="1086" priority="39" stopIfTrue="1" operator="lessThanOrEqual">
      <formula>$D$122</formula>
    </cfRule>
    <cfRule type="cellIs" dxfId="1085" priority="40" stopIfTrue="1" operator="greaterThan">
      <formula>$E$122</formula>
    </cfRule>
  </conditionalFormatting>
  <conditionalFormatting sqref="H142:Q142">
    <cfRule type="cellIs" dxfId="1084" priority="37" stopIfTrue="1" operator="greaterThan">
      <formula>$E$142</formula>
    </cfRule>
    <cfRule type="cellIs" dxfId="1083" priority="38" stopIfTrue="1" operator="lessThanOrEqual">
      <formula>$E$142</formula>
    </cfRule>
  </conditionalFormatting>
  <conditionalFormatting sqref="H130:Q130">
    <cfRule type="cellIs" dxfId="1082" priority="35" stopIfTrue="1" operator="greaterThan">
      <formula>$E$130</formula>
    </cfRule>
    <cfRule type="cellIs" dxfId="1081" priority="36" stopIfTrue="1" operator="lessThanOrEqual">
      <formula>$E$130</formula>
    </cfRule>
  </conditionalFormatting>
  <conditionalFormatting sqref="H131:Q131">
    <cfRule type="cellIs" dxfId="1080" priority="33" stopIfTrue="1" operator="lessThan">
      <formula>$E$131</formula>
    </cfRule>
    <cfRule type="cellIs" dxfId="1079" priority="34" stopIfTrue="1" operator="greaterThanOrEqual">
      <formula>$E$131</formula>
    </cfRule>
  </conditionalFormatting>
  <conditionalFormatting sqref="H114:Q114">
    <cfRule type="cellIs" dxfId="1078" priority="53" stopIfTrue="1" operator="lessThan">
      <formula>$D$114</formula>
    </cfRule>
    <cfRule type="cellIs" dxfId="1077" priority="54" stopIfTrue="1" operator="between">
      <formula>$D$114</formula>
      <formula>$E$114</formula>
    </cfRule>
    <cfRule type="cellIs" dxfId="1076" priority="55" stopIfTrue="1" operator="greaterThan">
      <formula>$E$114</formula>
    </cfRule>
  </conditionalFormatting>
  <conditionalFormatting sqref="H138:Q138">
    <cfRule type="cellIs" dxfId="1075" priority="56" stopIfTrue="1" operator="lessThan">
      <formula>$E$138</formula>
    </cfRule>
    <cfRule type="cellIs" dxfId="1074" priority="57" stopIfTrue="1" operator="between">
      <formula>$D$138</formula>
      <formula>$E$138</formula>
    </cfRule>
    <cfRule type="cellIs" dxfId="1073" priority="58" stopIfTrue="1" operator="greaterThanOrEqual">
      <formula>$D$138</formula>
    </cfRule>
  </conditionalFormatting>
  <conditionalFormatting sqref="H111:Q111">
    <cfRule type="cellIs" dxfId="1072" priority="31" stopIfTrue="1" operator="lessThan">
      <formula>$E$111</formula>
    </cfRule>
    <cfRule type="cellIs" dxfId="1071" priority="32" stopIfTrue="1" operator="greaterThan">
      <formula>$E$111</formula>
    </cfRule>
  </conditionalFormatting>
  <conditionalFormatting sqref="R141:S141">
    <cfRule type="cellIs" dxfId="1070" priority="22" stopIfTrue="1" operator="greaterThan">
      <formula>$E$141</formula>
    </cfRule>
    <cfRule type="cellIs" dxfId="1069" priority="23" stopIfTrue="1" operator="lessThanOrEqual">
      <formula>$E$141</formula>
    </cfRule>
  </conditionalFormatting>
  <conditionalFormatting sqref="R143:S143">
    <cfRule type="cellIs" dxfId="1068" priority="20" stopIfTrue="1" operator="lessThanOrEqual">
      <formula>$E$143</formula>
    </cfRule>
    <cfRule type="cellIs" dxfId="1067" priority="21" stopIfTrue="1" operator="greaterThan">
      <formula>$E$143</formula>
    </cfRule>
  </conditionalFormatting>
  <conditionalFormatting sqref="R121:S121">
    <cfRule type="cellIs" dxfId="1066" priority="18" operator="greaterThan">
      <formula>$E$121</formula>
    </cfRule>
    <cfRule type="cellIs" dxfId="1065" priority="19" operator="lessThanOrEqual">
      <formula>$E$121</formula>
    </cfRule>
  </conditionalFormatting>
  <conditionalFormatting sqref="R124:S124">
    <cfRule type="cellIs" dxfId="1064" priority="16" stopIfTrue="1" operator="greaterThanOrEqual">
      <formula>$E$124</formula>
    </cfRule>
    <cfRule type="cellIs" dxfId="1063" priority="17" stopIfTrue="1" operator="lessThan">
      <formula>$E$124</formula>
    </cfRule>
  </conditionalFormatting>
  <conditionalFormatting sqref="R126:S126">
    <cfRule type="cellIs" dxfId="1062" priority="14" stopIfTrue="1" operator="lessThan">
      <formula>$E$126</formula>
    </cfRule>
    <cfRule type="cellIs" dxfId="1061" priority="15" stopIfTrue="1" operator="greaterThanOrEqual">
      <formula>$E$126</formula>
    </cfRule>
  </conditionalFormatting>
  <conditionalFormatting sqref="R125:S125">
    <cfRule type="cellIs" dxfId="1060" priority="12" stopIfTrue="1" operator="greaterThan">
      <formula>$E$125</formula>
    </cfRule>
    <cfRule type="cellIs" dxfId="1059" priority="13" stopIfTrue="1" operator="lessThanOrEqual">
      <formula>$E$125</formula>
    </cfRule>
  </conditionalFormatting>
  <conditionalFormatting sqref="R122:S122">
    <cfRule type="cellIs" dxfId="1058" priority="1" stopIfTrue="1" operator="between">
      <formula>$D$122</formula>
      <formula>$E$122</formula>
    </cfRule>
    <cfRule type="cellIs" dxfId="1057" priority="10" stopIfTrue="1" operator="lessThanOrEqual">
      <formula>$D$122</formula>
    </cfRule>
    <cfRule type="cellIs" dxfId="1056" priority="11" stopIfTrue="1" operator="greaterThan">
      <formula>$E$122</formula>
    </cfRule>
  </conditionalFormatting>
  <conditionalFormatting sqref="R142:S142">
    <cfRule type="cellIs" dxfId="1055" priority="8" stopIfTrue="1" operator="greaterThan">
      <formula>$E$142</formula>
    </cfRule>
    <cfRule type="cellIs" dxfId="1054" priority="9" stopIfTrue="1" operator="lessThanOrEqual">
      <formula>$E$142</formula>
    </cfRule>
  </conditionalFormatting>
  <conditionalFormatting sqref="R130:S130">
    <cfRule type="cellIs" dxfId="1053" priority="6" stopIfTrue="1" operator="greaterThan">
      <formula>$E$130</formula>
    </cfRule>
    <cfRule type="cellIs" dxfId="1052" priority="7" stopIfTrue="1" operator="lessThanOrEqual">
      <formula>$E$130</formula>
    </cfRule>
  </conditionalFormatting>
  <conditionalFormatting sqref="R131:S131">
    <cfRule type="cellIs" dxfId="1051" priority="4" stopIfTrue="1" operator="lessThan">
      <formula>$E$131</formula>
    </cfRule>
    <cfRule type="cellIs" dxfId="1050" priority="5" stopIfTrue="1" operator="greaterThanOrEqual">
      <formula>$E$131</formula>
    </cfRule>
  </conditionalFormatting>
  <conditionalFormatting sqref="R114:S114">
    <cfRule type="cellIs" dxfId="1049" priority="24" stopIfTrue="1" operator="lessThan">
      <formula>$D$114</formula>
    </cfRule>
    <cfRule type="cellIs" dxfId="1048" priority="25" stopIfTrue="1" operator="between">
      <formula>$D$114</formula>
      <formula>$E$114</formula>
    </cfRule>
    <cfRule type="cellIs" dxfId="1047" priority="26" stopIfTrue="1" operator="greaterThan">
      <formula>$E$114</formula>
    </cfRule>
  </conditionalFormatting>
  <conditionalFormatting sqref="R138:S138">
    <cfRule type="cellIs" dxfId="1046" priority="27" stopIfTrue="1" operator="lessThan">
      <formula>$E$138</formula>
    </cfRule>
    <cfRule type="cellIs" dxfId="1045" priority="28" stopIfTrue="1" operator="between">
      <formula>$D$138</formula>
      <formula>$E$138</formula>
    </cfRule>
    <cfRule type="cellIs" dxfId="1044" priority="29" stopIfTrue="1" operator="greaterThanOrEqual">
      <formula>$D$138</formula>
    </cfRule>
  </conditionalFormatting>
  <conditionalFormatting sqref="R111:S111">
    <cfRule type="cellIs" dxfId="1043" priority="2" stopIfTrue="1" operator="lessThan">
      <formula>$E$111</formula>
    </cfRule>
    <cfRule type="cellIs" dxfId="1042" priority="3" stopIfTrue="1" operator="greaterThan">
      <formula>$E$111</formula>
    </cfRule>
  </conditionalFormatting>
  <pageMargins left="0.7" right="0.7" top="0.75" bottom="0.75" header="0.3" footer="0.3"/>
  <pageSetup paperSize="9" fitToWidth="0" orientation="landscape" horizontalDpi="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8AE10C-7B7C-414D-B33B-5D8356B06F8C}">
  <dimension ref="A1:U202"/>
  <sheetViews>
    <sheetView workbookViewId="0">
      <selection activeCell="G2" sqref="G2"/>
    </sheetView>
  </sheetViews>
  <sheetFormatPr defaultRowHeight="11.25" outlineLevelCol="1" x14ac:dyDescent="0.2"/>
  <cols>
    <col min="1" max="1" width="6.5703125" style="47" customWidth="1"/>
    <col min="2" max="2" width="7" style="47" customWidth="1"/>
    <col min="3" max="3" width="9.140625" style="47"/>
    <col min="4" max="5" width="5.140625" style="47" bestFit="1" customWidth="1"/>
    <col min="6" max="6" width="2" style="8" bestFit="1" customWidth="1"/>
    <col min="7" max="7" width="29" style="47" customWidth="1"/>
    <col min="8" max="12" width="7.85546875" style="47" hidden="1" customWidth="1" outlineLevel="1"/>
    <col min="13" max="13" width="8.7109375" style="47" bestFit="1" customWidth="1" collapsed="1"/>
    <col min="14" max="14" width="9.85546875" style="47" customWidth="1"/>
    <col min="15" max="19" width="8.7109375" style="47" bestFit="1" customWidth="1"/>
    <col min="20" max="256" width="9.140625" style="47"/>
    <col min="257" max="257" width="6.5703125" style="47" customWidth="1"/>
    <col min="258" max="258" width="7" style="47" customWidth="1"/>
    <col min="259" max="259" width="9.140625" style="47"/>
    <col min="260" max="261" width="5.140625" style="47" bestFit="1" customWidth="1"/>
    <col min="262" max="262" width="2" style="47" bestFit="1" customWidth="1"/>
    <col min="263" max="263" width="29" style="47" customWidth="1"/>
    <col min="264" max="268" width="0" style="47" hidden="1" customWidth="1"/>
    <col min="269" max="269" width="8.7109375" style="47" bestFit="1" customWidth="1"/>
    <col min="270" max="270" width="9.85546875" style="47" customWidth="1"/>
    <col min="271" max="275" width="8.7109375" style="47" bestFit="1" customWidth="1"/>
    <col min="276" max="512" width="9.140625" style="47"/>
    <col min="513" max="513" width="6.5703125" style="47" customWidth="1"/>
    <col min="514" max="514" width="7" style="47" customWidth="1"/>
    <col min="515" max="515" width="9.140625" style="47"/>
    <col min="516" max="517" width="5.140625" style="47" bestFit="1" customWidth="1"/>
    <col min="518" max="518" width="2" style="47" bestFit="1" customWidth="1"/>
    <col min="519" max="519" width="29" style="47" customWidth="1"/>
    <col min="520" max="524" width="0" style="47" hidden="1" customWidth="1"/>
    <col min="525" max="525" width="8.7109375" style="47" bestFit="1" customWidth="1"/>
    <col min="526" max="526" width="9.85546875" style="47" customWidth="1"/>
    <col min="527" max="531" width="8.7109375" style="47" bestFit="1" customWidth="1"/>
    <col min="532" max="768" width="9.140625" style="47"/>
    <col min="769" max="769" width="6.5703125" style="47" customWidth="1"/>
    <col min="770" max="770" width="7" style="47" customWidth="1"/>
    <col min="771" max="771" width="9.140625" style="47"/>
    <col min="772" max="773" width="5.140625" style="47" bestFit="1" customWidth="1"/>
    <col min="774" max="774" width="2" style="47" bestFit="1" customWidth="1"/>
    <col min="775" max="775" width="29" style="47" customWidth="1"/>
    <col min="776" max="780" width="0" style="47" hidden="1" customWidth="1"/>
    <col min="781" max="781" width="8.7109375" style="47" bestFit="1" customWidth="1"/>
    <col min="782" max="782" width="9.85546875" style="47" customWidth="1"/>
    <col min="783" max="787" width="8.7109375" style="47" bestFit="1" customWidth="1"/>
    <col min="788" max="1024" width="9.140625" style="47"/>
    <col min="1025" max="1025" width="6.5703125" style="47" customWidth="1"/>
    <col min="1026" max="1026" width="7" style="47" customWidth="1"/>
    <col min="1027" max="1027" width="9.140625" style="47"/>
    <col min="1028" max="1029" width="5.140625" style="47" bestFit="1" customWidth="1"/>
    <col min="1030" max="1030" width="2" style="47" bestFit="1" customWidth="1"/>
    <col min="1031" max="1031" width="29" style="47" customWidth="1"/>
    <col min="1032" max="1036" width="0" style="47" hidden="1" customWidth="1"/>
    <col min="1037" max="1037" width="8.7109375" style="47" bestFit="1" customWidth="1"/>
    <col min="1038" max="1038" width="9.85546875" style="47" customWidth="1"/>
    <col min="1039" max="1043" width="8.7109375" style="47" bestFit="1" customWidth="1"/>
    <col min="1044" max="1280" width="9.140625" style="47"/>
    <col min="1281" max="1281" width="6.5703125" style="47" customWidth="1"/>
    <col min="1282" max="1282" width="7" style="47" customWidth="1"/>
    <col min="1283" max="1283" width="9.140625" style="47"/>
    <col min="1284" max="1285" width="5.140625" style="47" bestFit="1" customWidth="1"/>
    <col min="1286" max="1286" width="2" style="47" bestFit="1" customWidth="1"/>
    <col min="1287" max="1287" width="29" style="47" customWidth="1"/>
    <col min="1288" max="1292" width="0" style="47" hidden="1" customWidth="1"/>
    <col min="1293" max="1293" width="8.7109375" style="47" bestFit="1" customWidth="1"/>
    <col min="1294" max="1294" width="9.85546875" style="47" customWidth="1"/>
    <col min="1295" max="1299" width="8.7109375" style="47" bestFit="1" customWidth="1"/>
    <col min="1300" max="1536" width="9.140625" style="47"/>
    <col min="1537" max="1537" width="6.5703125" style="47" customWidth="1"/>
    <col min="1538" max="1538" width="7" style="47" customWidth="1"/>
    <col min="1539" max="1539" width="9.140625" style="47"/>
    <col min="1540" max="1541" width="5.140625" style="47" bestFit="1" customWidth="1"/>
    <col min="1542" max="1542" width="2" style="47" bestFit="1" customWidth="1"/>
    <col min="1543" max="1543" width="29" style="47" customWidth="1"/>
    <col min="1544" max="1548" width="0" style="47" hidden="1" customWidth="1"/>
    <col min="1549" max="1549" width="8.7109375" style="47" bestFit="1" customWidth="1"/>
    <col min="1550" max="1550" width="9.85546875" style="47" customWidth="1"/>
    <col min="1551" max="1555" width="8.7109375" style="47" bestFit="1" customWidth="1"/>
    <col min="1556" max="1792" width="9.140625" style="47"/>
    <col min="1793" max="1793" width="6.5703125" style="47" customWidth="1"/>
    <col min="1794" max="1794" width="7" style="47" customWidth="1"/>
    <col min="1795" max="1795" width="9.140625" style="47"/>
    <col min="1796" max="1797" width="5.140625" style="47" bestFit="1" customWidth="1"/>
    <col min="1798" max="1798" width="2" style="47" bestFit="1" customWidth="1"/>
    <col min="1799" max="1799" width="29" style="47" customWidth="1"/>
    <col min="1800" max="1804" width="0" style="47" hidden="1" customWidth="1"/>
    <col min="1805" max="1805" width="8.7109375" style="47" bestFit="1" customWidth="1"/>
    <col min="1806" max="1806" width="9.85546875" style="47" customWidth="1"/>
    <col min="1807" max="1811" width="8.7109375" style="47" bestFit="1" customWidth="1"/>
    <col min="1812" max="2048" width="9.140625" style="47"/>
    <col min="2049" max="2049" width="6.5703125" style="47" customWidth="1"/>
    <col min="2050" max="2050" width="7" style="47" customWidth="1"/>
    <col min="2051" max="2051" width="9.140625" style="47"/>
    <col min="2052" max="2053" width="5.140625" style="47" bestFit="1" customWidth="1"/>
    <col min="2054" max="2054" width="2" style="47" bestFit="1" customWidth="1"/>
    <col min="2055" max="2055" width="29" style="47" customWidth="1"/>
    <col min="2056" max="2060" width="0" style="47" hidden="1" customWidth="1"/>
    <col min="2061" max="2061" width="8.7109375" style="47" bestFit="1" customWidth="1"/>
    <col min="2062" max="2062" width="9.85546875" style="47" customWidth="1"/>
    <col min="2063" max="2067" width="8.7109375" style="47" bestFit="1" customWidth="1"/>
    <col min="2068" max="2304" width="9.140625" style="47"/>
    <col min="2305" max="2305" width="6.5703125" style="47" customWidth="1"/>
    <col min="2306" max="2306" width="7" style="47" customWidth="1"/>
    <col min="2307" max="2307" width="9.140625" style="47"/>
    <col min="2308" max="2309" width="5.140625" style="47" bestFit="1" customWidth="1"/>
    <col min="2310" max="2310" width="2" style="47" bestFit="1" customWidth="1"/>
    <col min="2311" max="2311" width="29" style="47" customWidth="1"/>
    <col min="2312" max="2316" width="0" style="47" hidden="1" customWidth="1"/>
    <col min="2317" max="2317" width="8.7109375" style="47" bestFit="1" customWidth="1"/>
    <col min="2318" max="2318" width="9.85546875" style="47" customWidth="1"/>
    <col min="2319" max="2323" width="8.7109375" style="47" bestFit="1" customWidth="1"/>
    <col min="2324" max="2560" width="9.140625" style="47"/>
    <col min="2561" max="2561" width="6.5703125" style="47" customWidth="1"/>
    <col min="2562" max="2562" width="7" style="47" customWidth="1"/>
    <col min="2563" max="2563" width="9.140625" style="47"/>
    <col min="2564" max="2565" width="5.140625" style="47" bestFit="1" customWidth="1"/>
    <col min="2566" max="2566" width="2" style="47" bestFit="1" customWidth="1"/>
    <col min="2567" max="2567" width="29" style="47" customWidth="1"/>
    <col min="2568" max="2572" width="0" style="47" hidden="1" customWidth="1"/>
    <col min="2573" max="2573" width="8.7109375" style="47" bestFit="1" customWidth="1"/>
    <col min="2574" max="2574" width="9.85546875" style="47" customWidth="1"/>
    <col min="2575" max="2579" width="8.7109375" style="47" bestFit="1" customWidth="1"/>
    <col min="2580" max="2816" width="9.140625" style="47"/>
    <col min="2817" max="2817" width="6.5703125" style="47" customWidth="1"/>
    <col min="2818" max="2818" width="7" style="47" customWidth="1"/>
    <col min="2819" max="2819" width="9.140625" style="47"/>
    <col min="2820" max="2821" width="5.140625" style="47" bestFit="1" customWidth="1"/>
    <col min="2822" max="2822" width="2" style="47" bestFit="1" customWidth="1"/>
    <col min="2823" max="2823" width="29" style="47" customWidth="1"/>
    <col min="2824" max="2828" width="0" style="47" hidden="1" customWidth="1"/>
    <col min="2829" max="2829" width="8.7109375" style="47" bestFit="1" customWidth="1"/>
    <col min="2830" max="2830" width="9.85546875" style="47" customWidth="1"/>
    <col min="2831" max="2835" width="8.7109375" style="47" bestFit="1" customWidth="1"/>
    <col min="2836" max="3072" width="9.140625" style="47"/>
    <col min="3073" max="3073" width="6.5703125" style="47" customWidth="1"/>
    <col min="3074" max="3074" width="7" style="47" customWidth="1"/>
    <col min="3075" max="3075" width="9.140625" style="47"/>
    <col min="3076" max="3077" width="5.140625" style="47" bestFit="1" customWidth="1"/>
    <col min="3078" max="3078" width="2" style="47" bestFit="1" customWidth="1"/>
    <col min="3079" max="3079" width="29" style="47" customWidth="1"/>
    <col min="3080" max="3084" width="0" style="47" hidden="1" customWidth="1"/>
    <col min="3085" max="3085" width="8.7109375" style="47" bestFit="1" customWidth="1"/>
    <col min="3086" max="3086" width="9.85546875" style="47" customWidth="1"/>
    <col min="3087" max="3091" width="8.7109375" style="47" bestFit="1" customWidth="1"/>
    <col min="3092" max="3328" width="9.140625" style="47"/>
    <col min="3329" max="3329" width="6.5703125" style="47" customWidth="1"/>
    <col min="3330" max="3330" width="7" style="47" customWidth="1"/>
    <col min="3331" max="3331" width="9.140625" style="47"/>
    <col min="3332" max="3333" width="5.140625" style="47" bestFit="1" customWidth="1"/>
    <col min="3334" max="3334" width="2" style="47" bestFit="1" customWidth="1"/>
    <col min="3335" max="3335" width="29" style="47" customWidth="1"/>
    <col min="3336" max="3340" width="0" style="47" hidden="1" customWidth="1"/>
    <col min="3341" max="3341" width="8.7109375" style="47" bestFit="1" customWidth="1"/>
    <col min="3342" max="3342" width="9.85546875" style="47" customWidth="1"/>
    <col min="3343" max="3347" width="8.7109375" style="47" bestFit="1" customWidth="1"/>
    <col min="3348" max="3584" width="9.140625" style="47"/>
    <col min="3585" max="3585" width="6.5703125" style="47" customWidth="1"/>
    <col min="3586" max="3586" width="7" style="47" customWidth="1"/>
    <col min="3587" max="3587" width="9.140625" style="47"/>
    <col min="3588" max="3589" width="5.140625" style="47" bestFit="1" customWidth="1"/>
    <col min="3590" max="3590" width="2" style="47" bestFit="1" customWidth="1"/>
    <col min="3591" max="3591" width="29" style="47" customWidth="1"/>
    <col min="3592" max="3596" width="0" style="47" hidden="1" customWidth="1"/>
    <col min="3597" max="3597" width="8.7109375" style="47" bestFit="1" customWidth="1"/>
    <col min="3598" max="3598" width="9.85546875" style="47" customWidth="1"/>
    <col min="3599" max="3603" width="8.7109375" style="47" bestFit="1" customWidth="1"/>
    <col min="3604" max="3840" width="9.140625" style="47"/>
    <col min="3841" max="3841" width="6.5703125" style="47" customWidth="1"/>
    <col min="3842" max="3842" width="7" style="47" customWidth="1"/>
    <col min="3843" max="3843" width="9.140625" style="47"/>
    <col min="3844" max="3845" width="5.140625" style="47" bestFit="1" customWidth="1"/>
    <col min="3846" max="3846" width="2" style="47" bestFit="1" customWidth="1"/>
    <col min="3847" max="3847" width="29" style="47" customWidth="1"/>
    <col min="3848" max="3852" width="0" style="47" hidden="1" customWidth="1"/>
    <col min="3853" max="3853" width="8.7109375" style="47" bestFit="1" customWidth="1"/>
    <col min="3854" max="3854" width="9.85546875" style="47" customWidth="1"/>
    <col min="3855" max="3859" width="8.7109375" style="47" bestFit="1" customWidth="1"/>
    <col min="3860" max="4096" width="9.140625" style="47"/>
    <col min="4097" max="4097" width="6.5703125" style="47" customWidth="1"/>
    <col min="4098" max="4098" width="7" style="47" customWidth="1"/>
    <col min="4099" max="4099" width="9.140625" style="47"/>
    <col min="4100" max="4101" width="5.140625" style="47" bestFit="1" customWidth="1"/>
    <col min="4102" max="4102" width="2" style="47" bestFit="1" customWidth="1"/>
    <col min="4103" max="4103" width="29" style="47" customWidth="1"/>
    <col min="4104" max="4108" width="0" style="47" hidden="1" customWidth="1"/>
    <col min="4109" max="4109" width="8.7109375" style="47" bestFit="1" customWidth="1"/>
    <col min="4110" max="4110" width="9.85546875" style="47" customWidth="1"/>
    <col min="4111" max="4115" width="8.7109375" style="47" bestFit="1" customWidth="1"/>
    <col min="4116" max="4352" width="9.140625" style="47"/>
    <col min="4353" max="4353" width="6.5703125" style="47" customWidth="1"/>
    <col min="4354" max="4354" width="7" style="47" customWidth="1"/>
    <col min="4355" max="4355" width="9.140625" style="47"/>
    <col min="4356" max="4357" width="5.140625" style="47" bestFit="1" customWidth="1"/>
    <col min="4358" max="4358" width="2" style="47" bestFit="1" customWidth="1"/>
    <col min="4359" max="4359" width="29" style="47" customWidth="1"/>
    <col min="4360" max="4364" width="0" style="47" hidden="1" customWidth="1"/>
    <col min="4365" max="4365" width="8.7109375" style="47" bestFit="1" customWidth="1"/>
    <col min="4366" max="4366" width="9.85546875" style="47" customWidth="1"/>
    <col min="4367" max="4371" width="8.7109375" style="47" bestFit="1" customWidth="1"/>
    <col min="4372" max="4608" width="9.140625" style="47"/>
    <col min="4609" max="4609" width="6.5703125" style="47" customWidth="1"/>
    <col min="4610" max="4610" width="7" style="47" customWidth="1"/>
    <col min="4611" max="4611" width="9.140625" style="47"/>
    <col min="4612" max="4613" width="5.140625" style="47" bestFit="1" customWidth="1"/>
    <col min="4614" max="4614" width="2" style="47" bestFit="1" customWidth="1"/>
    <col min="4615" max="4615" width="29" style="47" customWidth="1"/>
    <col min="4616" max="4620" width="0" style="47" hidden="1" customWidth="1"/>
    <col min="4621" max="4621" width="8.7109375" style="47" bestFit="1" customWidth="1"/>
    <col min="4622" max="4622" width="9.85546875" style="47" customWidth="1"/>
    <col min="4623" max="4627" width="8.7109375" style="47" bestFit="1" customWidth="1"/>
    <col min="4628" max="4864" width="9.140625" style="47"/>
    <col min="4865" max="4865" width="6.5703125" style="47" customWidth="1"/>
    <col min="4866" max="4866" width="7" style="47" customWidth="1"/>
    <col min="4867" max="4867" width="9.140625" style="47"/>
    <col min="4868" max="4869" width="5.140625" style="47" bestFit="1" customWidth="1"/>
    <col min="4870" max="4870" width="2" style="47" bestFit="1" customWidth="1"/>
    <col min="4871" max="4871" width="29" style="47" customWidth="1"/>
    <col min="4872" max="4876" width="0" style="47" hidden="1" customWidth="1"/>
    <col min="4877" max="4877" width="8.7109375" style="47" bestFit="1" customWidth="1"/>
    <col min="4878" max="4878" width="9.85546875" style="47" customWidth="1"/>
    <col min="4879" max="4883" width="8.7109375" style="47" bestFit="1" customWidth="1"/>
    <col min="4884" max="5120" width="9.140625" style="47"/>
    <col min="5121" max="5121" width="6.5703125" style="47" customWidth="1"/>
    <col min="5122" max="5122" width="7" style="47" customWidth="1"/>
    <col min="5123" max="5123" width="9.140625" style="47"/>
    <col min="5124" max="5125" width="5.140625" style="47" bestFit="1" customWidth="1"/>
    <col min="5126" max="5126" width="2" style="47" bestFit="1" customWidth="1"/>
    <col min="5127" max="5127" width="29" style="47" customWidth="1"/>
    <col min="5128" max="5132" width="0" style="47" hidden="1" customWidth="1"/>
    <col min="5133" max="5133" width="8.7109375" style="47" bestFit="1" customWidth="1"/>
    <col min="5134" max="5134" width="9.85546875" style="47" customWidth="1"/>
    <col min="5135" max="5139" width="8.7109375" style="47" bestFit="1" customWidth="1"/>
    <col min="5140" max="5376" width="9.140625" style="47"/>
    <col min="5377" max="5377" width="6.5703125" style="47" customWidth="1"/>
    <col min="5378" max="5378" width="7" style="47" customWidth="1"/>
    <col min="5379" max="5379" width="9.140625" style="47"/>
    <col min="5380" max="5381" width="5.140625" style="47" bestFit="1" customWidth="1"/>
    <col min="5382" max="5382" width="2" style="47" bestFit="1" customWidth="1"/>
    <col min="5383" max="5383" width="29" style="47" customWidth="1"/>
    <col min="5384" max="5388" width="0" style="47" hidden="1" customWidth="1"/>
    <col min="5389" max="5389" width="8.7109375" style="47" bestFit="1" customWidth="1"/>
    <col min="5390" max="5390" width="9.85546875" style="47" customWidth="1"/>
    <col min="5391" max="5395" width="8.7109375" style="47" bestFit="1" customWidth="1"/>
    <col min="5396" max="5632" width="9.140625" style="47"/>
    <col min="5633" max="5633" width="6.5703125" style="47" customWidth="1"/>
    <col min="5634" max="5634" width="7" style="47" customWidth="1"/>
    <col min="5635" max="5635" width="9.140625" style="47"/>
    <col min="5636" max="5637" width="5.140625" style="47" bestFit="1" customWidth="1"/>
    <col min="5638" max="5638" width="2" style="47" bestFit="1" customWidth="1"/>
    <col min="5639" max="5639" width="29" style="47" customWidth="1"/>
    <col min="5640" max="5644" width="0" style="47" hidden="1" customWidth="1"/>
    <col min="5645" max="5645" width="8.7109375" style="47" bestFit="1" customWidth="1"/>
    <col min="5646" max="5646" width="9.85546875" style="47" customWidth="1"/>
    <col min="5647" max="5651" width="8.7109375" style="47" bestFit="1" customWidth="1"/>
    <col min="5652" max="5888" width="9.140625" style="47"/>
    <col min="5889" max="5889" width="6.5703125" style="47" customWidth="1"/>
    <col min="5890" max="5890" width="7" style="47" customWidth="1"/>
    <col min="5891" max="5891" width="9.140625" style="47"/>
    <col min="5892" max="5893" width="5.140625" style="47" bestFit="1" customWidth="1"/>
    <col min="5894" max="5894" width="2" style="47" bestFit="1" customWidth="1"/>
    <col min="5895" max="5895" width="29" style="47" customWidth="1"/>
    <col min="5896" max="5900" width="0" style="47" hidden="1" customWidth="1"/>
    <col min="5901" max="5901" width="8.7109375" style="47" bestFit="1" customWidth="1"/>
    <col min="5902" max="5902" width="9.85546875" style="47" customWidth="1"/>
    <col min="5903" max="5907" width="8.7109375" style="47" bestFit="1" customWidth="1"/>
    <col min="5908" max="6144" width="9.140625" style="47"/>
    <col min="6145" max="6145" width="6.5703125" style="47" customWidth="1"/>
    <col min="6146" max="6146" width="7" style="47" customWidth="1"/>
    <col min="6147" max="6147" width="9.140625" style="47"/>
    <col min="6148" max="6149" width="5.140625" style="47" bestFit="1" customWidth="1"/>
    <col min="6150" max="6150" width="2" style="47" bestFit="1" customWidth="1"/>
    <col min="6151" max="6151" width="29" style="47" customWidth="1"/>
    <col min="6152" max="6156" width="0" style="47" hidden="1" customWidth="1"/>
    <col min="6157" max="6157" width="8.7109375" style="47" bestFit="1" customWidth="1"/>
    <col min="6158" max="6158" width="9.85546875" style="47" customWidth="1"/>
    <col min="6159" max="6163" width="8.7109375" style="47" bestFit="1" customWidth="1"/>
    <col min="6164" max="6400" width="9.140625" style="47"/>
    <col min="6401" max="6401" width="6.5703125" style="47" customWidth="1"/>
    <col min="6402" max="6402" width="7" style="47" customWidth="1"/>
    <col min="6403" max="6403" width="9.140625" style="47"/>
    <col min="6404" max="6405" width="5.140625" style="47" bestFit="1" customWidth="1"/>
    <col min="6406" max="6406" width="2" style="47" bestFit="1" customWidth="1"/>
    <col min="6407" max="6407" width="29" style="47" customWidth="1"/>
    <col min="6408" max="6412" width="0" style="47" hidden="1" customWidth="1"/>
    <col min="6413" max="6413" width="8.7109375" style="47" bestFit="1" customWidth="1"/>
    <col min="6414" max="6414" width="9.85546875" style="47" customWidth="1"/>
    <col min="6415" max="6419" width="8.7109375" style="47" bestFit="1" customWidth="1"/>
    <col min="6420" max="6656" width="9.140625" style="47"/>
    <col min="6657" max="6657" width="6.5703125" style="47" customWidth="1"/>
    <col min="6658" max="6658" width="7" style="47" customWidth="1"/>
    <col min="6659" max="6659" width="9.140625" style="47"/>
    <col min="6660" max="6661" width="5.140625" style="47" bestFit="1" customWidth="1"/>
    <col min="6662" max="6662" width="2" style="47" bestFit="1" customWidth="1"/>
    <col min="6663" max="6663" width="29" style="47" customWidth="1"/>
    <col min="6664" max="6668" width="0" style="47" hidden="1" customWidth="1"/>
    <col min="6669" max="6669" width="8.7109375" style="47" bestFit="1" customWidth="1"/>
    <col min="6670" max="6670" width="9.85546875" style="47" customWidth="1"/>
    <col min="6671" max="6675" width="8.7109375" style="47" bestFit="1" customWidth="1"/>
    <col min="6676" max="6912" width="9.140625" style="47"/>
    <col min="6913" max="6913" width="6.5703125" style="47" customWidth="1"/>
    <col min="6914" max="6914" width="7" style="47" customWidth="1"/>
    <col min="6915" max="6915" width="9.140625" style="47"/>
    <col min="6916" max="6917" width="5.140625" style="47" bestFit="1" customWidth="1"/>
    <col min="6918" max="6918" width="2" style="47" bestFit="1" customWidth="1"/>
    <col min="6919" max="6919" width="29" style="47" customWidth="1"/>
    <col min="6920" max="6924" width="0" style="47" hidden="1" customWidth="1"/>
    <col min="6925" max="6925" width="8.7109375" style="47" bestFit="1" customWidth="1"/>
    <col min="6926" max="6926" width="9.85546875" style="47" customWidth="1"/>
    <col min="6927" max="6931" width="8.7109375" style="47" bestFit="1" customWidth="1"/>
    <col min="6932" max="7168" width="9.140625" style="47"/>
    <col min="7169" max="7169" width="6.5703125" style="47" customWidth="1"/>
    <col min="7170" max="7170" width="7" style="47" customWidth="1"/>
    <col min="7171" max="7171" width="9.140625" style="47"/>
    <col min="7172" max="7173" width="5.140625" style="47" bestFit="1" customWidth="1"/>
    <col min="7174" max="7174" width="2" style="47" bestFit="1" customWidth="1"/>
    <col min="7175" max="7175" width="29" style="47" customWidth="1"/>
    <col min="7176" max="7180" width="0" style="47" hidden="1" customWidth="1"/>
    <col min="7181" max="7181" width="8.7109375" style="47" bestFit="1" customWidth="1"/>
    <col min="7182" max="7182" width="9.85546875" style="47" customWidth="1"/>
    <col min="7183" max="7187" width="8.7109375" style="47" bestFit="1" customWidth="1"/>
    <col min="7188" max="7424" width="9.140625" style="47"/>
    <col min="7425" max="7425" width="6.5703125" style="47" customWidth="1"/>
    <col min="7426" max="7426" width="7" style="47" customWidth="1"/>
    <col min="7427" max="7427" width="9.140625" style="47"/>
    <col min="7428" max="7429" width="5.140625" style="47" bestFit="1" customWidth="1"/>
    <col min="7430" max="7430" width="2" style="47" bestFit="1" customWidth="1"/>
    <col min="7431" max="7431" width="29" style="47" customWidth="1"/>
    <col min="7432" max="7436" width="0" style="47" hidden="1" customWidth="1"/>
    <col min="7437" max="7437" width="8.7109375" style="47" bestFit="1" customWidth="1"/>
    <col min="7438" max="7438" width="9.85546875" style="47" customWidth="1"/>
    <col min="7439" max="7443" width="8.7109375" style="47" bestFit="1" customWidth="1"/>
    <col min="7444" max="7680" width="9.140625" style="47"/>
    <col min="7681" max="7681" width="6.5703125" style="47" customWidth="1"/>
    <col min="7682" max="7682" width="7" style="47" customWidth="1"/>
    <col min="7683" max="7683" width="9.140625" style="47"/>
    <col min="7684" max="7685" width="5.140625" style="47" bestFit="1" customWidth="1"/>
    <col min="7686" max="7686" width="2" style="47" bestFit="1" customWidth="1"/>
    <col min="7687" max="7687" width="29" style="47" customWidth="1"/>
    <col min="7688" max="7692" width="0" style="47" hidden="1" customWidth="1"/>
    <col min="7693" max="7693" width="8.7109375" style="47" bestFit="1" customWidth="1"/>
    <col min="7694" max="7694" width="9.85546875" style="47" customWidth="1"/>
    <col min="7695" max="7699" width="8.7109375" style="47" bestFit="1" customWidth="1"/>
    <col min="7700" max="7936" width="9.140625" style="47"/>
    <col min="7937" max="7937" width="6.5703125" style="47" customWidth="1"/>
    <col min="7938" max="7938" width="7" style="47" customWidth="1"/>
    <col min="7939" max="7939" width="9.140625" style="47"/>
    <col min="7940" max="7941" width="5.140625" style="47" bestFit="1" customWidth="1"/>
    <col min="7942" max="7942" width="2" style="47" bestFit="1" customWidth="1"/>
    <col min="7943" max="7943" width="29" style="47" customWidth="1"/>
    <col min="7944" max="7948" width="0" style="47" hidden="1" customWidth="1"/>
    <col min="7949" max="7949" width="8.7109375" style="47" bestFit="1" customWidth="1"/>
    <col min="7950" max="7950" width="9.85546875" style="47" customWidth="1"/>
    <col min="7951" max="7955" width="8.7109375" style="47" bestFit="1" customWidth="1"/>
    <col min="7956" max="8192" width="9.140625" style="47"/>
    <col min="8193" max="8193" width="6.5703125" style="47" customWidth="1"/>
    <col min="8194" max="8194" width="7" style="47" customWidth="1"/>
    <col min="8195" max="8195" width="9.140625" style="47"/>
    <col min="8196" max="8197" width="5.140625" style="47" bestFit="1" customWidth="1"/>
    <col min="8198" max="8198" width="2" style="47" bestFit="1" customWidth="1"/>
    <col min="8199" max="8199" width="29" style="47" customWidth="1"/>
    <col min="8200" max="8204" width="0" style="47" hidden="1" customWidth="1"/>
    <col min="8205" max="8205" width="8.7109375" style="47" bestFit="1" customWidth="1"/>
    <col min="8206" max="8206" width="9.85546875" style="47" customWidth="1"/>
    <col min="8207" max="8211" width="8.7109375" style="47" bestFit="1" customWidth="1"/>
    <col min="8212" max="8448" width="9.140625" style="47"/>
    <col min="8449" max="8449" width="6.5703125" style="47" customWidth="1"/>
    <col min="8450" max="8450" width="7" style="47" customWidth="1"/>
    <col min="8451" max="8451" width="9.140625" style="47"/>
    <col min="8452" max="8453" width="5.140625" style="47" bestFit="1" customWidth="1"/>
    <col min="8454" max="8454" width="2" style="47" bestFit="1" customWidth="1"/>
    <col min="8455" max="8455" width="29" style="47" customWidth="1"/>
    <col min="8456" max="8460" width="0" style="47" hidden="1" customWidth="1"/>
    <col min="8461" max="8461" width="8.7109375" style="47" bestFit="1" customWidth="1"/>
    <col min="8462" max="8462" width="9.85546875" style="47" customWidth="1"/>
    <col min="8463" max="8467" width="8.7109375" style="47" bestFit="1" customWidth="1"/>
    <col min="8468" max="8704" width="9.140625" style="47"/>
    <col min="8705" max="8705" width="6.5703125" style="47" customWidth="1"/>
    <col min="8706" max="8706" width="7" style="47" customWidth="1"/>
    <col min="8707" max="8707" width="9.140625" style="47"/>
    <col min="8708" max="8709" width="5.140625" style="47" bestFit="1" customWidth="1"/>
    <col min="8710" max="8710" width="2" style="47" bestFit="1" customWidth="1"/>
    <col min="8711" max="8711" width="29" style="47" customWidth="1"/>
    <col min="8712" max="8716" width="0" style="47" hidden="1" customWidth="1"/>
    <col min="8717" max="8717" width="8.7109375" style="47" bestFit="1" customWidth="1"/>
    <col min="8718" max="8718" width="9.85546875" style="47" customWidth="1"/>
    <col min="8719" max="8723" width="8.7109375" style="47" bestFit="1" customWidth="1"/>
    <col min="8724" max="8960" width="9.140625" style="47"/>
    <col min="8961" max="8961" width="6.5703125" style="47" customWidth="1"/>
    <col min="8962" max="8962" width="7" style="47" customWidth="1"/>
    <col min="8963" max="8963" width="9.140625" style="47"/>
    <col min="8964" max="8965" width="5.140625" style="47" bestFit="1" customWidth="1"/>
    <col min="8966" max="8966" width="2" style="47" bestFit="1" customWidth="1"/>
    <col min="8967" max="8967" width="29" style="47" customWidth="1"/>
    <col min="8968" max="8972" width="0" style="47" hidden="1" customWidth="1"/>
    <col min="8973" max="8973" width="8.7109375" style="47" bestFit="1" customWidth="1"/>
    <col min="8974" max="8974" width="9.85546875" style="47" customWidth="1"/>
    <col min="8975" max="8979" width="8.7109375" style="47" bestFit="1" customWidth="1"/>
    <col min="8980" max="9216" width="9.140625" style="47"/>
    <col min="9217" max="9217" width="6.5703125" style="47" customWidth="1"/>
    <col min="9218" max="9218" width="7" style="47" customWidth="1"/>
    <col min="9219" max="9219" width="9.140625" style="47"/>
    <col min="9220" max="9221" width="5.140625" style="47" bestFit="1" customWidth="1"/>
    <col min="9222" max="9222" width="2" style="47" bestFit="1" customWidth="1"/>
    <col min="9223" max="9223" width="29" style="47" customWidth="1"/>
    <col min="9224" max="9228" width="0" style="47" hidden="1" customWidth="1"/>
    <col min="9229" max="9229" width="8.7109375" style="47" bestFit="1" customWidth="1"/>
    <col min="9230" max="9230" width="9.85546875" style="47" customWidth="1"/>
    <col min="9231" max="9235" width="8.7109375" style="47" bestFit="1" customWidth="1"/>
    <col min="9236" max="9472" width="9.140625" style="47"/>
    <col min="9473" max="9473" width="6.5703125" style="47" customWidth="1"/>
    <col min="9474" max="9474" width="7" style="47" customWidth="1"/>
    <col min="9475" max="9475" width="9.140625" style="47"/>
    <col min="9476" max="9477" width="5.140625" style="47" bestFit="1" customWidth="1"/>
    <col min="9478" max="9478" width="2" style="47" bestFit="1" customWidth="1"/>
    <col min="9479" max="9479" width="29" style="47" customWidth="1"/>
    <col min="9480" max="9484" width="0" style="47" hidden="1" customWidth="1"/>
    <col min="9485" max="9485" width="8.7109375" style="47" bestFit="1" customWidth="1"/>
    <col min="9486" max="9486" width="9.85546875" style="47" customWidth="1"/>
    <col min="9487" max="9491" width="8.7109375" style="47" bestFit="1" customWidth="1"/>
    <col min="9492" max="9728" width="9.140625" style="47"/>
    <col min="9729" max="9729" width="6.5703125" style="47" customWidth="1"/>
    <col min="9730" max="9730" width="7" style="47" customWidth="1"/>
    <col min="9731" max="9731" width="9.140625" style="47"/>
    <col min="9732" max="9733" width="5.140625" style="47" bestFit="1" customWidth="1"/>
    <col min="9734" max="9734" width="2" style="47" bestFit="1" customWidth="1"/>
    <col min="9735" max="9735" width="29" style="47" customWidth="1"/>
    <col min="9736" max="9740" width="0" style="47" hidden="1" customWidth="1"/>
    <col min="9741" max="9741" width="8.7109375" style="47" bestFit="1" customWidth="1"/>
    <col min="9742" max="9742" width="9.85546875" style="47" customWidth="1"/>
    <col min="9743" max="9747" width="8.7109375" style="47" bestFit="1" customWidth="1"/>
    <col min="9748" max="9984" width="9.140625" style="47"/>
    <col min="9985" max="9985" width="6.5703125" style="47" customWidth="1"/>
    <col min="9986" max="9986" width="7" style="47" customWidth="1"/>
    <col min="9987" max="9987" width="9.140625" style="47"/>
    <col min="9988" max="9989" width="5.140625" style="47" bestFit="1" customWidth="1"/>
    <col min="9990" max="9990" width="2" style="47" bestFit="1" customWidth="1"/>
    <col min="9991" max="9991" width="29" style="47" customWidth="1"/>
    <col min="9992" max="9996" width="0" style="47" hidden="1" customWidth="1"/>
    <col min="9997" max="9997" width="8.7109375" style="47" bestFit="1" customWidth="1"/>
    <col min="9998" max="9998" width="9.85546875" style="47" customWidth="1"/>
    <col min="9999" max="10003" width="8.7109375" style="47" bestFit="1" customWidth="1"/>
    <col min="10004" max="10240" width="9.140625" style="47"/>
    <col min="10241" max="10241" width="6.5703125" style="47" customWidth="1"/>
    <col min="10242" max="10242" width="7" style="47" customWidth="1"/>
    <col min="10243" max="10243" width="9.140625" style="47"/>
    <col min="10244" max="10245" width="5.140625" style="47" bestFit="1" customWidth="1"/>
    <col min="10246" max="10246" width="2" style="47" bestFit="1" customWidth="1"/>
    <col min="10247" max="10247" width="29" style="47" customWidth="1"/>
    <col min="10248" max="10252" width="0" style="47" hidden="1" customWidth="1"/>
    <col min="10253" max="10253" width="8.7109375" style="47" bestFit="1" customWidth="1"/>
    <col min="10254" max="10254" width="9.85546875" style="47" customWidth="1"/>
    <col min="10255" max="10259" width="8.7109375" style="47" bestFit="1" customWidth="1"/>
    <col min="10260" max="10496" width="9.140625" style="47"/>
    <col min="10497" max="10497" width="6.5703125" style="47" customWidth="1"/>
    <col min="10498" max="10498" width="7" style="47" customWidth="1"/>
    <col min="10499" max="10499" width="9.140625" style="47"/>
    <col min="10500" max="10501" width="5.140625" style="47" bestFit="1" customWidth="1"/>
    <col min="10502" max="10502" width="2" style="47" bestFit="1" customWidth="1"/>
    <col min="10503" max="10503" width="29" style="47" customWidth="1"/>
    <col min="10504" max="10508" width="0" style="47" hidden="1" customWidth="1"/>
    <col min="10509" max="10509" width="8.7109375" style="47" bestFit="1" customWidth="1"/>
    <col min="10510" max="10510" width="9.85546875" style="47" customWidth="1"/>
    <col min="10511" max="10515" width="8.7109375" style="47" bestFit="1" customWidth="1"/>
    <col min="10516" max="10752" width="9.140625" style="47"/>
    <col min="10753" max="10753" width="6.5703125" style="47" customWidth="1"/>
    <col min="10754" max="10754" width="7" style="47" customWidth="1"/>
    <col min="10755" max="10755" width="9.140625" style="47"/>
    <col min="10756" max="10757" width="5.140625" style="47" bestFit="1" customWidth="1"/>
    <col min="10758" max="10758" width="2" style="47" bestFit="1" customWidth="1"/>
    <col min="10759" max="10759" width="29" style="47" customWidth="1"/>
    <col min="10760" max="10764" width="0" style="47" hidden="1" customWidth="1"/>
    <col min="10765" max="10765" width="8.7109375" style="47" bestFit="1" customWidth="1"/>
    <col min="10766" max="10766" width="9.85546875" style="47" customWidth="1"/>
    <col min="10767" max="10771" width="8.7109375" style="47" bestFit="1" customWidth="1"/>
    <col min="10772" max="11008" width="9.140625" style="47"/>
    <col min="11009" max="11009" width="6.5703125" style="47" customWidth="1"/>
    <col min="11010" max="11010" width="7" style="47" customWidth="1"/>
    <col min="11011" max="11011" width="9.140625" style="47"/>
    <col min="11012" max="11013" width="5.140625" style="47" bestFit="1" customWidth="1"/>
    <col min="11014" max="11014" width="2" style="47" bestFit="1" customWidth="1"/>
    <col min="11015" max="11015" width="29" style="47" customWidth="1"/>
    <col min="11016" max="11020" width="0" style="47" hidden="1" customWidth="1"/>
    <col min="11021" max="11021" width="8.7109375" style="47" bestFit="1" customWidth="1"/>
    <col min="11022" max="11022" width="9.85546875" style="47" customWidth="1"/>
    <col min="11023" max="11027" width="8.7109375" style="47" bestFit="1" customWidth="1"/>
    <col min="11028" max="11264" width="9.140625" style="47"/>
    <col min="11265" max="11265" width="6.5703125" style="47" customWidth="1"/>
    <col min="11266" max="11266" width="7" style="47" customWidth="1"/>
    <col min="11267" max="11267" width="9.140625" style="47"/>
    <col min="11268" max="11269" width="5.140625" style="47" bestFit="1" customWidth="1"/>
    <col min="11270" max="11270" width="2" style="47" bestFit="1" customWidth="1"/>
    <col min="11271" max="11271" width="29" style="47" customWidth="1"/>
    <col min="11272" max="11276" width="0" style="47" hidden="1" customWidth="1"/>
    <col min="11277" max="11277" width="8.7109375" style="47" bestFit="1" customWidth="1"/>
    <col min="11278" max="11278" width="9.85546875" style="47" customWidth="1"/>
    <col min="11279" max="11283" width="8.7109375" style="47" bestFit="1" customWidth="1"/>
    <col min="11284" max="11520" width="9.140625" style="47"/>
    <col min="11521" max="11521" width="6.5703125" style="47" customWidth="1"/>
    <col min="11522" max="11522" width="7" style="47" customWidth="1"/>
    <col min="11523" max="11523" width="9.140625" style="47"/>
    <col min="11524" max="11525" width="5.140625" style="47" bestFit="1" customWidth="1"/>
    <col min="11526" max="11526" width="2" style="47" bestFit="1" customWidth="1"/>
    <col min="11527" max="11527" width="29" style="47" customWidth="1"/>
    <col min="11528" max="11532" width="0" style="47" hidden="1" customWidth="1"/>
    <col min="11533" max="11533" width="8.7109375" style="47" bestFit="1" customWidth="1"/>
    <col min="11534" max="11534" width="9.85546875" style="47" customWidth="1"/>
    <col min="11535" max="11539" width="8.7109375" style="47" bestFit="1" customWidth="1"/>
    <col min="11540" max="11776" width="9.140625" style="47"/>
    <col min="11777" max="11777" width="6.5703125" style="47" customWidth="1"/>
    <col min="11778" max="11778" width="7" style="47" customWidth="1"/>
    <col min="11779" max="11779" width="9.140625" style="47"/>
    <col min="11780" max="11781" width="5.140625" style="47" bestFit="1" customWidth="1"/>
    <col min="11782" max="11782" width="2" style="47" bestFit="1" customWidth="1"/>
    <col min="11783" max="11783" width="29" style="47" customWidth="1"/>
    <col min="11784" max="11788" width="0" style="47" hidden="1" customWidth="1"/>
    <col min="11789" max="11789" width="8.7109375" style="47" bestFit="1" customWidth="1"/>
    <col min="11790" max="11790" width="9.85546875" style="47" customWidth="1"/>
    <col min="11791" max="11795" width="8.7109375" style="47" bestFit="1" customWidth="1"/>
    <col min="11796" max="12032" width="9.140625" style="47"/>
    <col min="12033" max="12033" width="6.5703125" style="47" customWidth="1"/>
    <col min="12034" max="12034" width="7" style="47" customWidth="1"/>
    <col min="12035" max="12035" width="9.140625" style="47"/>
    <col min="12036" max="12037" width="5.140625" style="47" bestFit="1" customWidth="1"/>
    <col min="12038" max="12038" width="2" style="47" bestFit="1" customWidth="1"/>
    <col min="12039" max="12039" width="29" style="47" customWidth="1"/>
    <col min="12040" max="12044" width="0" style="47" hidden="1" customWidth="1"/>
    <col min="12045" max="12045" width="8.7109375" style="47" bestFit="1" customWidth="1"/>
    <col min="12046" max="12046" width="9.85546875" style="47" customWidth="1"/>
    <col min="12047" max="12051" width="8.7109375" style="47" bestFit="1" customWidth="1"/>
    <col min="12052" max="12288" width="9.140625" style="47"/>
    <col min="12289" max="12289" width="6.5703125" style="47" customWidth="1"/>
    <col min="12290" max="12290" width="7" style="47" customWidth="1"/>
    <col min="12291" max="12291" width="9.140625" style="47"/>
    <col min="12292" max="12293" width="5.140625" style="47" bestFit="1" customWidth="1"/>
    <col min="12294" max="12294" width="2" style="47" bestFit="1" customWidth="1"/>
    <col min="12295" max="12295" width="29" style="47" customWidth="1"/>
    <col min="12296" max="12300" width="0" style="47" hidden="1" customWidth="1"/>
    <col min="12301" max="12301" width="8.7109375" style="47" bestFit="1" customWidth="1"/>
    <col min="12302" max="12302" width="9.85546875" style="47" customWidth="1"/>
    <col min="12303" max="12307" width="8.7109375" style="47" bestFit="1" customWidth="1"/>
    <col min="12308" max="12544" width="9.140625" style="47"/>
    <col min="12545" max="12545" width="6.5703125" style="47" customWidth="1"/>
    <col min="12546" max="12546" width="7" style="47" customWidth="1"/>
    <col min="12547" max="12547" width="9.140625" style="47"/>
    <col min="12548" max="12549" width="5.140625" style="47" bestFit="1" customWidth="1"/>
    <col min="12550" max="12550" width="2" style="47" bestFit="1" customWidth="1"/>
    <col min="12551" max="12551" width="29" style="47" customWidth="1"/>
    <col min="12552" max="12556" width="0" style="47" hidden="1" customWidth="1"/>
    <col min="12557" max="12557" width="8.7109375" style="47" bestFit="1" customWidth="1"/>
    <col min="12558" max="12558" width="9.85546875" style="47" customWidth="1"/>
    <col min="12559" max="12563" width="8.7109375" style="47" bestFit="1" customWidth="1"/>
    <col min="12564" max="12800" width="9.140625" style="47"/>
    <col min="12801" max="12801" width="6.5703125" style="47" customWidth="1"/>
    <col min="12802" max="12802" width="7" style="47" customWidth="1"/>
    <col min="12803" max="12803" width="9.140625" style="47"/>
    <col min="12804" max="12805" width="5.140625" style="47" bestFit="1" customWidth="1"/>
    <col min="12806" max="12806" width="2" style="47" bestFit="1" customWidth="1"/>
    <col min="12807" max="12807" width="29" style="47" customWidth="1"/>
    <col min="12808" max="12812" width="0" style="47" hidden="1" customWidth="1"/>
    <col min="12813" max="12813" width="8.7109375" style="47" bestFit="1" customWidth="1"/>
    <col min="12814" max="12814" width="9.85546875" style="47" customWidth="1"/>
    <col min="12815" max="12819" width="8.7109375" style="47" bestFit="1" customWidth="1"/>
    <col min="12820" max="13056" width="9.140625" style="47"/>
    <col min="13057" max="13057" width="6.5703125" style="47" customWidth="1"/>
    <col min="13058" max="13058" width="7" style="47" customWidth="1"/>
    <col min="13059" max="13059" width="9.140625" style="47"/>
    <col min="13060" max="13061" width="5.140625" style="47" bestFit="1" customWidth="1"/>
    <col min="13062" max="13062" width="2" style="47" bestFit="1" customWidth="1"/>
    <col min="13063" max="13063" width="29" style="47" customWidth="1"/>
    <col min="13064" max="13068" width="0" style="47" hidden="1" customWidth="1"/>
    <col min="13069" max="13069" width="8.7109375" style="47" bestFit="1" customWidth="1"/>
    <col min="13070" max="13070" width="9.85546875" style="47" customWidth="1"/>
    <col min="13071" max="13075" width="8.7109375" style="47" bestFit="1" customWidth="1"/>
    <col min="13076" max="13312" width="9.140625" style="47"/>
    <col min="13313" max="13313" width="6.5703125" style="47" customWidth="1"/>
    <col min="13314" max="13314" width="7" style="47" customWidth="1"/>
    <col min="13315" max="13315" width="9.140625" style="47"/>
    <col min="13316" max="13317" width="5.140625" style="47" bestFit="1" customWidth="1"/>
    <col min="13318" max="13318" width="2" style="47" bestFit="1" customWidth="1"/>
    <col min="13319" max="13319" width="29" style="47" customWidth="1"/>
    <col min="13320" max="13324" width="0" style="47" hidden="1" customWidth="1"/>
    <col min="13325" max="13325" width="8.7109375" style="47" bestFit="1" customWidth="1"/>
    <col min="13326" max="13326" width="9.85546875" style="47" customWidth="1"/>
    <col min="13327" max="13331" width="8.7109375" style="47" bestFit="1" customWidth="1"/>
    <col min="13332" max="13568" width="9.140625" style="47"/>
    <col min="13569" max="13569" width="6.5703125" style="47" customWidth="1"/>
    <col min="13570" max="13570" width="7" style="47" customWidth="1"/>
    <col min="13571" max="13571" width="9.140625" style="47"/>
    <col min="13572" max="13573" width="5.140625" style="47" bestFit="1" customWidth="1"/>
    <col min="13574" max="13574" width="2" style="47" bestFit="1" customWidth="1"/>
    <col min="13575" max="13575" width="29" style="47" customWidth="1"/>
    <col min="13576" max="13580" width="0" style="47" hidden="1" customWidth="1"/>
    <col min="13581" max="13581" width="8.7109375" style="47" bestFit="1" customWidth="1"/>
    <col min="13582" max="13582" width="9.85546875" style="47" customWidth="1"/>
    <col min="13583" max="13587" width="8.7109375" style="47" bestFit="1" customWidth="1"/>
    <col min="13588" max="13824" width="9.140625" style="47"/>
    <col min="13825" max="13825" width="6.5703125" style="47" customWidth="1"/>
    <col min="13826" max="13826" width="7" style="47" customWidth="1"/>
    <col min="13827" max="13827" width="9.140625" style="47"/>
    <col min="13828" max="13829" width="5.140625" style="47" bestFit="1" customWidth="1"/>
    <col min="13830" max="13830" width="2" style="47" bestFit="1" customWidth="1"/>
    <col min="13831" max="13831" width="29" style="47" customWidth="1"/>
    <col min="13832" max="13836" width="0" style="47" hidden="1" customWidth="1"/>
    <col min="13837" max="13837" width="8.7109375" style="47" bestFit="1" customWidth="1"/>
    <col min="13838" max="13838" width="9.85546875" style="47" customWidth="1"/>
    <col min="13839" max="13843" width="8.7109375" style="47" bestFit="1" customWidth="1"/>
    <col min="13844" max="14080" width="9.140625" style="47"/>
    <col min="14081" max="14081" width="6.5703125" style="47" customWidth="1"/>
    <col min="14082" max="14082" width="7" style="47" customWidth="1"/>
    <col min="14083" max="14083" width="9.140625" style="47"/>
    <col min="14084" max="14085" width="5.140625" style="47" bestFit="1" customWidth="1"/>
    <col min="14086" max="14086" width="2" style="47" bestFit="1" customWidth="1"/>
    <col min="14087" max="14087" width="29" style="47" customWidth="1"/>
    <col min="14088" max="14092" width="0" style="47" hidden="1" customWidth="1"/>
    <col min="14093" max="14093" width="8.7109375" style="47" bestFit="1" customWidth="1"/>
    <col min="14094" max="14094" width="9.85546875" style="47" customWidth="1"/>
    <col min="14095" max="14099" width="8.7109375" style="47" bestFit="1" customWidth="1"/>
    <col min="14100" max="14336" width="9.140625" style="47"/>
    <col min="14337" max="14337" width="6.5703125" style="47" customWidth="1"/>
    <col min="14338" max="14338" width="7" style="47" customWidth="1"/>
    <col min="14339" max="14339" width="9.140625" style="47"/>
    <col min="14340" max="14341" width="5.140625" style="47" bestFit="1" customWidth="1"/>
    <col min="14342" max="14342" width="2" style="47" bestFit="1" customWidth="1"/>
    <col min="14343" max="14343" width="29" style="47" customWidth="1"/>
    <col min="14344" max="14348" width="0" style="47" hidden="1" customWidth="1"/>
    <col min="14349" max="14349" width="8.7109375" style="47" bestFit="1" customWidth="1"/>
    <col min="14350" max="14350" width="9.85546875" style="47" customWidth="1"/>
    <col min="14351" max="14355" width="8.7109375" style="47" bestFit="1" customWidth="1"/>
    <col min="14356" max="14592" width="9.140625" style="47"/>
    <col min="14593" max="14593" width="6.5703125" style="47" customWidth="1"/>
    <col min="14594" max="14594" width="7" style="47" customWidth="1"/>
    <col min="14595" max="14595" width="9.140625" style="47"/>
    <col min="14596" max="14597" width="5.140625" style="47" bestFit="1" customWidth="1"/>
    <col min="14598" max="14598" width="2" style="47" bestFit="1" customWidth="1"/>
    <col min="14599" max="14599" width="29" style="47" customWidth="1"/>
    <col min="14600" max="14604" width="0" style="47" hidden="1" customWidth="1"/>
    <col min="14605" max="14605" width="8.7109375" style="47" bestFit="1" customWidth="1"/>
    <col min="14606" max="14606" width="9.85546875" style="47" customWidth="1"/>
    <col min="14607" max="14611" width="8.7109375" style="47" bestFit="1" customWidth="1"/>
    <col min="14612" max="14848" width="9.140625" style="47"/>
    <col min="14849" max="14849" width="6.5703125" style="47" customWidth="1"/>
    <col min="14850" max="14850" width="7" style="47" customWidth="1"/>
    <col min="14851" max="14851" width="9.140625" style="47"/>
    <col min="14852" max="14853" width="5.140625" style="47" bestFit="1" customWidth="1"/>
    <col min="14854" max="14854" width="2" style="47" bestFit="1" customWidth="1"/>
    <col min="14855" max="14855" width="29" style="47" customWidth="1"/>
    <col min="14856" max="14860" width="0" style="47" hidden="1" customWidth="1"/>
    <col min="14861" max="14861" width="8.7109375" style="47" bestFit="1" customWidth="1"/>
    <col min="14862" max="14862" width="9.85546875" style="47" customWidth="1"/>
    <col min="14863" max="14867" width="8.7109375" style="47" bestFit="1" customWidth="1"/>
    <col min="14868" max="15104" width="9.140625" style="47"/>
    <col min="15105" max="15105" width="6.5703125" style="47" customWidth="1"/>
    <col min="15106" max="15106" width="7" style="47" customWidth="1"/>
    <col min="15107" max="15107" width="9.140625" style="47"/>
    <col min="15108" max="15109" width="5.140625" style="47" bestFit="1" customWidth="1"/>
    <col min="15110" max="15110" width="2" style="47" bestFit="1" customWidth="1"/>
    <col min="15111" max="15111" width="29" style="47" customWidth="1"/>
    <col min="15112" max="15116" width="0" style="47" hidden="1" customWidth="1"/>
    <col min="15117" max="15117" width="8.7109375" style="47" bestFit="1" customWidth="1"/>
    <col min="15118" max="15118" width="9.85546875" style="47" customWidth="1"/>
    <col min="15119" max="15123" width="8.7109375" style="47" bestFit="1" customWidth="1"/>
    <col min="15124" max="15360" width="9.140625" style="47"/>
    <col min="15361" max="15361" width="6.5703125" style="47" customWidth="1"/>
    <col min="15362" max="15362" width="7" style="47" customWidth="1"/>
    <col min="15363" max="15363" width="9.140625" style="47"/>
    <col min="15364" max="15365" width="5.140625" style="47" bestFit="1" customWidth="1"/>
    <col min="15366" max="15366" width="2" style="47" bestFit="1" customWidth="1"/>
    <col min="15367" max="15367" width="29" style="47" customWidth="1"/>
    <col min="15368" max="15372" width="0" style="47" hidden="1" customWidth="1"/>
    <col min="15373" max="15373" width="8.7109375" style="47" bestFit="1" customWidth="1"/>
    <col min="15374" max="15374" width="9.85546875" style="47" customWidth="1"/>
    <col min="15375" max="15379" width="8.7109375" style="47" bestFit="1" customWidth="1"/>
    <col min="15380" max="15616" width="9.140625" style="47"/>
    <col min="15617" max="15617" width="6.5703125" style="47" customWidth="1"/>
    <col min="15618" max="15618" width="7" style="47" customWidth="1"/>
    <col min="15619" max="15619" width="9.140625" style="47"/>
    <col min="15620" max="15621" width="5.140625" style="47" bestFit="1" customWidth="1"/>
    <col min="15622" max="15622" width="2" style="47" bestFit="1" customWidth="1"/>
    <col min="15623" max="15623" width="29" style="47" customWidth="1"/>
    <col min="15624" max="15628" width="0" style="47" hidden="1" customWidth="1"/>
    <col min="15629" max="15629" width="8.7109375" style="47" bestFit="1" customWidth="1"/>
    <col min="15630" max="15630" width="9.85546875" style="47" customWidth="1"/>
    <col min="15631" max="15635" width="8.7109375" style="47" bestFit="1" customWidth="1"/>
    <col min="15636" max="15872" width="9.140625" style="47"/>
    <col min="15873" max="15873" width="6.5703125" style="47" customWidth="1"/>
    <col min="15874" max="15874" width="7" style="47" customWidth="1"/>
    <col min="15875" max="15875" width="9.140625" style="47"/>
    <col min="15876" max="15877" width="5.140625" style="47" bestFit="1" customWidth="1"/>
    <col min="15878" max="15878" width="2" style="47" bestFit="1" customWidth="1"/>
    <col min="15879" max="15879" width="29" style="47" customWidth="1"/>
    <col min="15880" max="15884" width="0" style="47" hidden="1" customWidth="1"/>
    <col min="15885" max="15885" width="8.7109375" style="47" bestFit="1" customWidth="1"/>
    <col min="15886" max="15886" width="9.85546875" style="47" customWidth="1"/>
    <col min="15887" max="15891" width="8.7109375" style="47" bestFit="1" customWidth="1"/>
    <col min="15892" max="16128" width="9.140625" style="47"/>
    <col min="16129" max="16129" width="6.5703125" style="47" customWidth="1"/>
    <col min="16130" max="16130" width="7" style="47" customWidth="1"/>
    <col min="16131" max="16131" width="9.140625" style="47"/>
    <col min="16132" max="16133" width="5.140625" style="47" bestFit="1" customWidth="1"/>
    <col min="16134" max="16134" width="2" style="47" bestFit="1" customWidth="1"/>
    <col min="16135" max="16135" width="29" style="47" customWidth="1"/>
    <col min="16136" max="16140" width="0" style="47" hidden="1" customWidth="1"/>
    <col min="16141" max="16141" width="8.7109375" style="47" bestFit="1" customWidth="1"/>
    <col min="16142" max="16142" width="9.85546875" style="47" customWidth="1"/>
    <col min="16143" max="16147" width="8.7109375" style="47" bestFit="1" customWidth="1"/>
    <col min="16148" max="16384" width="9.140625" style="47"/>
  </cols>
  <sheetData>
    <row r="1" spans="1:19" x14ac:dyDescent="0.2">
      <c r="A1" s="1"/>
      <c r="B1" s="2"/>
      <c r="C1" s="3"/>
      <c r="D1" s="3"/>
      <c r="E1" s="1"/>
      <c r="F1" s="1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</row>
    <row r="2" spans="1:19" x14ac:dyDescent="0.2">
      <c r="A2" s="3" t="s">
        <v>0</v>
      </c>
      <c r="B2" s="5" t="s">
        <v>1</v>
      </c>
      <c r="C2" s="3" t="s">
        <v>2</v>
      </c>
      <c r="D2" s="3"/>
      <c r="E2" s="1" t="s">
        <v>3</v>
      </c>
      <c r="F2" s="1"/>
      <c r="G2" s="49" t="s">
        <v>561</v>
      </c>
      <c r="H2" s="50"/>
      <c r="I2" s="51"/>
      <c r="J2" s="52"/>
      <c r="K2" s="50"/>
      <c r="L2" s="52"/>
      <c r="M2" s="71" t="s">
        <v>366</v>
      </c>
      <c r="N2" s="122" t="s">
        <v>562</v>
      </c>
      <c r="O2" s="72"/>
      <c r="P2" s="72"/>
      <c r="Q2" s="72"/>
      <c r="R2" s="73"/>
    </row>
    <row r="3" spans="1:19" x14ac:dyDescent="0.2">
      <c r="A3" s="1"/>
      <c r="B3" s="6"/>
      <c r="C3" s="3"/>
      <c r="D3" s="3"/>
      <c r="E3" s="1"/>
      <c r="F3" s="1"/>
      <c r="G3" s="53" t="s">
        <v>4</v>
      </c>
      <c r="H3" s="54">
        <v>40908</v>
      </c>
      <c r="I3" s="54">
        <v>41274</v>
      </c>
      <c r="J3" s="54">
        <v>41639</v>
      </c>
      <c r="K3" s="54">
        <v>42004</v>
      </c>
      <c r="L3" s="54">
        <v>42369</v>
      </c>
      <c r="M3" s="54">
        <v>42735</v>
      </c>
      <c r="N3" s="54">
        <v>43100</v>
      </c>
      <c r="O3" s="54">
        <v>43465</v>
      </c>
      <c r="P3" s="54">
        <v>43830</v>
      </c>
      <c r="Q3" s="54">
        <v>44196</v>
      </c>
      <c r="R3" s="54">
        <v>44561</v>
      </c>
      <c r="S3" s="54">
        <v>44926</v>
      </c>
    </row>
    <row r="4" spans="1:19" x14ac:dyDescent="0.2">
      <c r="A4" s="7"/>
      <c r="B4" s="2" t="s">
        <v>5</v>
      </c>
      <c r="C4" s="3">
        <v>1</v>
      </c>
      <c r="D4" s="3"/>
      <c r="E4" s="5"/>
      <c r="F4" s="7"/>
      <c r="G4" s="55" t="s">
        <v>6</v>
      </c>
      <c r="H4" s="56">
        <f t="shared" ref="H4:S4" si="0">H5+H10</f>
        <v>604.31200000000001</v>
      </c>
      <c r="I4" s="56">
        <f t="shared" si="0"/>
        <v>605.31600000000003</v>
      </c>
      <c r="J4" s="56">
        <f t="shared" si="0"/>
        <v>663.83899999999994</v>
      </c>
      <c r="K4" s="56">
        <f t="shared" si="0"/>
        <v>660.322</v>
      </c>
      <c r="L4" s="56">
        <f t="shared" si="0"/>
        <v>679.44299999999998</v>
      </c>
      <c r="M4" s="56">
        <f t="shared" si="0"/>
        <v>650.30500000000006</v>
      </c>
      <c r="N4" s="56">
        <f t="shared" si="0"/>
        <v>664.50700000000006</v>
      </c>
      <c r="O4" s="56">
        <f t="shared" si="0"/>
        <v>659.56899999999996</v>
      </c>
      <c r="P4" s="56">
        <f t="shared" si="0"/>
        <v>653.26800000000003</v>
      </c>
      <c r="Q4" s="56">
        <f t="shared" si="0"/>
        <v>644.96699999999998</v>
      </c>
      <c r="R4" s="56">
        <f t="shared" si="0"/>
        <v>635.66600000000005</v>
      </c>
      <c r="S4" s="56">
        <f t="shared" si="0"/>
        <v>626.36500000000001</v>
      </c>
    </row>
    <row r="5" spans="1:19" x14ac:dyDescent="0.2">
      <c r="A5" s="8"/>
      <c r="B5" s="2" t="s">
        <v>7</v>
      </c>
      <c r="C5" s="3">
        <v>10</v>
      </c>
      <c r="D5" s="3"/>
      <c r="E5" s="9"/>
      <c r="G5" s="57" t="s">
        <v>8</v>
      </c>
      <c r="H5" s="56">
        <f t="shared" ref="H5:R5" si="1">SUM(H6:H9)</f>
        <v>235.08100000000002</v>
      </c>
      <c r="I5" s="56">
        <f t="shared" si="1"/>
        <v>244.59899999999999</v>
      </c>
      <c r="J5" s="56">
        <f t="shared" si="1"/>
        <v>274.51</v>
      </c>
      <c r="K5" s="56">
        <f t="shared" si="1"/>
        <v>256.07299999999998</v>
      </c>
      <c r="L5" s="56">
        <f t="shared" si="1"/>
        <v>274.971</v>
      </c>
      <c r="M5" s="56">
        <f t="shared" si="1"/>
        <v>256.13400000000001</v>
      </c>
      <c r="N5" s="56">
        <f t="shared" si="1"/>
        <v>280.637</v>
      </c>
      <c r="O5" s="56">
        <f t="shared" si="1"/>
        <v>286</v>
      </c>
      <c r="P5" s="56">
        <f t="shared" si="1"/>
        <v>290</v>
      </c>
      <c r="Q5" s="56">
        <f t="shared" si="1"/>
        <v>292</v>
      </c>
      <c r="R5" s="56">
        <f t="shared" si="1"/>
        <v>293</v>
      </c>
      <c r="S5" s="56">
        <f>SUM(S6:S9)</f>
        <v>294</v>
      </c>
    </row>
    <row r="6" spans="1:19" ht="12" x14ac:dyDescent="0.2">
      <c r="A6" s="8"/>
      <c r="B6" s="2" t="s">
        <v>9</v>
      </c>
      <c r="C6" s="10" t="s">
        <v>10</v>
      </c>
      <c r="D6" s="10"/>
      <c r="E6" s="11" t="s">
        <v>11</v>
      </c>
      <c r="G6" s="57" t="s">
        <v>12</v>
      </c>
      <c r="H6" s="58">
        <v>139.83000000000001</v>
      </c>
      <c r="I6" s="58">
        <v>152.179</v>
      </c>
      <c r="J6" s="58">
        <v>162.88200000000001</v>
      </c>
      <c r="K6" s="58">
        <v>151.06800000000001</v>
      </c>
      <c r="L6" s="58">
        <v>167.58600000000001</v>
      </c>
      <c r="M6" s="58">
        <v>160.77600000000001</v>
      </c>
      <c r="N6" s="76">
        <v>183.59399999999999</v>
      </c>
      <c r="O6" s="76">
        <v>187</v>
      </c>
      <c r="P6" s="76">
        <v>188</v>
      </c>
      <c r="Q6" s="76">
        <v>187</v>
      </c>
      <c r="R6" s="76">
        <v>188</v>
      </c>
      <c r="S6" s="58">
        <v>188</v>
      </c>
    </row>
    <row r="7" spans="1:19" ht="12" x14ac:dyDescent="0.2">
      <c r="A7" s="8"/>
      <c r="B7" s="2" t="s">
        <v>13</v>
      </c>
      <c r="C7" s="10" t="s">
        <v>14</v>
      </c>
      <c r="D7" s="10"/>
      <c r="E7" s="11" t="s">
        <v>11</v>
      </c>
      <c r="G7" s="57" t="s">
        <v>15</v>
      </c>
      <c r="H7" s="58">
        <v>95.251000000000005</v>
      </c>
      <c r="I7" s="58">
        <v>92.42</v>
      </c>
      <c r="J7" s="58">
        <v>111.628</v>
      </c>
      <c r="K7" s="58">
        <v>105.005</v>
      </c>
      <c r="L7" s="58">
        <v>107.38500000000001</v>
      </c>
      <c r="M7" s="58">
        <v>95.358000000000004</v>
      </c>
      <c r="N7" s="76">
        <v>97.043000000000006</v>
      </c>
      <c r="O7" s="76">
        <v>99</v>
      </c>
      <c r="P7" s="76">
        <v>102</v>
      </c>
      <c r="Q7" s="76">
        <v>105</v>
      </c>
      <c r="R7" s="76">
        <v>105</v>
      </c>
      <c r="S7" s="58">
        <v>106</v>
      </c>
    </row>
    <row r="8" spans="1:19" ht="12" x14ac:dyDescent="0.2">
      <c r="A8" s="8"/>
      <c r="B8" s="2" t="s">
        <v>16</v>
      </c>
      <c r="C8" s="10" t="s">
        <v>17</v>
      </c>
      <c r="D8" s="10"/>
      <c r="E8" s="11" t="s">
        <v>11</v>
      </c>
      <c r="G8" s="57" t="s">
        <v>18</v>
      </c>
      <c r="H8" s="58">
        <v>0</v>
      </c>
      <c r="I8" s="58">
        <v>0</v>
      </c>
      <c r="J8" s="58">
        <v>0</v>
      </c>
      <c r="K8" s="58">
        <v>0</v>
      </c>
      <c r="L8" s="58">
        <v>0</v>
      </c>
      <c r="M8" s="58">
        <v>0</v>
      </c>
      <c r="N8" s="76">
        <v>0</v>
      </c>
      <c r="O8" s="76">
        <v>0</v>
      </c>
      <c r="P8" s="76">
        <v>0</v>
      </c>
      <c r="Q8" s="76">
        <v>0</v>
      </c>
      <c r="R8" s="76">
        <v>0</v>
      </c>
      <c r="S8" s="58">
        <v>0</v>
      </c>
    </row>
    <row r="9" spans="1:19" x14ac:dyDescent="0.2">
      <c r="A9" s="8"/>
      <c r="B9" s="2" t="s">
        <v>19</v>
      </c>
      <c r="C9" s="10">
        <v>108</v>
      </c>
      <c r="D9" s="10"/>
      <c r="E9" s="12"/>
      <c r="G9" s="57" t="s">
        <v>20</v>
      </c>
      <c r="H9" s="58">
        <v>0</v>
      </c>
      <c r="I9" s="58">
        <v>0</v>
      </c>
      <c r="J9" s="58">
        <v>0</v>
      </c>
      <c r="K9" s="58">
        <v>0</v>
      </c>
      <c r="L9" s="58">
        <v>0</v>
      </c>
      <c r="M9" s="58">
        <v>0</v>
      </c>
      <c r="N9" s="76">
        <v>0</v>
      </c>
      <c r="O9" s="76">
        <v>0</v>
      </c>
      <c r="P9" s="76">
        <v>0</v>
      </c>
      <c r="Q9" s="76">
        <v>0</v>
      </c>
      <c r="R9" s="76">
        <v>0</v>
      </c>
      <c r="S9" s="58">
        <v>0</v>
      </c>
    </row>
    <row r="10" spans="1:19" x14ac:dyDescent="0.2">
      <c r="A10" s="13"/>
      <c r="B10" s="2" t="s">
        <v>21</v>
      </c>
      <c r="C10" s="14">
        <v>15</v>
      </c>
      <c r="D10" s="14"/>
      <c r="E10" s="12"/>
      <c r="F10" s="13"/>
      <c r="G10" s="57" t="s">
        <v>22</v>
      </c>
      <c r="H10" s="56">
        <f t="shared" ref="H10:S10" si="2">SUM(H11:H16)</f>
        <v>369.23099999999999</v>
      </c>
      <c r="I10" s="56">
        <f t="shared" si="2"/>
        <v>360.71699999999998</v>
      </c>
      <c r="J10" s="56">
        <f t="shared" si="2"/>
        <v>389.32900000000001</v>
      </c>
      <c r="K10" s="56">
        <f t="shared" si="2"/>
        <v>404.24900000000002</v>
      </c>
      <c r="L10" s="56">
        <f t="shared" si="2"/>
        <v>404.47199999999998</v>
      </c>
      <c r="M10" s="56">
        <f t="shared" si="2"/>
        <v>394.17099999999999</v>
      </c>
      <c r="N10" s="77">
        <f t="shared" si="2"/>
        <v>383.87</v>
      </c>
      <c r="O10" s="77">
        <f t="shared" si="2"/>
        <v>373.56899999999996</v>
      </c>
      <c r="P10" s="77">
        <f t="shared" si="2"/>
        <v>363.26799999999997</v>
      </c>
      <c r="Q10" s="77">
        <f t="shared" si="2"/>
        <v>352.96699999999998</v>
      </c>
      <c r="R10" s="77">
        <f t="shared" si="2"/>
        <v>342.66600000000005</v>
      </c>
      <c r="S10" s="56">
        <f t="shared" si="2"/>
        <v>332.36500000000001</v>
      </c>
    </row>
    <row r="11" spans="1:19" ht="12" x14ac:dyDescent="0.2">
      <c r="A11" s="13"/>
      <c r="B11" s="2" t="s">
        <v>23</v>
      </c>
      <c r="C11" s="14">
        <v>150</v>
      </c>
      <c r="D11" s="14"/>
      <c r="E11" s="11" t="s">
        <v>11</v>
      </c>
      <c r="F11" s="13"/>
      <c r="G11" s="57" t="s">
        <v>24</v>
      </c>
      <c r="H11" s="58">
        <v>0</v>
      </c>
      <c r="I11" s="58">
        <v>0</v>
      </c>
      <c r="J11" s="58">
        <v>0</v>
      </c>
      <c r="K11" s="58">
        <v>0</v>
      </c>
      <c r="L11" s="58">
        <v>0</v>
      </c>
      <c r="M11" s="58">
        <v>0</v>
      </c>
      <c r="N11" s="76">
        <v>0</v>
      </c>
      <c r="O11" s="76">
        <v>0</v>
      </c>
      <c r="P11" s="76">
        <v>0</v>
      </c>
      <c r="Q11" s="76">
        <v>0</v>
      </c>
      <c r="R11" s="76">
        <v>0</v>
      </c>
      <c r="S11" s="58">
        <v>0</v>
      </c>
    </row>
    <row r="12" spans="1:19" ht="12" x14ac:dyDescent="0.2">
      <c r="A12" s="13"/>
      <c r="B12" s="2" t="s">
        <v>25</v>
      </c>
      <c r="C12" s="14">
        <v>151</v>
      </c>
      <c r="D12" s="14"/>
      <c r="E12" s="11" t="s">
        <v>11</v>
      </c>
      <c r="F12" s="13"/>
      <c r="G12" s="57" t="s">
        <v>26</v>
      </c>
      <c r="H12" s="58">
        <v>0</v>
      </c>
      <c r="I12" s="58">
        <v>0</v>
      </c>
      <c r="J12" s="58">
        <v>0</v>
      </c>
      <c r="K12" s="58">
        <v>0</v>
      </c>
      <c r="L12" s="58">
        <v>0</v>
      </c>
      <c r="M12" s="58">
        <v>0</v>
      </c>
      <c r="N12" s="76">
        <v>0</v>
      </c>
      <c r="O12" s="76">
        <v>0</v>
      </c>
      <c r="P12" s="76">
        <v>0</v>
      </c>
      <c r="Q12" s="76">
        <v>0</v>
      </c>
      <c r="R12" s="76">
        <v>0</v>
      </c>
      <c r="S12" s="58">
        <v>0</v>
      </c>
    </row>
    <row r="13" spans="1:19" ht="12" x14ac:dyDescent="0.2">
      <c r="A13" s="8"/>
      <c r="B13" s="2" t="s">
        <v>27</v>
      </c>
      <c r="C13" s="10" t="s">
        <v>28</v>
      </c>
      <c r="D13" s="10"/>
      <c r="E13" s="11" t="s">
        <v>11</v>
      </c>
      <c r="G13" s="57" t="s">
        <v>29</v>
      </c>
      <c r="H13" s="58">
        <v>14.164</v>
      </c>
      <c r="I13" s="58">
        <v>13.907</v>
      </c>
      <c r="J13" s="58">
        <v>13.388999999999999</v>
      </c>
      <c r="K13" s="58">
        <v>13.132</v>
      </c>
      <c r="L13" s="58">
        <v>12.875</v>
      </c>
      <c r="M13" s="58">
        <v>12.618</v>
      </c>
      <c r="N13" s="76">
        <v>12.361000000000001</v>
      </c>
      <c r="O13" s="76">
        <v>12.103999999999999</v>
      </c>
      <c r="P13" s="76">
        <v>11.847</v>
      </c>
      <c r="Q13" s="76">
        <v>11.59</v>
      </c>
      <c r="R13" s="76">
        <v>11.333</v>
      </c>
      <c r="S13" s="58">
        <v>11.076000000000001</v>
      </c>
    </row>
    <row r="14" spans="1:19" ht="12" x14ac:dyDescent="0.2">
      <c r="A14" s="8"/>
      <c r="B14" s="2" t="s">
        <v>30</v>
      </c>
      <c r="C14" s="10">
        <v>154</v>
      </c>
      <c r="D14" s="10"/>
      <c r="E14" s="11" t="s">
        <v>11</v>
      </c>
      <c r="G14" s="57" t="s">
        <v>31</v>
      </c>
      <c r="H14" s="58">
        <v>0</v>
      </c>
      <c r="I14" s="58">
        <v>0</v>
      </c>
      <c r="J14" s="58">
        <v>0</v>
      </c>
      <c r="K14" s="58">
        <v>0</v>
      </c>
      <c r="L14" s="58">
        <v>0</v>
      </c>
      <c r="M14" s="58">
        <v>0</v>
      </c>
      <c r="N14" s="76">
        <v>0</v>
      </c>
      <c r="O14" s="76">
        <v>0</v>
      </c>
      <c r="P14" s="76">
        <v>0</v>
      </c>
      <c r="Q14" s="76">
        <v>0</v>
      </c>
      <c r="R14" s="76">
        <v>0</v>
      </c>
      <c r="S14" s="58">
        <v>0</v>
      </c>
    </row>
    <row r="15" spans="1:19" ht="12" x14ac:dyDescent="0.2">
      <c r="A15" s="8"/>
      <c r="B15" s="2" t="s">
        <v>32</v>
      </c>
      <c r="C15" s="10" t="s">
        <v>33</v>
      </c>
      <c r="D15" s="10"/>
      <c r="E15" s="11" t="s">
        <v>11</v>
      </c>
      <c r="G15" s="57" t="s">
        <v>34</v>
      </c>
      <c r="H15" s="58">
        <v>355.06700000000001</v>
      </c>
      <c r="I15" s="58">
        <v>346.81</v>
      </c>
      <c r="J15" s="58">
        <v>375.94</v>
      </c>
      <c r="K15" s="58">
        <v>391.11700000000002</v>
      </c>
      <c r="L15" s="58">
        <v>391.59699999999998</v>
      </c>
      <c r="M15" s="58">
        <v>381.553</v>
      </c>
      <c r="N15" s="76">
        <v>371.50900000000001</v>
      </c>
      <c r="O15" s="76">
        <v>361.46499999999997</v>
      </c>
      <c r="P15" s="76">
        <v>351.42099999999999</v>
      </c>
      <c r="Q15" s="76">
        <v>341.37700000000001</v>
      </c>
      <c r="R15" s="76">
        <v>331.33300000000003</v>
      </c>
      <c r="S15" s="58">
        <v>321.28899999999999</v>
      </c>
    </row>
    <row r="16" spans="1:19" ht="12" x14ac:dyDescent="0.2">
      <c r="A16" s="8"/>
      <c r="B16" s="2" t="s">
        <v>35</v>
      </c>
      <c r="C16" s="10">
        <v>157</v>
      </c>
      <c r="D16" s="10"/>
      <c r="E16" s="11" t="s">
        <v>11</v>
      </c>
      <c r="G16" s="57" t="s">
        <v>36</v>
      </c>
      <c r="H16" s="58">
        <v>0</v>
      </c>
      <c r="I16" s="58">
        <v>0</v>
      </c>
      <c r="J16" s="58">
        <v>0</v>
      </c>
      <c r="K16" s="58">
        <v>0</v>
      </c>
      <c r="L16" s="58">
        <v>0</v>
      </c>
      <c r="M16" s="58">
        <v>0</v>
      </c>
      <c r="N16" s="76">
        <v>0</v>
      </c>
      <c r="O16" s="76">
        <v>0</v>
      </c>
      <c r="P16" s="76">
        <v>0</v>
      </c>
      <c r="Q16" s="76">
        <v>0</v>
      </c>
      <c r="R16" s="76">
        <v>0</v>
      </c>
      <c r="S16" s="58">
        <v>0</v>
      </c>
    </row>
    <row r="17" spans="1:19" ht="12" x14ac:dyDescent="0.2">
      <c r="A17" s="15"/>
      <c r="B17" s="2" t="s">
        <v>37</v>
      </c>
      <c r="C17" s="78" t="s">
        <v>38</v>
      </c>
      <c r="D17" s="15"/>
      <c r="E17" s="11" t="s">
        <v>11</v>
      </c>
      <c r="F17" s="16"/>
      <c r="G17" s="59" t="s">
        <v>39</v>
      </c>
      <c r="H17" s="60">
        <v>0</v>
      </c>
      <c r="I17" s="60">
        <v>0</v>
      </c>
      <c r="J17" s="60">
        <v>0</v>
      </c>
      <c r="K17" s="60">
        <v>0</v>
      </c>
      <c r="L17" s="60">
        <v>0</v>
      </c>
      <c r="M17" s="60">
        <v>0</v>
      </c>
      <c r="N17" s="80">
        <v>0</v>
      </c>
      <c r="O17" s="80">
        <v>0</v>
      </c>
      <c r="P17" s="80">
        <v>0</v>
      </c>
      <c r="Q17" s="80">
        <v>0</v>
      </c>
      <c r="R17" s="80">
        <v>0</v>
      </c>
      <c r="S17" s="60">
        <v>0</v>
      </c>
    </row>
    <row r="18" spans="1:19" x14ac:dyDescent="0.2">
      <c r="A18" s="8"/>
      <c r="B18" s="2" t="s">
        <v>40</v>
      </c>
      <c r="C18" s="10">
        <v>2</v>
      </c>
      <c r="D18" s="10"/>
      <c r="E18" s="12"/>
      <c r="G18" s="57" t="s">
        <v>41</v>
      </c>
      <c r="H18" s="56">
        <f t="shared" ref="H18:S18" si="3">H19+H27</f>
        <v>604.3130000000001</v>
      </c>
      <c r="I18" s="56">
        <f t="shared" si="3"/>
        <v>605.31600000000003</v>
      </c>
      <c r="J18" s="56">
        <f t="shared" si="3"/>
        <v>663.83900000000006</v>
      </c>
      <c r="K18" s="56">
        <f t="shared" si="3"/>
        <v>660.32299999999998</v>
      </c>
      <c r="L18" s="56">
        <f t="shared" si="3"/>
        <v>679.44399999999996</v>
      </c>
      <c r="M18" s="56">
        <f t="shared" si="3"/>
        <v>650.30500000000006</v>
      </c>
      <c r="N18" s="77">
        <f t="shared" si="3"/>
        <v>664.50700000000006</v>
      </c>
      <c r="O18" s="77">
        <f t="shared" si="3"/>
        <v>659.625</v>
      </c>
      <c r="P18" s="77">
        <f t="shared" si="3"/>
        <v>653.625</v>
      </c>
      <c r="Q18" s="77">
        <f t="shared" si="3"/>
        <v>644.625</v>
      </c>
      <c r="R18" s="77">
        <f t="shared" si="3"/>
        <v>635.625</v>
      </c>
      <c r="S18" s="56">
        <f t="shared" si="3"/>
        <v>626.625</v>
      </c>
    </row>
    <row r="19" spans="1:19" x14ac:dyDescent="0.2">
      <c r="A19" s="8"/>
      <c r="B19" s="2" t="s">
        <v>42</v>
      </c>
      <c r="C19" s="10" t="s">
        <v>43</v>
      </c>
      <c r="D19" s="10"/>
      <c r="E19" s="12"/>
      <c r="G19" s="57" t="s">
        <v>44</v>
      </c>
      <c r="H19" s="56">
        <f t="shared" ref="H19:S19" si="4">SUM(H21:H26)</f>
        <v>273.01100000000002</v>
      </c>
      <c r="I19" s="56">
        <f t="shared" si="4"/>
        <v>272.60500000000002</v>
      </c>
      <c r="J19" s="56">
        <f t="shared" si="4"/>
        <v>326.72500000000002</v>
      </c>
      <c r="K19" s="56">
        <f t="shared" si="4"/>
        <v>318.80399999999997</v>
      </c>
      <c r="L19" s="56">
        <f t="shared" si="4"/>
        <v>333.26600000000002</v>
      </c>
      <c r="M19" s="56">
        <f t="shared" si="4"/>
        <v>300.108</v>
      </c>
      <c r="N19" s="77">
        <f t="shared" si="4"/>
        <v>311.00600000000003</v>
      </c>
      <c r="O19" s="77">
        <f t="shared" si="4"/>
        <v>306</v>
      </c>
      <c r="P19" s="77">
        <f t="shared" si="4"/>
        <v>300</v>
      </c>
      <c r="Q19" s="77">
        <f t="shared" si="4"/>
        <v>291</v>
      </c>
      <c r="R19" s="77">
        <f t="shared" si="4"/>
        <v>282</v>
      </c>
      <c r="S19" s="56">
        <f t="shared" si="4"/>
        <v>273</v>
      </c>
    </row>
    <row r="20" spans="1:19" ht="12" x14ac:dyDescent="0.2">
      <c r="A20" s="17"/>
      <c r="B20" s="2" t="s">
        <v>45</v>
      </c>
      <c r="C20" s="78" t="s">
        <v>46</v>
      </c>
      <c r="D20" s="15"/>
      <c r="E20" s="11" t="s">
        <v>11</v>
      </c>
      <c r="F20" s="17"/>
      <c r="G20" s="59" t="s">
        <v>47</v>
      </c>
      <c r="H20" s="61">
        <v>273.01100000000002</v>
      </c>
      <c r="I20" s="61">
        <v>272.60500000000002</v>
      </c>
      <c r="J20" s="61">
        <v>326.72500000000002</v>
      </c>
      <c r="K20" s="61">
        <v>318.80399999999997</v>
      </c>
      <c r="L20" s="61">
        <v>333.26600000000002</v>
      </c>
      <c r="M20" s="61">
        <v>300.108</v>
      </c>
      <c r="N20" s="82">
        <v>311.00599999999997</v>
      </c>
      <c r="O20" s="82">
        <v>306</v>
      </c>
      <c r="P20" s="82">
        <v>300</v>
      </c>
      <c r="Q20" s="82">
        <v>291</v>
      </c>
      <c r="R20" s="82">
        <v>282</v>
      </c>
      <c r="S20" s="61">
        <v>273</v>
      </c>
    </row>
    <row r="21" spans="1:19" ht="12" x14ac:dyDescent="0.2">
      <c r="A21" s="8"/>
      <c r="B21" s="2" t="s">
        <v>48</v>
      </c>
      <c r="C21" s="18" t="s">
        <v>49</v>
      </c>
      <c r="D21" s="18"/>
      <c r="E21" s="11" t="s">
        <v>11</v>
      </c>
      <c r="G21" s="57" t="s">
        <v>50</v>
      </c>
      <c r="H21" s="58">
        <v>273.01100000000002</v>
      </c>
      <c r="I21" s="58">
        <v>272.60500000000002</v>
      </c>
      <c r="J21" s="58">
        <v>326.72500000000002</v>
      </c>
      <c r="K21" s="58">
        <v>318.80399999999997</v>
      </c>
      <c r="L21" s="58">
        <v>333.26600000000002</v>
      </c>
      <c r="M21" s="58">
        <v>298.108</v>
      </c>
      <c r="N21" s="76">
        <v>310.459</v>
      </c>
      <c r="O21" s="76">
        <v>306</v>
      </c>
      <c r="P21" s="76">
        <v>300</v>
      </c>
      <c r="Q21" s="76">
        <v>291</v>
      </c>
      <c r="R21" s="76">
        <v>282</v>
      </c>
      <c r="S21" s="58">
        <v>273</v>
      </c>
    </row>
    <row r="22" spans="1:19" ht="12" x14ac:dyDescent="0.2">
      <c r="A22" s="8"/>
      <c r="B22" s="2" t="s">
        <v>51</v>
      </c>
      <c r="C22" s="10" t="s">
        <v>52</v>
      </c>
      <c r="D22" s="10"/>
      <c r="E22" s="11" t="s">
        <v>11</v>
      </c>
      <c r="G22" s="57" t="s">
        <v>53</v>
      </c>
      <c r="H22" s="58">
        <v>0</v>
      </c>
      <c r="I22" s="58">
        <v>0</v>
      </c>
      <c r="J22" s="58">
        <v>0</v>
      </c>
      <c r="K22" s="58">
        <v>0</v>
      </c>
      <c r="L22" s="58">
        <v>0</v>
      </c>
      <c r="M22" s="58">
        <v>0</v>
      </c>
      <c r="N22" s="76">
        <v>0</v>
      </c>
      <c r="O22" s="76">
        <v>0</v>
      </c>
      <c r="P22" s="76">
        <v>0</v>
      </c>
      <c r="Q22" s="76">
        <v>0</v>
      </c>
      <c r="R22" s="76">
        <v>0</v>
      </c>
      <c r="S22" s="58">
        <v>0</v>
      </c>
    </row>
    <row r="23" spans="1:19" ht="12" x14ac:dyDescent="0.2">
      <c r="A23" s="8"/>
      <c r="B23" s="2" t="s">
        <v>54</v>
      </c>
      <c r="C23" s="10">
        <v>257</v>
      </c>
      <c r="D23" s="10"/>
      <c r="E23" s="11" t="s">
        <v>11</v>
      </c>
      <c r="G23" s="57" t="s">
        <v>55</v>
      </c>
      <c r="H23" s="58">
        <v>0</v>
      </c>
      <c r="I23" s="58">
        <v>0</v>
      </c>
      <c r="J23" s="58">
        <v>0</v>
      </c>
      <c r="K23" s="58">
        <v>0</v>
      </c>
      <c r="L23" s="58">
        <v>0</v>
      </c>
      <c r="M23" s="58">
        <v>2</v>
      </c>
      <c r="N23" s="76">
        <v>0.54700000000000004</v>
      </c>
      <c r="O23" s="76">
        <v>0</v>
      </c>
      <c r="P23" s="76">
        <v>0</v>
      </c>
      <c r="Q23" s="76">
        <v>0</v>
      </c>
      <c r="R23" s="76">
        <v>0</v>
      </c>
      <c r="S23" s="58">
        <v>0</v>
      </c>
    </row>
    <row r="24" spans="1:19" ht="12" x14ac:dyDescent="0.2">
      <c r="A24" s="19"/>
      <c r="B24" s="2" t="s">
        <v>56</v>
      </c>
      <c r="C24" s="10" t="s">
        <v>57</v>
      </c>
      <c r="D24" s="10"/>
      <c r="E24" s="11" t="s">
        <v>11</v>
      </c>
      <c r="F24" s="19"/>
      <c r="G24" s="57" t="s">
        <v>58</v>
      </c>
      <c r="H24" s="58">
        <v>0</v>
      </c>
      <c r="I24" s="58">
        <v>0</v>
      </c>
      <c r="J24" s="58">
        <v>0</v>
      </c>
      <c r="K24" s="58">
        <v>0</v>
      </c>
      <c r="L24" s="58">
        <v>0</v>
      </c>
      <c r="M24" s="58">
        <v>0</v>
      </c>
      <c r="N24" s="76">
        <v>0</v>
      </c>
      <c r="O24" s="76">
        <v>0</v>
      </c>
      <c r="P24" s="76">
        <v>0</v>
      </c>
      <c r="Q24" s="76">
        <v>0</v>
      </c>
      <c r="R24" s="76">
        <v>0</v>
      </c>
      <c r="S24" s="58">
        <v>0</v>
      </c>
    </row>
    <row r="25" spans="1:19" ht="12" x14ac:dyDescent="0.2">
      <c r="A25" s="19"/>
      <c r="B25" s="2" t="s">
        <v>59</v>
      </c>
      <c r="C25" s="10" t="s">
        <v>60</v>
      </c>
      <c r="D25" s="10"/>
      <c r="E25" s="11" t="s">
        <v>11</v>
      </c>
      <c r="F25" s="19"/>
      <c r="G25" s="57" t="s">
        <v>61</v>
      </c>
      <c r="H25" s="58">
        <v>0</v>
      </c>
      <c r="I25" s="58">
        <v>0</v>
      </c>
      <c r="J25" s="58">
        <v>0</v>
      </c>
      <c r="K25" s="58">
        <v>0</v>
      </c>
      <c r="L25" s="58">
        <v>0</v>
      </c>
      <c r="M25" s="58">
        <v>0</v>
      </c>
      <c r="N25" s="76">
        <v>0</v>
      </c>
      <c r="O25" s="76">
        <v>0</v>
      </c>
      <c r="P25" s="76">
        <v>0</v>
      </c>
      <c r="Q25" s="76">
        <v>0</v>
      </c>
      <c r="R25" s="76">
        <v>0</v>
      </c>
      <c r="S25" s="58">
        <v>0</v>
      </c>
    </row>
    <row r="26" spans="1:19" ht="12" x14ac:dyDescent="0.2">
      <c r="A26" s="8"/>
      <c r="B26" s="2" t="s">
        <v>62</v>
      </c>
      <c r="C26" s="10">
        <v>28</v>
      </c>
      <c r="D26" s="10"/>
      <c r="E26" s="11" t="s">
        <v>11</v>
      </c>
      <c r="G26" s="57" t="s">
        <v>63</v>
      </c>
      <c r="H26" s="58">
        <v>0</v>
      </c>
      <c r="I26" s="58">
        <v>0</v>
      </c>
      <c r="J26" s="58">
        <v>0</v>
      </c>
      <c r="K26" s="58">
        <v>0</v>
      </c>
      <c r="L26" s="58">
        <v>0</v>
      </c>
      <c r="M26" s="58">
        <v>0</v>
      </c>
      <c r="N26" s="76">
        <v>0</v>
      </c>
      <c r="O26" s="76">
        <v>0</v>
      </c>
      <c r="P26" s="76">
        <v>0</v>
      </c>
      <c r="Q26" s="76">
        <v>0</v>
      </c>
      <c r="R26" s="76">
        <v>0</v>
      </c>
      <c r="S26" s="58">
        <v>0</v>
      </c>
    </row>
    <row r="27" spans="1:19" x14ac:dyDescent="0.2">
      <c r="A27" s="8"/>
      <c r="B27" s="2" t="s">
        <v>64</v>
      </c>
      <c r="C27" s="10">
        <v>29</v>
      </c>
      <c r="D27" s="10"/>
      <c r="E27" s="12"/>
      <c r="G27" s="57" t="s">
        <v>65</v>
      </c>
      <c r="H27" s="56">
        <f t="shared" ref="H27:S27" si="5">SUM(H28:H30)</f>
        <v>331.30200000000002</v>
      </c>
      <c r="I27" s="56">
        <f t="shared" si="5"/>
        <v>332.71100000000001</v>
      </c>
      <c r="J27" s="56">
        <f t="shared" si="5"/>
        <v>337.11400000000003</v>
      </c>
      <c r="K27" s="56">
        <f t="shared" si="5"/>
        <v>341.51900000000001</v>
      </c>
      <c r="L27" s="56">
        <f t="shared" si="5"/>
        <v>346.178</v>
      </c>
      <c r="M27" s="56">
        <f t="shared" si="5"/>
        <v>350.197</v>
      </c>
      <c r="N27" s="77">
        <f t="shared" si="5"/>
        <v>353.50099999999998</v>
      </c>
      <c r="O27" s="77">
        <f t="shared" si="5"/>
        <v>353.625</v>
      </c>
      <c r="P27" s="77">
        <f t="shared" si="5"/>
        <v>353.625</v>
      </c>
      <c r="Q27" s="77">
        <f t="shared" si="5"/>
        <v>353.625</v>
      </c>
      <c r="R27" s="77">
        <f t="shared" si="5"/>
        <v>353.625</v>
      </c>
      <c r="S27" s="56">
        <f t="shared" si="5"/>
        <v>353.625</v>
      </c>
    </row>
    <row r="28" spans="1:19" ht="12" x14ac:dyDescent="0.2">
      <c r="A28" s="8"/>
      <c r="B28" s="2" t="s">
        <v>66</v>
      </c>
      <c r="C28" s="8" t="s">
        <v>67</v>
      </c>
      <c r="D28" s="8"/>
      <c r="E28" s="11" t="s">
        <v>11</v>
      </c>
      <c r="G28" s="57" t="s">
        <v>68</v>
      </c>
      <c r="H28" s="58">
        <v>550.827</v>
      </c>
      <c r="I28" s="58">
        <v>550.827</v>
      </c>
      <c r="J28" s="58">
        <v>550.827</v>
      </c>
      <c r="K28" s="58">
        <v>550.827</v>
      </c>
      <c r="L28" s="58">
        <v>550.827</v>
      </c>
      <c r="M28" s="58">
        <v>550.827</v>
      </c>
      <c r="N28" s="76">
        <v>550.827</v>
      </c>
      <c r="O28" s="76">
        <v>550.827</v>
      </c>
      <c r="P28" s="76">
        <v>550.827</v>
      </c>
      <c r="Q28" s="76">
        <v>550.827</v>
      </c>
      <c r="R28" s="76">
        <v>550.827</v>
      </c>
      <c r="S28" s="76">
        <v>550.827</v>
      </c>
    </row>
    <row r="29" spans="1:19" ht="12" x14ac:dyDescent="0.2">
      <c r="A29" s="8"/>
      <c r="B29" s="2" t="s">
        <v>69</v>
      </c>
      <c r="C29" s="10">
        <v>298</v>
      </c>
      <c r="D29" s="10"/>
      <c r="E29" s="11" t="s">
        <v>11</v>
      </c>
      <c r="G29" s="57" t="s">
        <v>70</v>
      </c>
      <c r="H29" s="58">
        <v>-225.005</v>
      </c>
      <c r="I29" s="58">
        <v>-219.52500000000001</v>
      </c>
      <c r="J29" s="58">
        <v>-218.11600000000001</v>
      </c>
      <c r="K29" s="58">
        <v>-213.71299999999999</v>
      </c>
      <c r="L29" s="58">
        <v>-209.30799999999999</v>
      </c>
      <c r="M29" s="58">
        <v>-204.649</v>
      </c>
      <c r="N29" s="76">
        <v>-200.63</v>
      </c>
      <c r="O29" s="76">
        <v>-197.202</v>
      </c>
      <c r="P29" s="76">
        <v>-197.202</v>
      </c>
      <c r="Q29" s="76">
        <v>-197.202</v>
      </c>
      <c r="R29" s="76">
        <v>-197.202</v>
      </c>
      <c r="S29" s="76">
        <v>-197.202</v>
      </c>
    </row>
    <row r="30" spans="1:19" ht="12" x14ac:dyDescent="0.2">
      <c r="A30" s="8"/>
      <c r="B30" s="2" t="s">
        <v>71</v>
      </c>
      <c r="C30" s="10">
        <v>299</v>
      </c>
      <c r="D30" s="10"/>
      <c r="E30" s="11" t="s">
        <v>72</v>
      </c>
      <c r="G30" s="57" t="s">
        <v>73</v>
      </c>
      <c r="H30" s="58">
        <v>5.48</v>
      </c>
      <c r="I30" s="58">
        <v>1.409</v>
      </c>
      <c r="J30" s="58">
        <v>4.4029999999999996</v>
      </c>
      <c r="K30" s="58">
        <v>4.4050000000000002</v>
      </c>
      <c r="L30" s="58">
        <v>4.6589999999999998</v>
      </c>
      <c r="M30" s="58">
        <v>4.0190000000000001</v>
      </c>
      <c r="N30" s="76">
        <v>3.3039999999999998</v>
      </c>
      <c r="O30" s="76">
        <v>0</v>
      </c>
      <c r="P30" s="76">
        <v>0</v>
      </c>
      <c r="Q30" s="76">
        <v>0</v>
      </c>
      <c r="R30" s="76">
        <v>0</v>
      </c>
      <c r="S30" s="58">
        <v>0</v>
      </c>
    </row>
    <row r="31" spans="1:19" x14ac:dyDescent="0.2">
      <c r="A31" s="20"/>
      <c r="B31" s="2" t="s">
        <v>368</v>
      </c>
      <c r="C31" s="83" t="s">
        <v>369</v>
      </c>
      <c r="D31" s="21"/>
      <c r="E31" s="22"/>
      <c r="F31" s="20"/>
      <c r="G31" s="62" t="s">
        <v>74</v>
      </c>
      <c r="H31" s="63">
        <f t="shared" ref="H31:S31" si="6">H4-H18</f>
        <v>-1.00000000009004E-3</v>
      </c>
      <c r="I31" s="63">
        <f t="shared" si="6"/>
        <v>0</v>
      </c>
      <c r="J31" s="63">
        <f t="shared" si="6"/>
        <v>0</v>
      </c>
      <c r="K31" s="63">
        <f t="shared" si="6"/>
        <v>-9.9999999997635314E-4</v>
      </c>
      <c r="L31" s="63">
        <f t="shared" si="6"/>
        <v>-9.9999999997635314E-4</v>
      </c>
      <c r="M31" s="63">
        <f t="shared" si="6"/>
        <v>0</v>
      </c>
      <c r="N31" s="85">
        <f t="shared" si="6"/>
        <v>0</v>
      </c>
      <c r="O31" s="85">
        <f t="shared" si="6"/>
        <v>-5.6000000000040018E-2</v>
      </c>
      <c r="P31" s="85">
        <f t="shared" si="6"/>
        <v>-0.3569999999999709</v>
      </c>
      <c r="Q31" s="85">
        <f t="shared" si="6"/>
        <v>0.34199999999998454</v>
      </c>
      <c r="R31" s="85">
        <f t="shared" si="6"/>
        <v>4.100000000005366E-2</v>
      </c>
      <c r="S31" s="63">
        <f t="shared" si="6"/>
        <v>-0.25999999999999091</v>
      </c>
    </row>
    <row r="32" spans="1:19" x14ac:dyDescent="0.2">
      <c r="A32" s="8"/>
      <c r="B32" s="2"/>
      <c r="C32" s="10"/>
      <c r="D32" s="10"/>
      <c r="E32" s="9"/>
      <c r="G32" s="53" t="s">
        <v>75</v>
      </c>
      <c r="H32" s="64">
        <v>2011</v>
      </c>
      <c r="I32" s="64">
        <f t="shared" ref="I32:S32" si="7">H32+1</f>
        <v>2012</v>
      </c>
      <c r="J32" s="64">
        <f t="shared" si="7"/>
        <v>2013</v>
      </c>
      <c r="K32" s="64">
        <f t="shared" si="7"/>
        <v>2014</v>
      </c>
      <c r="L32" s="64">
        <f t="shared" si="7"/>
        <v>2015</v>
      </c>
      <c r="M32" s="64">
        <f t="shared" si="7"/>
        <v>2016</v>
      </c>
      <c r="N32" s="87">
        <f t="shared" si="7"/>
        <v>2017</v>
      </c>
      <c r="O32" s="87">
        <f t="shared" si="7"/>
        <v>2018</v>
      </c>
      <c r="P32" s="87">
        <f t="shared" si="7"/>
        <v>2019</v>
      </c>
      <c r="Q32" s="87">
        <f t="shared" si="7"/>
        <v>2020</v>
      </c>
      <c r="R32" s="87">
        <f t="shared" si="7"/>
        <v>2021</v>
      </c>
      <c r="S32" s="64">
        <f t="shared" si="7"/>
        <v>2022</v>
      </c>
    </row>
    <row r="33" spans="1:19" x14ac:dyDescent="0.2">
      <c r="A33" s="8"/>
      <c r="B33" s="2" t="s">
        <v>76</v>
      </c>
      <c r="C33" s="10">
        <v>3</v>
      </c>
      <c r="D33" s="10"/>
      <c r="E33" s="9"/>
      <c r="G33" s="55" t="s">
        <v>77</v>
      </c>
      <c r="H33" s="56">
        <f t="shared" ref="H33:S33" si="8">SUM(H34:H37)</f>
        <v>2011.116</v>
      </c>
      <c r="I33" s="56">
        <f t="shared" si="8"/>
        <v>1986.576</v>
      </c>
      <c r="J33" s="56">
        <f t="shared" si="8"/>
        <v>2121.0860000000002</v>
      </c>
      <c r="K33" s="56">
        <f t="shared" si="8"/>
        <v>2492.4520000000002</v>
      </c>
      <c r="L33" s="56">
        <f t="shared" si="8"/>
        <v>2540.2359999999999</v>
      </c>
      <c r="M33" s="56">
        <f t="shared" si="8"/>
        <v>2602.8029999999999</v>
      </c>
      <c r="N33" s="77">
        <f t="shared" si="8"/>
        <v>2727.8990000000003</v>
      </c>
      <c r="O33" s="77">
        <f t="shared" si="8"/>
        <v>3109.2810000000004</v>
      </c>
      <c r="P33" s="77">
        <f t="shared" si="8"/>
        <v>3160</v>
      </c>
      <c r="Q33" s="77">
        <f t="shared" si="8"/>
        <v>3187</v>
      </c>
      <c r="R33" s="77">
        <f t="shared" si="8"/>
        <v>3214</v>
      </c>
      <c r="S33" s="56">
        <f t="shared" si="8"/>
        <v>3258</v>
      </c>
    </row>
    <row r="34" spans="1:19" ht="12" x14ac:dyDescent="0.2">
      <c r="A34" s="8"/>
      <c r="B34" s="2" t="s">
        <v>78</v>
      </c>
      <c r="C34" s="10">
        <v>30</v>
      </c>
      <c r="D34" s="10"/>
      <c r="E34" s="11" t="s">
        <v>11</v>
      </c>
      <c r="G34" s="57" t="s">
        <v>79</v>
      </c>
      <c r="H34" s="58">
        <v>0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76">
        <v>0</v>
      </c>
      <c r="O34" s="76">
        <v>0</v>
      </c>
      <c r="P34" s="76">
        <v>0</v>
      </c>
      <c r="Q34" s="76">
        <v>0</v>
      </c>
      <c r="R34" s="76">
        <v>0</v>
      </c>
      <c r="S34" s="58">
        <v>0</v>
      </c>
    </row>
    <row r="35" spans="1:19" ht="12" x14ac:dyDescent="0.2">
      <c r="A35" s="8"/>
      <c r="B35" s="2" t="s">
        <v>80</v>
      </c>
      <c r="C35" s="10">
        <v>32</v>
      </c>
      <c r="D35" s="10"/>
      <c r="E35" s="11" t="s">
        <v>11</v>
      </c>
      <c r="G35" s="57" t="s">
        <v>81</v>
      </c>
      <c r="H35" s="58">
        <v>474.15800000000002</v>
      </c>
      <c r="I35" s="58">
        <v>485.589</v>
      </c>
      <c r="J35" s="58">
        <v>497.971</v>
      </c>
      <c r="K35" s="58">
        <v>545.89099999999996</v>
      </c>
      <c r="L35" s="58">
        <v>560.56799999999998</v>
      </c>
      <c r="M35" s="58">
        <v>541.577</v>
      </c>
      <c r="N35" s="76">
        <v>557.15700000000004</v>
      </c>
      <c r="O35" s="76">
        <v>543.9</v>
      </c>
      <c r="P35" s="76">
        <v>550</v>
      </c>
      <c r="Q35" s="76">
        <v>552</v>
      </c>
      <c r="R35" s="76">
        <v>554</v>
      </c>
      <c r="S35" s="58">
        <v>558</v>
      </c>
    </row>
    <row r="36" spans="1:19" ht="12" x14ac:dyDescent="0.2">
      <c r="A36" s="13"/>
      <c r="B36" s="2" t="s">
        <v>82</v>
      </c>
      <c r="C36" s="10">
        <v>35</v>
      </c>
      <c r="D36" s="10"/>
      <c r="E36" s="11" t="s">
        <v>11</v>
      </c>
      <c r="F36" s="13"/>
      <c r="G36" s="57" t="s">
        <v>83</v>
      </c>
      <c r="H36" s="58">
        <v>1514.607</v>
      </c>
      <c r="I36" s="58">
        <v>1491.059</v>
      </c>
      <c r="J36" s="58">
        <v>1618.32</v>
      </c>
      <c r="K36" s="58">
        <v>1931.556</v>
      </c>
      <c r="L36" s="58">
        <v>1967.7729999999999</v>
      </c>
      <c r="M36" s="58">
        <v>2046.146</v>
      </c>
      <c r="N36" s="76">
        <v>2162.259</v>
      </c>
      <c r="O36" s="76">
        <v>2564.4810000000002</v>
      </c>
      <c r="P36" s="76">
        <v>2610</v>
      </c>
      <c r="Q36" s="76">
        <v>2635</v>
      </c>
      <c r="R36" s="76">
        <v>2660</v>
      </c>
      <c r="S36" s="58">
        <v>2700</v>
      </c>
    </row>
    <row r="37" spans="1:19" ht="12" x14ac:dyDescent="0.2">
      <c r="A37" s="8"/>
      <c r="B37" s="2" t="s">
        <v>84</v>
      </c>
      <c r="C37" s="10">
        <v>38</v>
      </c>
      <c r="D37" s="10"/>
      <c r="E37" s="11" t="s">
        <v>72</v>
      </c>
      <c r="G37" s="57" t="s">
        <v>85</v>
      </c>
      <c r="H37" s="58">
        <v>22.350999999999999</v>
      </c>
      <c r="I37" s="58">
        <v>9.9280000000000008</v>
      </c>
      <c r="J37" s="58">
        <v>4.7949999999999999</v>
      </c>
      <c r="K37" s="58">
        <v>15.005000000000001</v>
      </c>
      <c r="L37" s="58">
        <v>11.895</v>
      </c>
      <c r="M37" s="58">
        <v>15.08</v>
      </c>
      <c r="N37" s="76">
        <v>8.4830000000000005</v>
      </c>
      <c r="O37" s="76">
        <v>0.9</v>
      </c>
      <c r="P37" s="76">
        <v>0</v>
      </c>
      <c r="Q37" s="76">
        <v>0</v>
      </c>
      <c r="R37" s="76">
        <v>0</v>
      </c>
      <c r="S37" s="58">
        <v>0</v>
      </c>
    </row>
    <row r="38" spans="1:19" x14ac:dyDescent="0.2">
      <c r="A38" s="8"/>
      <c r="B38" s="2" t="s">
        <v>86</v>
      </c>
      <c r="C38" s="10">
        <v>4</v>
      </c>
      <c r="D38" s="10"/>
      <c r="E38" s="23"/>
      <c r="G38" s="57" t="s">
        <v>87</v>
      </c>
      <c r="H38" s="56">
        <f t="shared" ref="H38:S38" si="9">H39+H40</f>
        <v>0</v>
      </c>
      <c r="I38" s="56">
        <f t="shared" si="9"/>
        <v>0</v>
      </c>
      <c r="J38" s="56">
        <f t="shared" si="9"/>
        <v>0</v>
      </c>
      <c r="K38" s="56">
        <f t="shared" si="9"/>
        <v>0</v>
      </c>
      <c r="L38" s="56">
        <f t="shared" si="9"/>
        <v>0</v>
      </c>
      <c r="M38" s="56">
        <f t="shared" si="9"/>
        <v>0</v>
      </c>
      <c r="N38" s="77">
        <f t="shared" si="9"/>
        <v>0</v>
      </c>
      <c r="O38" s="77">
        <f t="shared" si="9"/>
        <v>0</v>
      </c>
      <c r="P38" s="77">
        <f t="shared" si="9"/>
        <v>0</v>
      </c>
      <c r="Q38" s="77">
        <f t="shared" si="9"/>
        <v>0</v>
      </c>
      <c r="R38" s="77">
        <f t="shared" si="9"/>
        <v>0</v>
      </c>
      <c r="S38" s="56">
        <f t="shared" si="9"/>
        <v>0</v>
      </c>
    </row>
    <row r="39" spans="1:19" ht="12" x14ac:dyDescent="0.2">
      <c r="A39" s="8"/>
      <c r="B39" s="2" t="s">
        <v>88</v>
      </c>
      <c r="C39" s="10">
        <v>41</v>
      </c>
      <c r="D39" s="10"/>
      <c r="E39" s="11" t="s">
        <v>89</v>
      </c>
      <c r="G39" s="57" t="s">
        <v>90</v>
      </c>
      <c r="H39" s="58">
        <v>0</v>
      </c>
      <c r="I39" s="58">
        <v>0</v>
      </c>
      <c r="J39" s="58">
        <v>0</v>
      </c>
      <c r="K39" s="58">
        <v>0</v>
      </c>
      <c r="L39" s="58">
        <v>0</v>
      </c>
      <c r="M39" s="58">
        <v>0</v>
      </c>
      <c r="N39" s="76">
        <v>0</v>
      </c>
      <c r="O39" s="76">
        <v>0</v>
      </c>
      <c r="P39" s="76">
        <v>0</v>
      </c>
      <c r="Q39" s="76">
        <v>0</v>
      </c>
      <c r="R39" s="76">
        <v>0</v>
      </c>
      <c r="S39" s="58">
        <v>0</v>
      </c>
    </row>
    <row r="40" spans="1:19" ht="12" x14ac:dyDescent="0.2">
      <c r="A40" s="8"/>
      <c r="B40" s="2" t="s">
        <v>91</v>
      </c>
      <c r="C40" s="10">
        <v>45</v>
      </c>
      <c r="D40" s="10"/>
      <c r="E40" s="11" t="s">
        <v>89</v>
      </c>
      <c r="G40" s="57" t="s">
        <v>92</v>
      </c>
      <c r="H40" s="58">
        <v>0</v>
      </c>
      <c r="I40" s="58">
        <v>0</v>
      </c>
      <c r="J40" s="58">
        <v>0</v>
      </c>
      <c r="K40" s="58">
        <v>0</v>
      </c>
      <c r="L40" s="58">
        <v>0</v>
      </c>
      <c r="M40" s="58">
        <v>0</v>
      </c>
      <c r="N40" s="76">
        <v>0</v>
      </c>
      <c r="O40" s="76">
        <v>0</v>
      </c>
      <c r="P40" s="76">
        <v>0</v>
      </c>
      <c r="Q40" s="76">
        <v>0</v>
      </c>
      <c r="R40" s="76">
        <v>0</v>
      </c>
      <c r="S40" s="58">
        <v>0</v>
      </c>
    </row>
    <row r="41" spans="1:19" x14ac:dyDescent="0.2">
      <c r="A41" s="13"/>
      <c r="B41" s="2" t="s">
        <v>93</v>
      </c>
      <c r="C41" s="10" t="s">
        <v>94</v>
      </c>
      <c r="D41" s="10"/>
      <c r="E41" s="23"/>
      <c r="F41" s="13"/>
      <c r="G41" s="57" t="s">
        <v>95</v>
      </c>
      <c r="H41" s="56">
        <f t="shared" ref="H41:S41" si="10">SUM(H42:H45)</f>
        <v>-2006.7040000000002</v>
      </c>
      <c r="I41" s="56">
        <f t="shared" si="10"/>
        <v>-1985.4930000000002</v>
      </c>
      <c r="J41" s="56">
        <f t="shared" si="10"/>
        <v>-2116.683</v>
      </c>
      <c r="K41" s="56">
        <f t="shared" si="10"/>
        <v>-2488.0460000000003</v>
      </c>
      <c r="L41" s="56">
        <f t="shared" si="10"/>
        <v>-2536.8809999999999</v>
      </c>
      <c r="M41" s="56">
        <f t="shared" si="10"/>
        <v>-2599.7999999999997</v>
      </c>
      <c r="N41" s="77">
        <f t="shared" si="10"/>
        <v>-2724.5949999999998</v>
      </c>
      <c r="O41" s="77">
        <f t="shared" si="10"/>
        <v>-3109.2799999999997</v>
      </c>
      <c r="P41" s="77">
        <f t="shared" si="10"/>
        <v>-3160.0439999999999</v>
      </c>
      <c r="Q41" s="77">
        <f t="shared" si="10"/>
        <v>-3187.0439999999999</v>
      </c>
      <c r="R41" s="77">
        <f t="shared" si="10"/>
        <v>-3214.0439999999999</v>
      </c>
      <c r="S41" s="56">
        <f t="shared" si="10"/>
        <v>-3258.0439999999999</v>
      </c>
    </row>
    <row r="42" spans="1:19" ht="12" x14ac:dyDescent="0.2">
      <c r="A42" s="8"/>
      <c r="B42" s="2" t="s">
        <v>96</v>
      </c>
      <c r="C42" s="10">
        <v>50</v>
      </c>
      <c r="D42" s="10"/>
      <c r="E42" s="11" t="s">
        <v>89</v>
      </c>
      <c r="G42" s="57" t="s">
        <v>97</v>
      </c>
      <c r="H42" s="58">
        <v>-1097.758</v>
      </c>
      <c r="I42" s="58">
        <v>-1111.9760000000001</v>
      </c>
      <c r="J42" s="58">
        <v>-1190.462</v>
      </c>
      <c r="K42" s="58">
        <v>-1368.3589999999999</v>
      </c>
      <c r="L42" s="58">
        <v>-1479.9670000000001</v>
      </c>
      <c r="M42" s="58">
        <v>-1531.44</v>
      </c>
      <c r="N42" s="76">
        <v>-1627.0329999999999</v>
      </c>
      <c r="O42" s="76">
        <v>-1898.7560000000001</v>
      </c>
      <c r="P42" s="76">
        <v>-1950</v>
      </c>
      <c r="Q42" s="76">
        <v>-1975</v>
      </c>
      <c r="R42" s="76">
        <v>-2000</v>
      </c>
      <c r="S42" s="58">
        <v>-2050</v>
      </c>
    </row>
    <row r="43" spans="1:19" ht="12" x14ac:dyDescent="0.2">
      <c r="A43" s="8"/>
      <c r="B43" s="2" t="s">
        <v>98</v>
      </c>
      <c r="C43" s="10">
        <v>55</v>
      </c>
      <c r="D43" s="10"/>
      <c r="E43" s="11" t="s">
        <v>89</v>
      </c>
      <c r="G43" s="57" t="s">
        <v>99</v>
      </c>
      <c r="H43" s="58">
        <v>-899.56200000000001</v>
      </c>
      <c r="I43" s="58">
        <v>-863.45299999999997</v>
      </c>
      <c r="J43" s="58">
        <v>-916.221</v>
      </c>
      <c r="K43" s="58">
        <v>-1102.847</v>
      </c>
      <c r="L43" s="58">
        <v>-1039.431</v>
      </c>
      <c r="M43" s="58">
        <v>-1050.511</v>
      </c>
      <c r="N43" s="76">
        <v>-1079.902</v>
      </c>
      <c r="O43" s="76">
        <v>-1198.78</v>
      </c>
      <c r="P43" s="76">
        <v>-1200</v>
      </c>
      <c r="Q43" s="76">
        <v>-1202</v>
      </c>
      <c r="R43" s="76">
        <v>-1204</v>
      </c>
      <c r="S43" s="58">
        <v>-1198</v>
      </c>
    </row>
    <row r="44" spans="1:19" ht="12" x14ac:dyDescent="0.2">
      <c r="A44" s="13"/>
      <c r="B44" s="2" t="s">
        <v>100</v>
      </c>
      <c r="C44" s="10">
        <v>60</v>
      </c>
      <c r="D44" s="10"/>
      <c r="E44" s="11" t="s">
        <v>89</v>
      </c>
      <c r="F44" s="13"/>
      <c r="G44" s="57" t="s">
        <v>101</v>
      </c>
      <c r="H44" s="58">
        <v>-1.127</v>
      </c>
      <c r="I44" s="58">
        <v>-1.8069999999999999</v>
      </c>
      <c r="J44" s="58">
        <v>-1.5549999999999999</v>
      </c>
      <c r="K44" s="58">
        <v>-7.6189999999999998</v>
      </c>
      <c r="L44" s="58">
        <v>-7.6580000000000004</v>
      </c>
      <c r="M44" s="58">
        <v>-7.8049999999999997</v>
      </c>
      <c r="N44" s="76">
        <v>-7.6159999999999997</v>
      </c>
      <c r="O44" s="76">
        <v>-1.7</v>
      </c>
      <c r="P44" s="76">
        <v>0</v>
      </c>
      <c r="Q44" s="76">
        <v>0</v>
      </c>
      <c r="R44" s="76">
        <v>0</v>
      </c>
      <c r="S44" s="58">
        <v>0</v>
      </c>
    </row>
    <row r="45" spans="1:19" ht="12" x14ac:dyDescent="0.2">
      <c r="A45" s="8"/>
      <c r="B45" s="2" t="s">
        <v>102</v>
      </c>
      <c r="C45" s="10">
        <v>61</v>
      </c>
      <c r="D45" s="10"/>
      <c r="E45" s="11" t="s">
        <v>89</v>
      </c>
      <c r="G45" s="57" t="s">
        <v>103</v>
      </c>
      <c r="H45" s="58">
        <v>-8.2569999999999997</v>
      </c>
      <c r="I45" s="58">
        <v>-8.2569999999999997</v>
      </c>
      <c r="J45" s="58">
        <v>-8.4450000000000003</v>
      </c>
      <c r="K45" s="58">
        <v>-9.2210000000000001</v>
      </c>
      <c r="L45" s="58">
        <v>-9.8249999999999993</v>
      </c>
      <c r="M45" s="58">
        <v>-10.044</v>
      </c>
      <c r="N45" s="76">
        <v>-10.044</v>
      </c>
      <c r="O45" s="76">
        <v>-10.044</v>
      </c>
      <c r="P45" s="76">
        <v>-10.044</v>
      </c>
      <c r="Q45" s="76">
        <v>-10.044</v>
      </c>
      <c r="R45" s="76">
        <v>-10.044</v>
      </c>
      <c r="S45" s="76">
        <v>-10.044</v>
      </c>
    </row>
    <row r="46" spans="1:19" x14ac:dyDescent="0.2">
      <c r="A46" s="8"/>
      <c r="B46" s="2" t="s">
        <v>104</v>
      </c>
      <c r="C46" s="10"/>
      <c r="D46" s="10"/>
      <c r="E46" s="9"/>
      <c r="G46" s="57" t="s">
        <v>105</v>
      </c>
      <c r="H46" s="56">
        <f t="shared" ref="H46:S46" si="11">H33+H38+H41</f>
        <v>4.4119999999998072</v>
      </c>
      <c r="I46" s="56">
        <f t="shared" si="11"/>
        <v>1.0829999999998563</v>
      </c>
      <c r="J46" s="56">
        <f t="shared" si="11"/>
        <v>4.4030000000002474</v>
      </c>
      <c r="K46" s="56">
        <f t="shared" si="11"/>
        <v>4.4059999999999491</v>
      </c>
      <c r="L46" s="56">
        <f t="shared" si="11"/>
        <v>3.3550000000000182</v>
      </c>
      <c r="M46" s="56">
        <f t="shared" si="11"/>
        <v>3.0030000000001564</v>
      </c>
      <c r="N46" s="77">
        <f t="shared" si="11"/>
        <v>3.3040000000005421</v>
      </c>
      <c r="O46" s="77">
        <f t="shared" si="11"/>
        <v>1.0000000006584742E-3</v>
      </c>
      <c r="P46" s="77">
        <f t="shared" si="11"/>
        <v>-4.3999999999869033E-2</v>
      </c>
      <c r="Q46" s="77">
        <f t="shared" si="11"/>
        <v>-4.3999999999869033E-2</v>
      </c>
      <c r="R46" s="77">
        <f t="shared" si="11"/>
        <v>-4.3999999999869033E-2</v>
      </c>
      <c r="S46" s="56">
        <f t="shared" si="11"/>
        <v>-4.3999999999869033E-2</v>
      </c>
    </row>
    <row r="47" spans="1:19" ht="12" x14ac:dyDescent="0.2">
      <c r="A47" s="8"/>
      <c r="B47" s="2" t="s">
        <v>106</v>
      </c>
      <c r="C47" s="10">
        <v>65</v>
      </c>
      <c r="D47" s="10"/>
      <c r="E47" s="11" t="s">
        <v>72</v>
      </c>
      <c r="G47" s="57" t="s">
        <v>107</v>
      </c>
      <c r="H47" s="58">
        <v>1.0680000000000001</v>
      </c>
      <c r="I47" s="58">
        <v>0.32700000000000001</v>
      </c>
      <c r="J47" s="58">
        <v>0</v>
      </c>
      <c r="K47" s="58">
        <v>0</v>
      </c>
      <c r="L47" s="58">
        <v>1.3129999999999999</v>
      </c>
      <c r="M47" s="58">
        <v>1.016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</row>
    <row r="48" spans="1:19" x14ac:dyDescent="0.2">
      <c r="A48" s="8"/>
      <c r="B48" s="2" t="s">
        <v>108</v>
      </c>
      <c r="C48" s="10"/>
      <c r="D48" s="10"/>
      <c r="E48" s="9"/>
      <c r="G48" s="57" t="s">
        <v>109</v>
      </c>
      <c r="H48" s="56">
        <f t="shared" ref="H48:S48" si="12">H46+H47</f>
        <v>5.4799999999998068</v>
      </c>
      <c r="I48" s="56">
        <f t="shared" si="12"/>
        <v>1.4099999999998563</v>
      </c>
      <c r="J48" s="56">
        <f t="shared" si="12"/>
        <v>4.4030000000002474</v>
      </c>
      <c r="K48" s="56">
        <f t="shared" si="12"/>
        <v>4.4059999999999491</v>
      </c>
      <c r="L48" s="56">
        <f t="shared" si="12"/>
        <v>4.6680000000000179</v>
      </c>
      <c r="M48" s="56">
        <f t="shared" si="12"/>
        <v>4.0190000000001564</v>
      </c>
      <c r="N48" s="77">
        <f t="shared" si="12"/>
        <v>3.3040000000005421</v>
      </c>
      <c r="O48" s="77">
        <f t="shared" si="12"/>
        <v>1.0000000006584742E-3</v>
      </c>
      <c r="P48" s="77">
        <f t="shared" si="12"/>
        <v>-4.3999999999869033E-2</v>
      </c>
      <c r="Q48" s="77">
        <f t="shared" si="12"/>
        <v>-4.3999999999869033E-2</v>
      </c>
      <c r="R48" s="77">
        <f t="shared" si="12"/>
        <v>-4.3999999999869033E-2</v>
      </c>
      <c r="S48" s="56">
        <f t="shared" si="12"/>
        <v>-4.3999999999869033E-2</v>
      </c>
    </row>
    <row r="49" spans="1:19" ht="12" x14ac:dyDescent="0.2">
      <c r="A49" s="8"/>
      <c r="B49" s="2" t="s">
        <v>110</v>
      </c>
      <c r="C49" s="10">
        <v>68</v>
      </c>
      <c r="D49" s="10"/>
      <c r="E49" s="11" t="s">
        <v>89</v>
      </c>
      <c r="G49" s="57" t="s">
        <v>111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76">
        <v>0</v>
      </c>
      <c r="O49" s="76">
        <v>0</v>
      </c>
      <c r="P49" s="76">
        <v>0</v>
      </c>
      <c r="Q49" s="76">
        <v>0</v>
      </c>
      <c r="R49" s="76">
        <v>0</v>
      </c>
      <c r="S49" s="58">
        <v>0</v>
      </c>
    </row>
    <row r="50" spans="1:19" ht="12" x14ac:dyDescent="0.2">
      <c r="A50" s="8"/>
      <c r="B50" s="2" t="s">
        <v>112</v>
      </c>
      <c r="C50" s="10">
        <v>69</v>
      </c>
      <c r="D50" s="10"/>
      <c r="E50" s="11" t="s">
        <v>11</v>
      </c>
      <c r="G50" s="57" t="s">
        <v>113</v>
      </c>
      <c r="H50" s="58">
        <v>0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76">
        <v>0</v>
      </c>
      <c r="O50" s="76">
        <v>0</v>
      </c>
      <c r="P50" s="76">
        <v>0</v>
      </c>
      <c r="Q50" s="76">
        <v>0</v>
      </c>
      <c r="R50" s="76">
        <v>0</v>
      </c>
      <c r="S50" s="58">
        <v>0</v>
      </c>
    </row>
    <row r="51" spans="1:19" x14ac:dyDescent="0.2">
      <c r="A51" s="8"/>
      <c r="B51" s="2" t="s">
        <v>114</v>
      </c>
      <c r="C51" s="10"/>
      <c r="D51" s="10"/>
      <c r="E51" s="9"/>
      <c r="G51" s="57" t="s">
        <v>115</v>
      </c>
      <c r="H51" s="56">
        <f t="shared" ref="H51:S51" si="13">H48+H49+H50</f>
        <v>5.4799999999998068</v>
      </c>
      <c r="I51" s="56">
        <f t="shared" si="13"/>
        <v>1.4099999999998563</v>
      </c>
      <c r="J51" s="56">
        <f t="shared" si="13"/>
        <v>4.4030000000002474</v>
      </c>
      <c r="K51" s="56">
        <f t="shared" si="13"/>
        <v>4.4059999999999491</v>
      </c>
      <c r="L51" s="56">
        <f t="shared" si="13"/>
        <v>4.6680000000000179</v>
      </c>
      <c r="M51" s="56">
        <f t="shared" si="13"/>
        <v>4.0190000000001564</v>
      </c>
      <c r="N51" s="77">
        <f t="shared" si="13"/>
        <v>3.3040000000005421</v>
      </c>
      <c r="O51" s="77">
        <f t="shared" si="13"/>
        <v>1.0000000006584742E-3</v>
      </c>
      <c r="P51" s="77">
        <f t="shared" si="13"/>
        <v>-4.3999999999869033E-2</v>
      </c>
      <c r="Q51" s="77">
        <f t="shared" si="13"/>
        <v>-4.3999999999869033E-2</v>
      </c>
      <c r="R51" s="77">
        <f t="shared" si="13"/>
        <v>-4.3999999999869033E-2</v>
      </c>
      <c r="S51" s="56">
        <f t="shared" si="13"/>
        <v>-4.3999999999869033E-2</v>
      </c>
    </row>
    <row r="52" spans="1:19" x14ac:dyDescent="0.2">
      <c r="A52" s="24"/>
      <c r="B52" s="2" t="s">
        <v>370</v>
      </c>
      <c r="C52" s="83" t="s">
        <v>371</v>
      </c>
      <c r="D52" s="25"/>
      <c r="E52" s="26"/>
      <c r="F52" s="24"/>
      <c r="G52" s="62" t="s">
        <v>116</v>
      </c>
      <c r="H52" s="63">
        <f t="shared" ref="H52:S52" si="14">H30-H51</f>
        <v>1.936228954946273E-13</v>
      </c>
      <c r="I52" s="63">
        <f t="shared" si="14"/>
        <v>-9.9999999985622701E-4</v>
      </c>
      <c r="J52" s="63">
        <f t="shared" si="14"/>
        <v>-2.4780177909633494E-13</v>
      </c>
      <c r="K52" s="63">
        <f t="shared" si="14"/>
        <v>-9.9999999994881961E-4</v>
      </c>
      <c r="L52" s="63">
        <f t="shared" si="14"/>
        <v>-9.0000000000181046E-3</v>
      </c>
      <c r="M52" s="63">
        <f t="shared" si="14"/>
        <v>-1.5631940186722204E-13</v>
      </c>
      <c r="N52" s="85">
        <f t="shared" si="14"/>
        <v>-5.4223292522692645E-13</v>
      </c>
      <c r="O52" s="85">
        <f t="shared" si="14"/>
        <v>-1.0000000006584742E-3</v>
      </c>
      <c r="P52" s="85">
        <f t="shared" si="14"/>
        <v>4.3999999999869033E-2</v>
      </c>
      <c r="Q52" s="85">
        <f t="shared" si="14"/>
        <v>4.3999999999869033E-2</v>
      </c>
      <c r="R52" s="85">
        <f t="shared" si="14"/>
        <v>4.3999999999869033E-2</v>
      </c>
      <c r="S52" s="63">
        <f t="shared" si="14"/>
        <v>4.3999999999869033E-2</v>
      </c>
    </row>
    <row r="53" spans="1:19" x14ac:dyDescent="0.2">
      <c r="A53" s="8"/>
      <c r="B53" s="2"/>
      <c r="C53" s="10"/>
      <c r="D53" s="10"/>
      <c r="E53" s="9"/>
      <c r="G53" s="65" t="s">
        <v>117</v>
      </c>
      <c r="H53" s="48"/>
      <c r="I53" s="48"/>
      <c r="J53" s="48"/>
      <c r="K53" s="48"/>
      <c r="L53" s="48"/>
      <c r="M53" s="48"/>
      <c r="N53" s="4"/>
      <c r="O53" s="4"/>
      <c r="P53" s="4"/>
      <c r="Q53" s="4"/>
      <c r="R53" s="4"/>
      <c r="S53" s="48"/>
    </row>
    <row r="54" spans="1:19" ht="12" x14ac:dyDescent="0.2">
      <c r="A54" s="8"/>
      <c r="B54" s="2"/>
      <c r="C54" s="10">
        <v>90</v>
      </c>
      <c r="D54" s="10"/>
      <c r="E54" s="11" t="s">
        <v>11</v>
      </c>
      <c r="G54" s="65" t="s">
        <v>118</v>
      </c>
      <c r="H54" s="58">
        <v>87</v>
      </c>
      <c r="I54" s="58">
        <v>76</v>
      </c>
      <c r="J54" s="58">
        <v>77</v>
      </c>
      <c r="K54" s="58">
        <v>80</v>
      </c>
      <c r="L54" s="58">
        <v>81</v>
      </c>
      <c r="M54" s="58">
        <v>79</v>
      </c>
      <c r="N54" s="76">
        <v>80</v>
      </c>
      <c r="O54" s="76">
        <v>80</v>
      </c>
      <c r="P54" s="76">
        <v>80</v>
      </c>
      <c r="Q54" s="76">
        <v>80</v>
      </c>
      <c r="R54" s="76">
        <v>80</v>
      </c>
      <c r="S54" s="58">
        <v>80</v>
      </c>
    </row>
    <row r="55" spans="1:19" ht="12" x14ac:dyDescent="0.2">
      <c r="A55" s="8"/>
      <c r="B55" s="2"/>
      <c r="C55" s="10"/>
      <c r="D55" s="10"/>
      <c r="E55" s="11" t="s">
        <v>11</v>
      </c>
      <c r="G55" s="65" t="s">
        <v>119</v>
      </c>
      <c r="H55" s="58"/>
      <c r="I55" s="58"/>
      <c r="J55" s="58"/>
      <c r="K55" s="58"/>
      <c r="L55" s="66"/>
      <c r="M55" s="66"/>
      <c r="N55" s="88"/>
      <c r="O55" s="88"/>
      <c r="P55" s="88"/>
      <c r="Q55" s="88"/>
      <c r="R55" s="88"/>
      <c r="S55" s="66"/>
    </row>
    <row r="56" spans="1:19" x14ac:dyDescent="0.2">
      <c r="A56" s="8"/>
      <c r="B56" s="2"/>
      <c r="C56" s="10"/>
      <c r="D56" s="10"/>
      <c r="E56" s="9"/>
      <c r="G56" s="67"/>
      <c r="H56" s="48"/>
      <c r="I56" s="48"/>
      <c r="J56" s="48"/>
      <c r="K56" s="48"/>
      <c r="L56" s="48"/>
      <c r="M56" s="48"/>
      <c r="N56" s="4"/>
      <c r="O56" s="4"/>
      <c r="P56" s="4"/>
      <c r="Q56" s="4"/>
      <c r="R56" s="4"/>
      <c r="S56" s="48"/>
    </row>
    <row r="57" spans="1:19" x14ac:dyDescent="0.2">
      <c r="A57" s="8"/>
      <c r="B57" s="2"/>
      <c r="C57" s="10"/>
      <c r="D57" s="29" t="s">
        <v>120</v>
      </c>
      <c r="E57" s="30" t="s">
        <v>3</v>
      </c>
      <c r="F57" s="9"/>
      <c r="G57" s="53" t="s">
        <v>121</v>
      </c>
      <c r="H57" s="64">
        <f t="shared" ref="H57:S57" si="15">H32</f>
        <v>2011</v>
      </c>
      <c r="I57" s="64">
        <f t="shared" si="15"/>
        <v>2012</v>
      </c>
      <c r="J57" s="64">
        <f t="shared" si="15"/>
        <v>2013</v>
      </c>
      <c r="K57" s="64">
        <f t="shared" si="15"/>
        <v>2014</v>
      </c>
      <c r="L57" s="64">
        <f t="shared" si="15"/>
        <v>2015</v>
      </c>
      <c r="M57" s="64">
        <f t="shared" si="15"/>
        <v>2016</v>
      </c>
      <c r="N57" s="87">
        <f t="shared" si="15"/>
        <v>2017</v>
      </c>
      <c r="O57" s="87">
        <f t="shared" si="15"/>
        <v>2018</v>
      </c>
      <c r="P57" s="87">
        <f t="shared" si="15"/>
        <v>2019</v>
      </c>
      <c r="Q57" s="87">
        <f t="shared" si="15"/>
        <v>2020</v>
      </c>
      <c r="R57" s="87">
        <f t="shared" si="15"/>
        <v>2021</v>
      </c>
      <c r="S57" s="64">
        <f t="shared" si="15"/>
        <v>2022</v>
      </c>
    </row>
    <row r="58" spans="1:19" ht="12" x14ac:dyDescent="0.2">
      <c r="A58" s="8"/>
      <c r="B58" s="31" t="s">
        <v>122</v>
      </c>
      <c r="C58" s="8" t="s">
        <v>123</v>
      </c>
      <c r="D58" s="32" t="s">
        <v>124</v>
      </c>
      <c r="E58" s="11" t="s">
        <v>89</v>
      </c>
      <c r="F58" s="12"/>
      <c r="G58" s="55" t="s">
        <v>125</v>
      </c>
      <c r="H58" s="58">
        <v>0</v>
      </c>
      <c r="I58" s="58">
        <v>0</v>
      </c>
      <c r="J58" s="58">
        <v>-37.575000000000003</v>
      </c>
      <c r="K58" s="58">
        <v>-24.398</v>
      </c>
      <c r="L58" s="58">
        <v>-10.305</v>
      </c>
      <c r="M58" s="58">
        <v>0</v>
      </c>
      <c r="N58" s="76">
        <v>0</v>
      </c>
      <c r="O58" s="76">
        <v>0</v>
      </c>
      <c r="P58" s="76">
        <v>0</v>
      </c>
      <c r="Q58" s="76">
        <v>0</v>
      </c>
      <c r="R58" s="76">
        <v>0</v>
      </c>
      <c r="S58" s="58">
        <v>0</v>
      </c>
    </row>
    <row r="59" spans="1:19" ht="12" x14ac:dyDescent="0.2">
      <c r="A59" s="8"/>
      <c r="B59" s="31" t="s">
        <v>126</v>
      </c>
      <c r="C59" s="33" t="s">
        <v>127</v>
      </c>
      <c r="D59" s="32" t="s">
        <v>128</v>
      </c>
      <c r="E59" s="11" t="s">
        <v>11</v>
      </c>
      <c r="F59" s="12"/>
      <c r="G59" s="68" t="s">
        <v>129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76">
        <v>0</v>
      </c>
      <c r="O59" s="76">
        <v>0</v>
      </c>
      <c r="P59" s="76">
        <v>0</v>
      </c>
      <c r="Q59" s="76">
        <v>0</v>
      </c>
      <c r="R59" s="76">
        <v>0</v>
      </c>
      <c r="S59" s="58">
        <v>0</v>
      </c>
    </row>
    <row r="60" spans="1:19" ht="12" x14ac:dyDescent="0.2">
      <c r="A60" s="8"/>
      <c r="B60" s="31" t="s">
        <v>130</v>
      </c>
      <c r="C60" s="34" t="s">
        <v>372</v>
      </c>
      <c r="D60" s="32" t="s">
        <v>131</v>
      </c>
      <c r="E60" s="11" t="s">
        <v>11</v>
      </c>
      <c r="F60" s="12"/>
      <c r="G60" s="57" t="s">
        <v>132</v>
      </c>
      <c r="H60" s="58">
        <v>0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76">
        <v>0</v>
      </c>
      <c r="O60" s="76">
        <v>0</v>
      </c>
      <c r="P60" s="76">
        <v>0</v>
      </c>
      <c r="Q60" s="76">
        <v>0</v>
      </c>
      <c r="R60" s="76">
        <v>0</v>
      </c>
      <c r="S60" s="58">
        <v>0</v>
      </c>
    </row>
    <row r="61" spans="1:19" ht="12" x14ac:dyDescent="0.2">
      <c r="A61" s="8"/>
      <c r="B61" s="31" t="s">
        <v>133</v>
      </c>
      <c r="C61" s="34" t="s">
        <v>134</v>
      </c>
      <c r="D61" s="34" t="s">
        <v>135</v>
      </c>
      <c r="E61" s="11" t="s">
        <v>89</v>
      </c>
      <c r="F61" s="12"/>
      <c r="G61" s="57" t="s">
        <v>136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76">
        <v>0</v>
      </c>
      <c r="O61" s="76">
        <v>0</v>
      </c>
      <c r="P61" s="76">
        <v>0</v>
      </c>
      <c r="Q61" s="76">
        <v>0</v>
      </c>
      <c r="R61" s="76">
        <v>0</v>
      </c>
      <c r="S61" s="58">
        <v>0</v>
      </c>
    </row>
    <row r="62" spans="1:19" ht="12" x14ac:dyDescent="0.2">
      <c r="A62" s="8"/>
      <c r="B62" s="31" t="s">
        <v>137</v>
      </c>
      <c r="C62" s="10">
        <v>253800</v>
      </c>
      <c r="D62" s="34" t="s">
        <v>131</v>
      </c>
      <c r="E62" s="11" t="s">
        <v>11</v>
      </c>
      <c r="F62" s="12"/>
      <c r="G62" s="57" t="s">
        <v>138</v>
      </c>
      <c r="H62" s="58">
        <v>0</v>
      </c>
      <c r="I62" s="58">
        <v>0</v>
      </c>
      <c r="J62" s="58">
        <v>0</v>
      </c>
      <c r="K62" s="58">
        <v>0</v>
      </c>
      <c r="L62" s="58">
        <v>0</v>
      </c>
      <c r="M62" s="58">
        <v>0</v>
      </c>
      <c r="N62" s="76">
        <v>0</v>
      </c>
      <c r="O62" s="76">
        <v>0</v>
      </c>
      <c r="P62" s="76">
        <v>0</v>
      </c>
      <c r="Q62" s="76">
        <v>0</v>
      </c>
      <c r="R62" s="76">
        <v>0</v>
      </c>
      <c r="S62" s="58">
        <v>0</v>
      </c>
    </row>
    <row r="63" spans="1:19" ht="12" x14ac:dyDescent="0.2">
      <c r="A63" s="8"/>
      <c r="B63" s="31" t="s">
        <v>139</v>
      </c>
      <c r="C63" s="10">
        <v>150</v>
      </c>
      <c r="D63" s="34" t="s">
        <v>135</v>
      </c>
      <c r="E63" s="11" t="s">
        <v>89</v>
      </c>
      <c r="F63" s="12"/>
      <c r="G63" s="57" t="s">
        <v>140</v>
      </c>
      <c r="H63" s="58">
        <v>0</v>
      </c>
      <c r="I63" s="58">
        <v>0</v>
      </c>
      <c r="J63" s="58">
        <v>0</v>
      </c>
      <c r="K63" s="58">
        <v>0</v>
      </c>
      <c r="L63" s="58">
        <v>0</v>
      </c>
      <c r="M63" s="58">
        <v>0</v>
      </c>
      <c r="N63" s="76">
        <v>0</v>
      </c>
      <c r="O63" s="76">
        <v>0</v>
      </c>
      <c r="P63" s="76">
        <v>0</v>
      </c>
      <c r="Q63" s="76">
        <v>0</v>
      </c>
      <c r="R63" s="76">
        <v>0</v>
      </c>
      <c r="S63" s="58">
        <v>0</v>
      </c>
    </row>
    <row r="64" spans="1:19" ht="12" x14ac:dyDescent="0.2">
      <c r="A64" s="8"/>
      <c r="B64" s="31" t="s">
        <v>141</v>
      </c>
      <c r="C64" s="34" t="s">
        <v>142</v>
      </c>
      <c r="D64" s="34" t="s">
        <v>131</v>
      </c>
      <c r="E64" s="11" t="s">
        <v>11</v>
      </c>
      <c r="F64" s="12"/>
      <c r="G64" s="57" t="s">
        <v>143</v>
      </c>
      <c r="H64" s="58">
        <v>0</v>
      </c>
      <c r="I64" s="58">
        <v>0</v>
      </c>
      <c r="J64" s="58">
        <v>0</v>
      </c>
      <c r="K64" s="58">
        <v>0</v>
      </c>
      <c r="L64" s="58">
        <v>0</v>
      </c>
      <c r="M64" s="58">
        <v>0</v>
      </c>
      <c r="N64" s="76">
        <v>0</v>
      </c>
      <c r="O64" s="76">
        <v>0</v>
      </c>
      <c r="P64" s="76">
        <v>0</v>
      </c>
      <c r="Q64" s="76">
        <v>0</v>
      </c>
      <c r="R64" s="76">
        <v>0</v>
      </c>
      <c r="S64" s="58">
        <v>0</v>
      </c>
    </row>
    <row r="65" spans="1:19" ht="12" x14ac:dyDescent="0.2">
      <c r="A65" s="8"/>
      <c r="B65" s="31" t="s">
        <v>144</v>
      </c>
      <c r="C65" s="8" t="s">
        <v>373</v>
      </c>
      <c r="D65" s="34" t="s">
        <v>135</v>
      </c>
      <c r="E65" s="11" t="s">
        <v>89</v>
      </c>
      <c r="F65" s="12"/>
      <c r="G65" s="57" t="s">
        <v>145</v>
      </c>
      <c r="H65" s="58">
        <v>0</v>
      </c>
      <c r="I65" s="58">
        <v>0</v>
      </c>
      <c r="J65" s="58">
        <v>0</v>
      </c>
      <c r="K65" s="58">
        <v>0</v>
      </c>
      <c r="L65" s="58">
        <v>0</v>
      </c>
      <c r="M65" s="58">
        <v>0</v>
      </c>
      <c r="N65" s="76">
        <v>0</v>
      </c>
      <c r="O65" s="76">
        <v>0</v>
      </c>
      <c r="P65" s="76">
        <v>0</v>
      </c>
      <c r="Q65" s="76">
        <v>0</v>
      </c>
      <c r="R65" s="76">
        <v>0</v>
      </c>
      <c r="S65" s="58">
        <v>0</v>
      </c>
    </row>
    <row r="66" spans="1:19" ht="12" x14ac:dyDescent="0.2">
      <c r="A66" s="8"/>
      <c r="B66" s="31" t="s">
        <v>146</v>
      </c>
      <c r="C66" s="8" t="s">
        <v>373</v>
      </c>
      <c r="D66" s="34" t="s">
        <v>131</v>
      </c>
      <c r="E66" s="11" t="s">
        <v>11</v>
      </c>
      <c r="F66" s="12"/>
      <c r="G66" s="57" t="s">
        <v>147</v>
      </c>
      <c r="H66" s="58">
        <v>0</v>
      </c>
      <c r="I66" s="58">
        <v>0</v>
      </c>
      <c r="J66" s="58">
        <v>0</v>
      </c>
      <c r="K66" s="58">
        <v>0</v>
      </c>
      <c r="L66" s="58">
        <v>0</v>
      </c>
      <c r="M66" s="58">
        <v>0</v>
      </c>
      <c r="N66" s="76">
        <v>0</v>
      </c>
      <c r="O66" s="76">
        <v>0</v>
      </c>
      <c r="P66" s="76">
        <v>0</v>
      </c>
      <c r="Q66" s="76">
        <v>0</v>
      </c>
      <c r="R66" s="76">
        <v>0</v>
      </c>
      <c r="S66" s="58">
        <v>0</v>
      </c>
    </row>
    <row r="67" spans="1:19" ht="12" x14ac:dyDescent="0.2">
      <c r="A67" s="8"/>
      <c r="B67" s="31" t="s">
        <v>148</v>
      </c>
      <c r="C67" s="8" t="s">
        <v>149</v>
      </c>
      <c r="D67" s="34" t="s">
        <v>135</v>
      </c>
      <c r="E67" s="11" t="s">
        <v>89</v>
      </c>
      <c r="F67" s="12"/>
      <c r="G67" s="57" t="s">
        <v>150</v>
      </c>
      <c r="H67" s="58">
        <v>0</v>
      </c>
      <c r="I67" s="58">
        <v>0</v>
      </c>
      <c r="J67" s="58">
        <v>0</v>
      </c>
      <c r="K67" s="58">
        <v>0</v>
      </c>
      <c r="L67" s="58">
        <v>0</v>
      </c>
      <c r="M67" s="58">
        <v>0</v>
      </c>
      <c r="N67" s="76">
        <v>0</v>
      </c>
      <c r="O67" s="76">
        <v>0</v>
      </c>
      <c r="P67" s="76">
        <v>0</v>
      </c>
      <c r="Q67" s="76">
        <v>0</v>
      </c>
      <c r="R67" s="76">
        <v>0</v>
      </c>
      <c r="S67" s="58">
        <v>0</v>
      </c>
    </row>
    <row r="68" spans="1:19" ht="12" x14ac:dyDescent="0.2">
      <c r="A68" s="8"/>
      <c r="B68" s="31" t="s">
        <v>151</v>
      </c>
      <c r="C68" s="8" t="s">
        <v>149</v>
      </c>
      <c r="D68" s="34" t="s">
        <v>131</v>
      </c>
      <c r="E68" s="11" t="s">
        <v>11</v>
      </c>
      <c r="F68" s="12"/>
      <c r="G68" s="57" t="s">
        <v>152</v>
      </c>
      <c r="H68" s="58">
        <v>0</v>
      </c>
      <c r="I68" s="58">
        <v>0</v>
      </c>
      <c r="J68" s="58">
        <v>0</v>
      </c>
      <c r="K68" s="58">
        <v>0</v>
      </c>
      <c r="L68" s="58">
        <v>0</v>
      </c>
      <c r="M68" s="58">
        <v>0</v>
      </c>
      <c r="N68" s="76">
        <v>0</v>
      </c>
      <c r="O68" s="76">
        <v>0</v>
      </c>
      <c r="P68" s="76">
        <v>0</v>
      </c>
      <c r="Q68" s="76">
        <v>0</v>
      </c>
      <c r="R68" s="76">
        <v>0</v>
      </c>
      <c r="S68" s="58">
        <v>0</v>
      </c>
    </row>
    <row r="69" spans="1:19" ht="12" x14ac:dyDescent="0.2">
      <c r="A69" s="8"/>
      <c r="B69" s="31" t="s">
        <v>153</v>
      </c>
      <c r="C69" s="34" t="s">
        <v>142</v>
      </c>
      <c r="D69" s="34" t="s">
        <v>131</v>
      </c>
      <c r="E69" s="11" t="s">
        <v>11</v>
      </c>
      <c r="F69" s="12"/>
      <c r="G69" s="57" t="s">
        <v>154</v>
      </c>
      <c r="H69" s="58">
        <v>0</v>
      </c>
      <c r="I69" s="58">
        <v>0</v>
      </c>
      <c r="J69" s="58">
        <v>0</v>
      </c>
      <c r="K69" s="58">
        <v>0</v>
      </c>
      <c r="L69" s="58">
        <v>0</v>
      </c>
      <c r="M69" s="58">
        <v>0</v>
      </c>
      <c r="N69" s="76">
        <v>0</v>
      </c>
      <c r="O69" s="76">
        <v>0</v>
      </c>
      <c r="P69" s="76">
        <v>0</v>
      </c>
      <c r="Q69" s="76">
        <v>0</v>
      </c>
      <c r="R69" s="76">
        <v>0</v>
      </c>
      <c r="S69" s="58">
        <v>0</v>
      </c>
    </row>
    <row r="70" spans="1:19" ht="12" x14ac:dyDescent="0.2">
      <c r="A70" s="8"/>
      <c r="B70" s="31" t="s">
        <v>155</v>
      </c>
      <c r="C70" s="35" t="s">
        <v>156</v>
      </c>
      <c r="D70" s="8"/>
      <c r="E70" s="11" t="s">
        <v>72</v>
      </c>
      <c r="F70" s="12"/>
      <c r="G70" s="57" t="s">
        <v>107</v>
      </c>
      <c r="H70" s="58">
        <v>0.312</v>
      </c>
      <c r="I70" s="58">
        <v>1.0429999999999999</v>
      </c>
      <c r="J70" s="58">
        <v>0.04</v>
      </c>
      <c r="K70" s="58">
        <v>0</v>
      </c>
      <c r="L70" s="58">
        <v>0.69699999999999995</v>
      </c>
      <c r="M70" s="58">
        <v>1.284</v>
      </c>
      <c r="N70" s="76">
        <v>0</v>
      </c>
      <c r="O70" s="76">
        <v>0</v>
      </c>
      <c r="P70" s="76">
        <v>0</v>
      </c>
      <c r="Q70" s="76">
        <v>0</v>
      </c>
      <c r="R70" s="76">
        <v>0</v>
      </c>
      <c r="S70" s="58">
        <v>0</v>
      </c>
    </row>
    <row r="71" spans="1:19" x14ac:dyDescent="0.2">
      <c r="A71" s="8"/>
      <c r="B71" s="31" t="s">
        <v>157</v>
      </c>
      <c r="C71" s="10"/>
      <c r="D71" s="8"/>
      <c r="E71" s="12"/>
      <c r="F71" s="12"/>
      <c r="G71" s="69" t="s">
        <v>158</v>
      </c>
      <c r="H71" s="56">
        <f t="shared" ref="H71:S71" si="16">SUM(H58:H70)</f>
        <v>0.312</v>
      </c>
      <c r="I71" s="56">
        <f t="shared" si="16"/>
        <v>1.0429999999999999</v>
      </c>
      <c r="J71" s="56">
        <f t="shared" si="16"/>
        <v>-37.535000000000004</v>
      </c>
      <c r="K71" s="56">
        <f t="shared" si="16"/>
        <v>-24.398</v>
      </c>
      <c r="L71" s="56">
        <f t="shared" si="16"/>
        <v>-9.6080000000000005</v>
      </c>
      <c r="M71" s="56">
        <f t="shared" si="16"/>
        <v>1.284</v>
      </c>
      <c r="N71" s="77">
        <f t="shared" si="16"/>
        <v>0</v>
      </c>
      <c r="O71" s="77">
        <f t="shared" si="16"/>
        <v>0</v>
      </c>
      <c r="P71" s="77">
        <f t="shared" si="16"/>
        <v>0</v>
      </c>
      <c r="Q71" s="77">
        <f t="shared" si="16"/>
        <v>0</v>
      </c>
      <c r="R71" s="77">
        <f t="shared" si="16"/>
        <v>0</v>
      </c>
      <c r="S71" s="56">
        <f t="shared" si="16"/>
        <v>0</v>
      </c>
    </row>
    <row r="72" spans="1:19" x14ac:dyDescent="0.2">
      <c r="A72" s="8"/>
      <c r="B72" s="2"/>
      <c r="C72" s="10"/>
      <c r="D72" s="8"/>
      <c r="E72" s="9"/>
      <c r="G72" s="67"/>
      <c r="H72" s="48"/>
      <c r="I72" s="48"/>
      <c r="J72" s="48"/>
      <c r="K72" s="48"/>
      <c r="L72" s="48"/>
      <c r="M72" s="48"/>
      <c r="N72" s="4"/>
      <c r="O72" s="4"/>
      <c r="P72" s="4"/>
      <c r="Q72" s="4"/>
      <c r="R72" s="4"/>
      <c r="S72" s="48"/>
    </row>
    <row r="73" spans="1:19" x14ac:dyDescent="0.2">
      <c r="A73" s="8"/>
      <c r="B73" s="2"/>
      <c r="C73" s="10"/>
      <c r="D73" s="29" t="s">
        <v>120</v>
      </c>
      <c r="E73" s="30" t="s">
        <v>3</v>
      </c>
      <c r="F73" s="9"/>
      <c r="G73" s="53" t="s">
        <v>159</v>
      </c>
      <c r="H73" s="64">
        <f t="shared" ref="H73:S73" si="17">H57</f>
        <v>2011</v>
      </c>
      <c r="I73" s="64">
        <f t="shared" si="17"/>
        <v>2012</v>
      </c>
      <c r="J73" s="64">
        <f t="shared" si="17"/>
        <v>2013</v>
      </c>
      <c r="K73" s="64">
        <f t="shared" si="17"/>
        <v>2014</v>
      </c>
      <c r="L73" s="64">
        <f t="shared" si="17"/>
        <v>2015</v>
      </c>
      <c r="M73" s="64">
        <f t="shared" si="17"/>
        <v>2016</v>
      </c>
      <c r="N73" s="87">
        <f t="shared" si="17"/>
        <v>2017</v>
      </c>
      <c r="O73" s="87">
        <f t="shared" si="17"/>
        <v>2018</v>
      </c>
      <c r="P73" s="87">
        <f t="shared" si="17"/>
        <v>2019</v>
      </c>
      <c r="Q73" s="87">
        <f t="shared" si="17"/>
        <v>2020</v>
      </c>
      <c r="R73" s="87">
        <f t="shared" si="17"/>
        <v>2021</v>
      </c>
      <c r="S73" s="64">
        <f t="shared" si="17"/>
        <v>2022</v>
      </c>
    </row>
    <row r="74" spans="1:19" ht="12" x14ac:dyDescent="0.2">
      <c r="A74" s="8"/>
      <c r="B74" s="2" t="s">
        <v>160</v>
      </c>
      <c r="C74" s="34" t="s">
        <v>161</v>
      </c>
      <c r="D74" s="34" t="s">
        <v>128</v>
      </c>
      <c r="E74" s="11" t="s">
        <v>11</v>
      </c>
      <c r="G74" s="55" t="s">
        <v>162</v>
      </c>
      <c r="H74" s="58">
        <v>0</v>
      </c>
      <c r="I74" s="58">
        <v>0</v>
      </c>
      <c r="J74" s="58">
        <v>0</v>
      </c>
      <c r="K74" s="58">
        <v>0</v>
      </c>
      <c r="L74" s="58">
        <v>0</v>
      </c>
      <c r="M74" s="58">
        <v>0</v>
      </c>
      <c r="N74" s="76">
        <v>0</v>
      </c>
      <c r="O74" s="76">
        <v>0</v>
      </c>
      <c r="P74" s="76">
        <v>0</v>
      </c>
      <c r="Q74" s="76">
        <v>0</v>
      </c>
      <c r="R74" s="76">
        <v>0</v>
      </c>
      <c r="S74" s="58">
        <v>0</v>
      </c>
    </row>
    <row r="75" spans="1:19" ht="12" x14ac:dyDescent="0.2">
      <c r="A75" s="8"/>
      <c r="B75" s="2" t="s">
        <v>163</v>
      </c>
      <c r="C75" s="34" t="s">
        <v>161</v>
      </c>
      <c r="D75" s="34" t="s">
        <v>124</v>
      </c>
      <c r="E75" s="11" t="s">
        <v>89</v>
      </c>
      <c r="F75" s="12"/>
      <c r="G75" s="57" t="s">
        <v>164</v>
      </c>
      <c r="H75" s="58">
        <v>0</v>
      </c>
      <c r="I75" s="58">
        <v>0</v>
      </c>
      <c r="J75" s="58">
        <v>0</v>
      </c>
      <c r="K75" s="58">
        <v>0</v>
      </c>
      <c r="L75" s="58">
        <v>0</v>
      </c>
      <c r="M75" s="58">
        <v>0</v>
      </c>
      <c r="N75" s="76">
        <v>0</v>
      </c>
      <c r="O75" s="76">
        <v>0</v>
      </c>
      <c r="P75" s="76">
        <v>0</v>
      </c>
      <c r="Q75" s="76">
        <v>0</v>
      </c>
      <c r="R75" s="76">
        <v>0</v>
      </c>
      <c r="S75" s="58">
        <v>0</v>
      </c>
    </row>
    <row r="76" spans="1:19" ht="12" x14ac:dyDescent="0.2">
      <c r="A76" s="8"/>
      <c r="B76" s="2" t="s">
        <v>165</v>
      </c>
      <c r="C76" s="34" t="s">
        <v>166</v>
      </c>
      <c r="D76" s="34" t="s">
        <v>131</v>
      </c>
      <c r="E76" s="11" t="s">
        <v>11</v>
      </c>
      <c r="G76" s="57" t="s">
        <v>167</v>
      </c>
      <c r="H76" s="58">
        <v>0</v>
      </c>
      <c r="I76" s="58">
        <v>0</v>
      </c>
      <c r="J76" s="58">
        <v>0</v>
      </c>
      <c r="K76" s="58">
        <v>0</v>
      </c>
      <c r="L76" s="58">
        <v>0</v>
      </c>
      <c r="M76" s="58">
        <v>0</v>
      </c>
      <c r="N76" s="76">
        <v>0</v>
      </c>
      <c r="O76" s="76">
        <v>0</v>
      </c>
      <c r="P76" s="76">
        <v>0</v>
      </c>
      <c r="Q76" s="76">
        <v>0</v>
      </c>
      <c r="R76" s="76">
        <v>0</v>
      </c>
      <c r="S76" s="58">
        <v>0</v>
      </c>
    </row>
    <row r="77" spans="1:19" ht="12" x14ac:dyDescent="0.2">
      <c r="A77" s="8"/>
      <c r="B77" s="2" t="s">
        <v>168</v>
      </c>
      <c r="C77" s="34" t="s">
        <v>166</v>
      </c>
      <c r="D77" s="34" t="s">
        <v>135</v>
      </c>
      <c r="E77" s="11" t="s">
        <v>89</v>
      </c>
      <c r="F77" s="12"/>
      <c r="G77" s="57" t="s">
        <v>169</v>
      </c>
      <c r="H77" s="58">
        <v>0</v>
      </c>
      <c r="I77" s="58">
        <v>0</v>
      </c>
      <c r="J77" s="58">
        <v>0</v>
      </c>
      <c r="K77" s="58">
        <v>0</v>
      </c>
      <c r="L77" s="58">
        <v>0</v>
      </c>
      <c r="M77" s="58">
        <v>0</v>
      </c>
      <c r="N77" s="76">
        <v>0</v>
      </c>
      <c r="O77" s="76">
        <v>0</v>
      </c>
      <c r="P77" s="76">
        <v>0</v>
      </c>
      <c r="Q77" s="76">
        <v>0</v>
      </c>
      <c r="R77" s="76">
        <v>0</v>
      </c>
      <c r="S77" s="58">
        <v>0</v>
      </c>
    </row>
    <row r="78" spans="1:19" ht="12" x14ac:dyDescent="0.2">
      <c r="A78" s="8"/>
      <c r="B78" s="2" t="s">
        <v>170</v>
      </c>
      <c r="C78" s="34" t="s">
        <v>171</v>
      </c>
      <c r="D78" s="34" t="s">
        <v>135</v>
      </c>
      <c r="E78" s="11" t="s">
        <v>89</v>
      </c>
      <c r="F78" s="12"/>
      <c r="G78" s="57" t="s">
        <v>172</v>
      </c>
      <c r="H78" s="58">
        <v>0</v>
      </c>
      <c r="I78" s="58">
        <v>0</v>
      </c>
      <c r="J78" s="58">
        <v>0</v>
      </c>
      <c r="K78" s="58">
        <v>0</v>
      </c>
      <c r="L78" s="58">
        <v>0</v>
      </c>
      <c r="M78" s="58">
        <v>0</v>
      </c>
      <c r="N78" s="76">
        <v>0</v>
      </c>
      <c r="O78" s="76">
        <v>0</v>
      </c>
      <c r="P78" s="76">
        <v>0</v>
      </c>
      <c r="Q78" s="76">
        <v>0</v>
      </c>
      <c r="R78" s="76">
        <v>0</v>
      </c>
      <c r="S78" s="58">
        <v>0</v>
      </c>
    </row>
    <row r="79" spans="1:19" ht="12" x14ac:dyDescent="0.2">
      <c r="A79" s="8"/>
      <c r="B79" s="2" t="s">
        <v>173</v>
      </c>
      <c r="C79" s="34" t="s">
        <v>174</v>
      </c>
      <c r="D79" s="34" t="s">
        <v>135</v>
      </c>
      <c r="E79" s="11" t="s">
        <v>89</v>
      </c>
      <c r="F79" s="12"/>
      <c r="G79" s="57" t="s">
        <v>175</v>
      </c>
      <c r="H79" s="58">
        <v>0</v>
      </c>
      <c r="I79" s="58">
        <v>0</v>
      </c>
      <c r="J79" s="58">
        <v>0</v>
      </c>
      <c r="K79" s="58">
        <v>0</v>
      </c>
      <c r="L79" s="58">
        <v>0</v>
      </c>
      <c r="M79" s="58">
        <v>0</v>
      </c>
      <c r="N79" s="76">
        <v>0</v>
      </c>
      <c r="O79" s="76">
        <v>0</v>
      </c>
      <c r="P79" s="76">
        <v>0</v>
      </c>
      <c r="Q79" s="76">
        <v>0</v>
      </c>
      <c r="R79" s="76">
        <v>0</v>
      </c>
      <c r="S79" s="58">
        <v>0</v>
      </c>
    </row>
    <row r="80" spans="1:19" ht="12" x14ac:dyDescent="0.2">
      <c r="A80" s="8"/>
      <c r="B80" s="2" t="s">
        <v>176</v>
      </c>
      <c r="C80" s="34" t="s">
        <v>177</v>
      </c>
      <c r="D80" s="34" t="s">
        <v>135</v>
      </c>
      <c r="E80" s="11" t="s">
        <v>89</v>
      </c>
      <c r="F80" s="12"/>
      <c r="G80" s="57" t="s">
        <v>178</v>
      </c>
      <c r="H80" s="58">
        <v>0</v>
      </c>
      <c r="I80" s="58">
        <v>0</v>
      </c>
      <c r="J80" s="58">
        <v>0</v>
      </c>
      <c r="K80" s="58">
        <v>0</v>
      </c>
      <c r="L80" s="58">
        <v>0</v>
      </c>
      <c r="M80" s="58">
        <v>0</v>
      </c>
      <c r="N80" s="76">
        <v>0</v>
      </c>
      <c r="O80" s="76">
        <v>0</v>
      </c>
      <c r="P80" s="76">
        <v>0</v>
      </c>
      <c r="Q80" s="76">
        <v>0</v>
      </c>
      <c r="R80" s="76">
        <v>0</v>
      </c>
      <c r="S80" s="58">
        <v>0</v>
      </c>
    </row>
    <row r="81" spans="1:19" ht="12" x14ac:dyDescent="0.2">
      <c r="A81" s="8"/>
      <c r="B81" s="2" t="s">
        <v>179</v>
      </c>
      <c r="C81" s="34" t="s">
        <v>52</v>
      </c>
      <c r="D81" s="34" t="s">
        <v>135</v>
      </c>
      <c r="E81" s="11" t="s">
        <v>89</v>
      </c>
      <c r="F81" s="12"/>
      <c r="G81" s="57" t="s">
        <v>180</v>
      </c>
      <c r="H81" s="58">
        <v>0</v>
      </c>
      <c r="I81" s="58">
        <v>0</v>
      </c>
      <c r="J81" s="58">
        <v>0</v>
      </c>
      <c r="K81" s="58">
        <v>0</v>
      </c>
      <c r="L81" s="58">
        <v>0</v>
      </c>
      <c r="M81" s="58">
        <v>0</v>
      </c>
      <c r="N81" s="76">
        <v>0</v>
      </c>
      <c r="O81" s="76">
        <v>0</v>
      </c>
      <c r="P81" s="76">
        <v>0</v>
      </c>
      <c r="Q81" s="76">
        <v>0</v>
      </c>
      <c r="R81" s="76">
        <v>0</v>
      </c>
      <c r="S81" s="58">
        <v>0</v>
      </c>
    </row>
    <row r="82" spans="1:19" ht="12" x14ac:dyDescent="0.2">
      <c r="A82" s="8"/>
      <c r="B82" s="2" t="s">
        <v>181</v>
      </c>
      <c r="C82" s="34" t="s">
        <v>182</v>
      </c>
      <c r="D82" s="34" t="s">
        <v>131</v>
      </c>
      <c r="E82" s="11" t="s">
        <v>11</v>
      </c>
      <c r="G82" s="57" t="s">
        <v>183</v>
      </c>
      <c r="H82" s="58">
        <v>0</v>
      </c>
      <c r="I82" s="58">
        <v>0</v>
      </c>
      <c r="J82" s="58">
        <v>0</v>
      </c>
      <c r="K82" s="58">
        <v>0</v>
      </c>
      <c r="L82" s="58">
        <v>0</v>
      </c>
      <c r="M82" s="58">
        <v>0</v>
      </c>
      <c r="N82" s="76">
        <v>0</v>
      </c>
      <c r="O82" s="76">
        <v>0</v>
      </c>
      <c r="P82" s="76">
        <v>0</v>
      </c>
      <c r="Q82" s="76">
        <v>0</v>
      </c>
      <c r="R82" s="76">
        <v>0</v>
      </c>
      <c r="S82" s="58">
        <v>0</v>
      </c>
    </row>
    <row r="83" spans="1:19" ht="12" x14ac:dyDescent="0.2">
      <c r="A83" s="8"/>
      <c r="B83" s="2" t="s">
        <v>184</v>
      </c>
      <c r="C83" s="34" t="s">
        <v>182</v>
      </c>
      <c r="D83" s="34" t="s">
        <v>135</v>
      </c>
      <c r="E83" s="11" t="s">
        <v>89</v>
      </c>
      <c r="F83" s="12"/>
      <c r="G83" s="57" t="s">
        <v>374</v>
      </c>
      <c r="H83" s="58">
        <v>0</v>
      </c>
      <c r="I83" s="58">
        <v>0</v>
      </c>
      <c r="J83" s="58">
        <v>0</v>
      </c>
      <c r="K83" s="58">
        <v>0</v>
      </c>
      <c r="L83" s="58">
        <v>0</v>
      </c>
      <c r="M83" s="58">
        <v>0</v>
      </c>
      <c r="N83" s="76">
        <v>0</v>
      </c>
      <c r="O83" s="76">
        <v>0</v>
      </c>
      <c r="P83" s="76">
        <v>0</v>
      </c>
      <c r="Q83" s="76">
        <v>0</v>
      </c>
      <c r="R83" s="76">
        <v>0</v>
      </c>
      <c r="S83" s="58">
        <v>0</v>
      </c>
    </row>
    <row r="84" spans="1:19" ht="12" x14ac:dyDescent="0.2">
      <c r="A84" s="8"/>
      <c r="B84" s="2" t="s">
        <v>185</v>
      </c>
      <c r="C84" s="34" t="s">
        <v>375</v>
      </c>
      <c r="D84" s="34" t="s">
        <v>135</v>
      </c>
      <c r="E84" s="11" t="s">
        <v>89</v>
      </c>
      <c r="F84" s="12"/>
      <c r="G84" s="57" t="s">
        <v>376</v>
      </c>
      <c r="H84" s="58">
        <v>0</v>
      </c>
      <c r="I84" s="58">
        <v>0</v>
      </c>
      <c r="J84" s="58">
        <v>0</v>
      </c>
      <c r="K84" s="58">
        <v>0</v>
      </c>
      <c r="L84" s="58">
        <v>0</v>
      </c>
      <c r="M84" s="58">
        <v>0</v>
      </c>
      <c r="N84" s="76">
        <v>0</v>
      </c>
      <c r="O84" s="76">
        <v>0</v>
      </c>
      <c r="P84" s="76">
        <v>0</v>
      </c>
      <c r="Q84" s="76">
        <v>0</v>
      </c>
      <c r="R84" s="76">
        <v>0</v>
      </c>
      <c r="S84" s="58">
        <v>0</v>
      </c>
    </row>
    <row r="85" spans="1:19" ht="12" x14ac:dyDescent="0.2">
      <c r="A85" s="8"/>
      <c r="B85" s="2" t="s">
        <v>186</v>
      </c>
      <c r="C85" s="36">
        <v>68</v>
      </c>
      <c r="D85" s="34" t="s">
        <v>135</v>
      </c>
      <c r="E85" s="11" t="s">
        <v>89</v>
      </c>
      <c r="F85" s="12"/>
      <c r="G85" s="70" t="s">
        <v>111</v>
      </c>
      <c r="H85" s="58">
        <v>0</v>
      </c>
      <c r="I85" s="58">
        <v>0</v>
      </c>
      <c r="J85" s="58">
        <v>0</v>
      </c>
      <c r="K85" s="58">
        <v>0</v>
      </c>
      <c r="L85" s="58">
        <v>0</v>
      </c>
      <c r="M85" s="58">
        <v>0</v>
      </c>
      <c r="N85" s="76">
        <v>0</v>
      </c>
      <c r="O85" s="76">
        <v>0</v>
      </c>
      <c r="P85" s="76">
        <v>0</v>
      </c>
      <c r="Q85" s="76">
        <v>0</v>
      </c>
      <c r="R85" s="76">
        <v>0</v>
      </c>
      <c r="S85" s="58">
        <v>0</v>
      </c>
    </row>
    <row r="86" spans="1:19" x14ac:dyDescent="0.2">
      <c r="A86" s="8"/>
      <c r="B86" s="2" t="s">
        <v>377</v>
      </c>
      <c r="C86" s="10"/>
      <c r="D86" s="10"/>
      <c r="E86" s="9"/>
      <c r="G86" s="70" t="s">
        <v>158</v>
      </c>
      <c r="H86" s="56">
        <f t="shared" ref="H86:S86" si="18">SUM(H74:H85)</f>
        <v>0</v>
      </c>
      <c r="I86" s="56">
        <f t="shared" si="18"/>
        <v>0</v>
      </c>
      <c r="J86" s="56">
        <f t="shared" si="18"/>
        <v>0</v>
      </c>
      <c r="K86" s="56">
        <f t="shared" si="18"/>
        <v>0</v>
      </c>
      <c r="L86" s="56">
        <f t="shared" si="18"/>
        <v>0</v>
      </c>
      <c r="M86" s="56">
        <f t="shared" si="18"/>
        <v>0</v>
      </c>
      <c r="N86" s="56">
        <f t="shared" si="18"/>
        <v>0</v>
      </c>
      <c r="O86" s="56">
        <f t="shared" si="18"/>
        <v>0</v>
      </c>
      <c r="P86" s="56">
        <f t="shared" si="18"/>
        <v>0</v>
      </c>
      <c r="Q86" s="56">
        <f t="shared" si="18"/>
        <v>0</v>
      </c>
      <c r="R86" s="56">
        <f t="shared" si="18"/>
        <v>0</v>
      </c>
      <c r="S86" s="56">
        <f t="shared" si="18"/>
        <v>0</v>
      </c>
    </row>
    <row r="87" spans="1:19" s="4" customFormat="1" x14ac:dyDescent="0.2">
      <c r="A87" s="8"/>
      <c r="B87" s="2" t="s">
        <v>378</v>
      </c>
      <c r="C87" s="10"/>
      <c r="D87" s="10"/>
      <c r="E87" s="9"/>
      <c r="F87" s="8"/>
      <c r="G87" s="89" t="s">
        <v>379</v>
      </c>
      <c r="H87" s="98"/>
      <c r="I87" s="85">
        <f t="shared" ref="I87:S87" si="19">(I14+I15)-(H14+H15-I58-I59+I45)</f>
        <v>0</v>
      </c>
      <c r="J87" s="85">
        <f t="shared" si="19"/>
        <v>0</v>
      </c>
      <c r="K87" s="85">
        <f t="shared" si="19"/>
        <v>0</v>
      </c>
      <c r="L87" s="85">
        <f t="shared" si="19"/>
        <v>0</v>
      </c>
      <c r="M87" s="85">
        <f t="shared" si="19"/>
        <v>0</v>
      </c>
      <c r="N87" s="85">
        <f t="shared" si="19"/>
        <v>0</v>
      </c>
      <c r="O87" s="85">
        <f t="shared" si="19"/>
        <v>0</v>
      </c>
      <c r="P87" s="85">
        <f t="shared" si="19"/>
        <v>0</v>
      </c>
      <c r="Q87" s="85">
        <f t="shared" si="19"/>
        <v>0</v>
      </c>
      <c r="R87" s="85">
        <f t="shared" si="19"/>
        <v>0</v>
      </c>
      <c r="S87" s="85">
        <f t="shared" si="19"/>
        <v>0</v>
      </c>
    </row>
    <row r="88" spans="1:19" s="4" customFormat="1" x14ac:dyDescent="0.2">
      <c r="A88" s="8"/>
      <c r="B88" s="2" t="s">
        <v>380</v>
      </c>
      <c r="C88" s="10"/>
      <c r="D88" s="10"/>
      <c r="E88" s="9"/>
      <c r="F88" s="8"/>
      <c r="G88" s="89" t="s">
        <v>381</v>
      </c>
      <c r="H88" s="98"/>
      <c r="I88" s="85">
        <f>I24-(H24+(I74+I76)+(I75+I77)+(I78))</f>
        <v>0</v>
      </c>
      <c r="J88" s="85">
        <f>J24-(I24+(J74+J76)+(J75+J77)+(J78))</f>
        <v>0</v>
      </c>
      <c r="K88" s="85">
        <f>K24-(J24+(K74+K76)+(K75+K77)+(K78))</f>
        <v>0</v>
      </c>
      <c r="L88" s="85">
        <f>L24-(K24+(L74+L76)+(L75+L77)+(L78))</f>
        <v>0</v>
      </c>
      <c r="M88" s="85">
        <f>M24-(L24+(M74+M76)+(M75+M77)+(M78))</f>
        <v>0</v>
      </c>
      <c r="N88" s="85">
        <f t="shared" ref="N88:S88" si="20">N24-(M24+(N74+N76)+(N75+N77)+(N78))</f>
        <v>0</v>
      </c>
      <c r="O88" s="85">
        <f t="shared" si="20"/>
        <v>0</v>
      </c>
      <c r="P88" s="85">
        <f t="shared" si="20"/>
        <v>0</v>
      </c>
      <c r="Q88" s="85">
        <f t="shared" si="20"/>
        <v>0</v>
      </c>
      <c r="R88" s="85">
        <f t="shared" si="20"/>
        <v>0</v>
      </c>
      <c r="S88" s="85">
        <f t="shared" si="20"/>
        <v>0</v>
      </c>
    </row>
    <row r="89" spans="1:19" s="4" customFormat="1" x14ac:dyDescent="0.2">
      <c r="A89" s="8"/>
      <c r="B89" s="2" t="s">
        <v>382</v>
      </c>
      <c r="C89" s="10"/>
      <c r="D89" s="10"/>
      <c r="E89" s="9"/>
      <c r="F89" s="8"/>
      <c r="G89" s="89" t="s">
        <v>383</v>
      </c>
      <c r="H89" s="98"/>
      <c r="I89" s="85">
        <f t="shared" ref="I89:S89" si="21">I28-(H28+(I82+I83))</f>
        <v>0</v>
      </c>
      <c r="J89" s="85">
        <f t="shared" si="21"/>
        <v>0</v>
      </c>
      <c r="K89" s="85">
        <f t="shared" si="21"/>
        <v>0</v>
      </c>
      <c r="L89" s="85">
        <f t="shared" si="21"/>
        <v>0</v>
      </c>
      <c r="M89" s="85">
        <f t="shared" si="21"/>
        <v>0</v>
      </c>
      <c r="N89" s="85">
        <f t="shared" si="21"/>
        <v>0</v>
      </c>
      <c r="O89" s="85">
        <f t="shared" si="21"/>
        <v>0</v>
      </c>
      <c r="P89" s="85">
        <f t="shared" si="21"/>
        <v>0</v>
      </c>
      <c r="Q89" s="85">
        <f t="shared" si="21"/>
        <v>0</v>
      </c>
      <c r="R89" s="85">
        <f t="shared" si="21"/>
        <v>0</v>
      </c>
      <c r="S89" s="85">
        <f t="shared" si="21"/>
        <v>0</v>
      </c>
    </row>
    <row r="90" spans="1:19" s="4" customFormat="1" x14ac:dyDescent="0.2">
      <c r="A90" s="8"/>
      <c r="B90" s="2" t="s">
        <v>384</v>
      </c>
      <c r="C90" s="10"/>
      <c r="D90" s="10"/>
      <c r="E90" s="9"/>
      <c r="F90" s="8"/>
      <c r="G90" s="89" t="s">
        <v>385</v>
      </c>
      <c r="H90" s="98"/>
      <c r="I90" s="85">
        <f t="shared" ref="I90:S90" si="22">I29-(H29+H30)-I84</f>
        <v>0</v>
      </c>
      <c r="J90" s="85">
        <f t="shared" si="22"/>
        <v>0</v>
      </c>
      <c r="K90" s="85">
        <f t="shared" si="22"/>
        <v>2.8421709430404007E-14</v>
      </c>
      <c r="L90" s="85">
        <f t="shared" si="22"/>
        <v>0</v>
      </c>
      <c r="M90" s="85">
        <f t="shared" si="22"/>
        <v>0</v>
      </c>
      <c r="N90" s="85">
        <f t="shared" si="22"/>
        <v>0</v>
      </c>
      <c r="O90" s="85">
        <f t="shared" si="22"/>
        <v>0.12399999999999523</v>
      </c>
      <c r="P90" s="85">
        <f t="shared" si="22"/>
        <v>0</v>
      </c>
      <c r="Q90" s="85">
        <f t="shared" si="22"/>
        <v>0</v>
      </c>
      <c r="R90" s="85">
        <f t="shared" si="22"/>
        <v>0</v>
      </c>
      <c r="S90" s="85">
        <f t="shared" si="22"/>
        <v>0</v>
      </c>
    </row>
    <row r="91" spans="1:19" s="4" customFormat="1" x14ac:dyDescent="0.2">
      <c r="A91" s="8"/>
      <c r="B91" s="2"/>
      <c r="C91" s="10"/>
      <c r="D91" s="10"/>
      <c r="E91" s="9"/>
      <c r="F91" s="8"/>
      <c r="G91" s="28"/>
      <c r="L91" s="93">
        <f>L90-L87</f>
        <v>0</v>
      </c>
    </row>
    <row r="92" spans="1:19" s="4" customFormat="1" x14ac:dyDescent="0.2">
      <c r="A92" s="13" t="s">
        <v>0</v>
      </c>
      <c r="B92" s="2"/>
      <c r="C92" s="10"/>
      <c r="D92" s="753" t="s">
        <v>187</v>
      </c>
      <c r="E92" s="754"/>
      <c r="F92" s="8"/>
      <c r="G92" s="94" t="s">
        <v>386</v>
      </c>
      <c r="H92" s="87">
        <f>H73</f>
        <v>2011</v>
      </c>
      <c r="I92" s="87">
        <f t="shared" ref="I92:S92" si="23">I73</f>
        <v>2012</v>
      </c>
      <c r="J92" s="87">
        <f t="shared" si="23"/>
        <v>2013</v>
      </c>
      <c r="K92" s="87">
        <f t="shared" si="23"/>
        <v>2014</v>
      </c>
      <c r="L92" s="87">
        <f t="shared" si="23"/>
        <v>2015</v>
      </c>
      <c r="M92" s="87">
        <f t="shared" si="23"/>
        <v>2016</v>
      </c>
      <c r="N92" s="87">
        <f t="shared" si="23"/>
        <v>2017</v>
      </c>
      <c r="O92" s="87">
        <f t="shared" si="23"/>
        <v>2018</v>
      </c>
      <c r="P92" s="87">
        <f t="shared" si="23"/>
        <v>2019</v>
      </c>
      <c r="Q92" s="87">
        <f t="shared" si="23"/>
        <v>2020</v>
      </c>
      <c r="R92" s="87">
        <f t="shared" si="23"/>
        <v>2021</v>
      </c>
      <c r="S92" s="87">
        <f t="shared" si="23"/>
        <v>2022</v>
      </c>
    </row>
    <row r="93" spans="1:19" s="4" customFormat="1" x14ac:dyDescent="0.2">
      <c r="A93" s="8"/>
      <c r="B93" s="2" t="s">
        <v>387</v>
      </c>
      <c r="C93" s="10" t="s">
        <v>388</v>
      </c>
      <c r="D93" s="10"/>
      <c r="E93" s="9"/>
      <c r="F93" s="8"/>
      <c r="G93" s="95" t="s">
        <v>389</v>
      </c>
      <c r="H93" s="96">
        <f>H5+H11+H12+H13</f>
        <v>249.245</v>
      </c>
      <c r="I93" s="96">
        <f>I5+I11+I12+I13</f>
        <v>258.50599999999997</v>
      </c>
      <c r="J93" s="96">
        <f t="shared" ref="J93:S93" si="24">J5+J11+J12+J13</f>
        <v>287.899</v>
      </c>
      <c r="K93" s="96">
        <f t="shared" si="24"/>
        <v>269.20499999999998</v>
      </c>
      <c r="L93" s="96">
        <f t="shared" si="24"/>
        <v>287.846</v>
      </c>
      <c r="M93" s="96">
        <f t="shared" si="24"/>
        <v>268.75200000000001</v>
      </c>
      <c r="N93" s="96">
        <f t="shared" si="24"/>
        <v>292.99799999999999</v>
      </c>
      <c r="O93" s="96">
        <f t="shared" si="24"/>
        <v>298.10399999999998</v>
      </c>
      <c r="P93" s="96">
        <f t="shared" si="24"/>
        <v>301.84699999999998</v>
      </c>
      <c r="Q93" s="96">
        <f t="shared" si="24"/>
        <v>303.58999999999997</v>
      </c>
      <c r="R93" s="96">
        <f t="shared" si="24"/>
        <v>304.33300000000003</v>
      </c>
      <c r="S93" s="96">
        <f t="shared" si="24"/>
        <v>305.07600000000002</v>
      </c>
    </row>
    <row r="94" spans="1:19" s="4" customFormat="1" x14ac:dyDescent="0.2">
      <c r="A94" s="8"/>
      <c r="B94" s="2" t="s">
        <v>390</v>
      </c>
      <c r="C94" s="10"/>
      <c r="D94" s="10"/>
      <c r="E94" s="9"/>
      <c r="F94" s="8"/>
      <c r="G94" s="97" t="s">
        <v>391</v>
      </c>
      <c r="H94" s="98"/>
      <c r="I94" s="96">
        <f>I93-H93</f>
        <v>9.2609999999999673</v>
      </c>
      <c r="J94" s="96">
        <f t="shared" ref="J94:S94" si="25">J93-I93</f>
        <v>29.393000000000029</v>
      </c>
      <c r="K94" s="96">
        <f t="shared" si="25"/>
        <v>-18.694000000000017</v>
      </c>
      <c r="L94" s="96">
        <f t="shared" si="25"/>
        <v>18.64100000000002</v>
      </c>
      <c r="M94" s="96">
        <f t="shared" si="25"/>
        <v>-19.093999999999994</v>
      </c>
      <c r="N94" s="96">
        <f t="shared" si="25"/>
        <v>24.245999999999981</v>
      </c>
      <c r="O94" s="96">
        <f t="shared" si="25"/>
        <v>5.1059999999999945</v>
      </c>
      <c r="P94" s="96">
        <f t="shared" si="25"/>
        <v>3.742999999999995</v>
      </c>
      <c r="Q94" s="96">
        <f t="shared" si="25"/>
        <v>1.742999999999995</v>
      </c>
      <c r="R94" s="96">
        <f t="shared" si="25"/>
        <v>0.74300000000005184</v>
      </c>
      <c r="S94" s="96">
        <f t="shared" si="25"/>
        <v>0.742999999999995</v>
      </c>
    </row>
    <row r="95" spans="1:19" s="4" customFormat="1" x14ac:dyDescent="0.2">
      <c r="A95" s="8"/>
      <c r="B95" s="2" t="s">
        <v>392</v>
      </c>
      <c r="C95" s="10" t="s">
        <v>42</v>
      </c>
      <c r="D95" s="10"/>
      <c r="E95" s="9"/>
      <c r="F95" s="8"/>
      <c r="G95" s="95" t="s">
        <v>393</v>
      </c>
      <c r="H95" s="96">
        <f>H19</f>
        <v>273.01100000000002</v>
      </c>
      <c r="I95" s="96">
        <f t="shared" ref="I95:S95" si="26">I19</f>
        <v>272.60500000000002</v>
      </c>
      <c r="J95" s="96">
        <f t="shared" si="26"/>
        <v>326.72500000000002</v>
      </c>
      <c r="K95" s="96">
        <f t="shared" si="26"/>
        <v>318.80399999999997</v>
      </c>
      <c r="L95" s="96">
        <f t="shared" si="26"/>
        <v>333.26600000000002</v>
      </c>
      <c r="M95" s="96">
        <f t="shared" si="26"/>
        <v>300.108</v>
      </c>
      <c r="N95" s="96">
        <f>N19</f>
        <v>311.00600000000003</v>
      </c>
      <c r="O95" s="96">
        <f t="shared" si="26"/>
        <v>306</v>
      </c>
      <c r="P95" s="96">
        <f t="shared" si="26"/>
        <v>300</v>
      </c>
      <c r="Q95" s="96">
        <f t="shared" si="26"/>
        <v>291</v>
      </c>
      <c r="R95" s="96">
        <f t="shared" si="26"/>
        <v>282</v>
      </c>
      <c r="S95" s="96">
        <f t="shared" si="26"/>
        <v>273</v>
      </c>
    </row>
    <row r="96" spans="1:19" s="4" customFormat="1" x14ac:dyDescent="0.2">
      <c r="A96" s="8"/>
      <c r="B96" s="2" t="s">
        <v>394</v>
      </c>
      <c r="C96" s="10"/>
      <c r="D96" s="10"/>
      <c r="E96" s="9"/>
      <c r="F96" s="8"/>
      <c r="G96" s="97" t="s">
        <v>391</v>
      </c>
      <c r="H96" s="98"/>
      <c r="I96" s="96">
        <f>I95-H95</f>
        <v>-0.40600000000000591</v>
      </c>
      <c r="J96" s="96">
        <f t="shared" ref="J96:S96" si="27">J95-I95</f>
        <v>54.120000000000005</v>
      </c>
      <c r="K96" s="96">
        <f t="shared" si="27"/>
        <v>-7.9210000000000491</v>
      </c>
      <c r="L96" s="96">
        <f t="shared" si="27"/>
        <v>14.462000000000046</v>
      </c>
      <c r="M96" s="96">
        <f t="shared" si="27"/>
        <v>-33.158000000000015</v>
      </c>
      <c r="N96" s="96">
        <f t="shared" si="27"/>
        <v>10.898000000000025</v>
      </c>
      <c r="O96" s="96">
        <f t="shared" si="27"/>
        <v>-5.0060000000000286</v>
      </c>
      <c r="P96" s="96">
        <f t="shared" si="27"/>
        <v>-6</v>
      </c>
      <c r="Q96" s="96">
        <f t="shared" si="27"/>
        <v>-9</v>
      </c>
      <c r="R96" s="96">
        <f t="shared" si="27"/>
        <v>-9</v>
      </c>
      <c r="S96" s="96">
        <f t="shared" si="27"/>
        <v>-9</v>
      </c>
    </row>
    <row r="97" spans="1:20" s="40" customFormat="1" x14ac:dyDescent="0.2">
      <c r="A97" s="29" t="s">
        <v>395</v>
      </c>
      <c r="B97" s="2" t="s">
        <v>188</v>
      </c>
      <c r="C97" s="10" t="s">
        <v>396</v>
      </c>
      <c r="D97" s="99"/>
      <c r="E97" s="30"/>
      <c r="F97" s="29"/>
      <c r="G97" s="100" t="s">
        <v>386</v>
      </c>
      <c r="H97" s="101"/>
      <c r="I97" s="102">
        <f>I94-I96</f>
        <v>9.6669999999999732</v>
      </c>
      <c r="J97" s="102">
        <f t="shared" ref="J97:S97" si="28">J94-J96</f>
        <v>-24.726999999999975</v>
      </c>
      <c r="K97" s="102">
        <f t="shared" si="28"/>
        <v>-10.772999999999968</v>
      </c>
      <c r="L97" s="102">
        <f t="shared" si="28"/>
        <v>4.1789999999999736</v>
      </c>
      <c r="M97" s="102">
        <f t="shared" si="28"/>
        <v>14.064000000000021</v>
      </c>
      <c r="N97" s="102">
        <f t="shared" si="28"/>
        <v>13.347999999999956</v>
      </c>
      <c r="O97" s="102">
        <f t="shared" si="28"/>
        <v>10.112000000000023</v>
      </c>
      <c r="P97" s="102">
        <f t="shared" si="28"/>
        <v>9.742999999999995</v>
      </c>
      <c r="Q97" s="102">
        <f t="shared" si="28"/>
        <v>10.742999999999995</v>
      </c>
      <c r="R97" s="102">
        <f t="shared" si="28"/>
        <v>9.7430000000000518</v>
      </c>
      <c r="S97" s="102">
        <f t="shared" si="28"/>
        <v>9.742999999999995</v>
      </c>
    </row>
    <row r="98" spans="1:20" s="4" customFormat="1" x14ac:dyDescent="0.2">
      <c r="A98" s="8"/>
      <c r="B98" s="2"/>
      <c r="C98" s="10"/>
      <c r="D98" s="10"/>
      <c r="E98" s="9"/>
      <c r="F98" s="8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</row>
    <row r="99" spans="1:20" s="4" customFormat="1" x14ac:dyDescent="0.2">
      <c r="A99" s="8"/>
      <c r="B99" s="2" t="s">
        <v>397</v>
      </c>
      <c r="C99" s="10" t="s">
        <v>398</v>
      </c>
      <c r="D99" s="10"/>
      <c r="E99" s="9"/>
      <c r="F99" s="8"/>
      <c r="G99" s="95" t="s">
        <v>399</v>
      </c>
      <c r="H99" s="96">
        <f>H4-H93</f>
        <v>355.06700000000001</v>
      </c>
      <c r="I99" s="96">
        <f t="shared" ref="I99:S99" si="29">I4-I93</f>
        <v>346.81000000000006</v>
      </c>
      <c r="J99" s="96">
        <f t="shared" si="29"/>
        <v>375.93999999999994</v>
      </c>
      <c r="K99" s="96">
        <f t="shared" si="29"/>
        <v>391.11700000000002</v>
      </c>
      <c r="L99" s="96">
        <f t="shared" si="29"/>
        <v>391.59699999999998</v>
      </c>
      <c r="M99" s="96">
        <f t="shared" si="29"/>
        <v>381.55300000000005</v>
      </c>
      <c r="N99" s="96">
        <f t="shared" si="29"/>
        <v>371.50900000000007</v>
      </c>
      <c r="O99" s="96">
        <f t="shared" si="29"/>
        <v>361.46499999999997</v>
      </c>
      <c r="P99" s="96">
        <f t="shared" si="29"/>
        <v>351.42100000000005</v>
      </c>
      <c r="Q99" s="96">
        <f t="shared" si="29"/>
        <v>341.37700000000001</v>
      </c>
      <c r="R99" s="96">
        <f t="shared" si="29"/>
        <v>331.33300000000003</v>
      </c>
      <c r="S99" s="96">
        <f t="shared" si="29"/>
        <v>321.28899999999999</v>
      </c>
    </row>
    <row r="100" spans="1:20" s="4" customFormat="1" x14ac:dyDescent="0.2">
      <c r="A100" s="8"/>
      <c r="B100" s="2" t="s">
        <v>400</v>
      </c>
      <c r="C100" s="10"/>
      <c r="D100" s="10"/>
      <c r="E100" s="9"/>
      <c r="F100" s="8"/>
      <c r="G100" s="97" t="s">
        <v>391</v>
      </c>
      <c r="H100" s="98"/>
      <c r="I100" s="96">
        <f>I99-H99</f>
        <v>-8.2569999999999482</v>
      </c>
      <c r="J100" s="96">
        <f t="shared" ref="J100:S100" si="30">J99-I99</f>
        <v>29.129999999999882</v>
      </c>
      <c r="K100" s="96">
        <f t="shared" si="30"/>
        <v>15.177000000000078</v>
      </c>
      <c r="L100" s="96">
        <f t="shared" si="30"/>
        <v>0.47999999999996135</v>
      </c>
      <c r="M100" s="96">
        <f t="shared" si="30"/>
        <v>-10.043999999999926</v>
      </c>
      <c r="N100" s="96">
        <f t="shared" si="30"/>
        <v>-10.043999999999983</v>
      </c>
      <c r="O100" s="96">
        <f t="shared" si="30"/>
        <v>-10.044000000000096</v>
      </c>
      <c r="P100" s="96">
        <f t="shared" si="30"/>
        <v>-10.043999999999926</v>
      </c>
      <c r="Q100" s="96">
        <f t="shared" si="30"/>
        <v>-10.04400000000004</v>
      </c>
      <c r="R100" s="96">
        <f t="shared" si="30"/>
        <v>-10.043999999999983</v>
      </c>
      <c r="S100" s="96">
        <f t="shared" si="30"/>
        <v>-10.04400000000004</v>
      </c>
    </row>
    <row r="101" spans="1:20" s="4" customFormat="1" x14ac:dyDescent="0.2">
      <c r="A101" s="8"/>
      <c r="B101" s="2" t="s">
        <v>401</v>
      </c>
      <c r="C101" s="10" t="s">
        <v>64</v>
      </c>
      <c r="D101" s="10"/>
      <c r="E101" s="9"/>
      <c r="F101" s="8"/>
      <c r="G101" s="95" t="s">
        <v>402</v>
      </c>
      <c r="H101" s="96">
        <f>H27</f>
        <v>331.30200000000002</v>
      </c>
      <c r="I101" s="96">
        <f t="shared" ref="I101:S101" si="31">I27</f>
        <v>332.71100000000001</v>
      </c>
      <c r="J101" s="96">
        <f t="shared" si="31"/>
        <v>337.11400000000003</v>
      </c>
      <c r="K101" s="96">
        <f t="shared" si="31"/>
        <v>341.51900000000001</v>
      </c>
      <c r="L101" s="96">
        <f t="shared" si="31"/>
        <v>346.178</v>
      </c>
      <c r="M101" s="96">
        <f t="shared" si="31"/>
        <v>350.197</v>
      </c>
      <c r="N101" s="96">
        <f t="shared" si="31"/>
        <v>353.50099999999998</v>
      </c>
      <c r="O101" s="96">
        <f t="shared" si="31"/>
        <v>353.625</v>
      </c>
      <c r="P101" s="96">
        <f t="shared" si="31"/>
        <v>353.625</v>
      </c>
      <c r="Q101" s="96">
        <f t="shared" si="31"/>
        <v>353.625</v>
      </c>
      <c r="R101" s="96">
        <f t="shared" si="31"/>
        <v>353.625</v>
      </c>
      <c r="S101" s="96">
        <f t="shared" si="31"/>
        <v>353.625</v>
      </c>
    </row>
    <row r="102" spans="1:20" s="4" customFormat="1" x14ac:dyDescent="0.2">
      <c r="A102" s="8"/>
      <c r="B102" s="2" t="s">
        <v>403</v>
      </c>
      <c r="C102" s="10"/>
      <c r="D102" s="10"/>
      <c r="E102" s="9"/>
      <c r="F102" s="8"/>
      <c r="G102" s="97" t="s">
        <v>391</v>
      </c>
      <c r="H102" s="98"/>
      <c r="I102" s="96">
        <f>I101-H101</f>
        <v>1.4089999999999918</v>
      </c>
      <c r="J102" s="96">
        <f t="shared" ref="J102:S102" si="32">J101-I101</f>
        <v>4.40300000000002</v>
      </c>
      <c r="K102" s="96">
        <f t="shared" si="32"/>
        <v>4.4049999999999727</v>
      </c>
      <c r="L102" s="96">
        <f t="shared" si="32"/>
        <v>4.6589999999999918</v>
      </c>
      <c r="M102" s="96">
        <f t="shared" si="32"/>
        <v>4.0190000000000055</v>
      </c>
      <c r="N102" s="96">
        <f t="shared" si="32"/>
        <v>3.3039999999999736</v>
      </c>
      <c r="O102" s="96">
        <f t="shared" si="32"/>
        <v>0.12400000000002365</v>
      </c>
      <c r="P102" s="96">
        <f t="shared" si="32"/>
        <v>0</v>
      </c>
      <c r="Q102" s="96">
        <f t="shared" si="32"/>
        <v>0</v>
      </c>
      <c r="R102" s="96">
        <f t="shared" si="32"/>
        <v>0</v>
      </c>
      <c r="S102" s="96">
        <f t="shared" si="32"/>
        <v>0</v>
      </c>
    </row>
    <row r="103" spans="1:20" s="40" customFormat="1" x14ac:dyDescent="0.2">
      <c r="A103" s="29" t="s">
        <v>404</v>
      </c>
      <c r="B103" s="2" t="s">
        <v>189</v>
      </c>
      <c r="C103" s="10" t="s">
        <v>405</v>
      </c>
      <c r="D103" s="10"/>
      <c r="E103" s="9"/>
      <c r="F103" s="8"/>
      <c r="G103" s="100" t="s">
        <v>406</v>
      </c>
      <c r="H103" s="101"/>
      <c r="I103" s="102">
        <f>I102-I100</f>
        <v>9.66599999999994</v>
      </c>
      <c r="J103" s="102">
        <f t="shared" ref="J103:S103" si="33">J102-J100</f>
        <v>-24.726999999999862</v>
      </c>
      <c r="K103" s="102">
        <f t="shared" si="33"/>
        <v>-10.772000000000105</v>
      </c>
      <c r="L103" s="102">
        <f t="shared" si="33"/>
        <v>4.1790000000000305</v>
      </c>
      <c r="M103" s="102">
        <f t="shared" si="33"/>
        <v>14.062999999999931</v>
      </c>
      <c r="N103" s="102">
        <f t="shared" si="33"/>
        <v>13.347999999999956</v>
      </c>
      <c r="O103" s="102">
        <f t="shared" si="33"/>
        <v>10.16800000000012</v>
      </c>
      <c r="P103" s="102">
        <f t="shared" si="33"/>
        <v>10.043999999999926</v>
      </c>
      <c r="Q103" s="102">
        <f t="shared" si="33"/>
        <v>10.04400000000004</v>
      </c>
      <c r="R103" s="102">
        <f t="shared" si="33"/>
        <v>10.043999999999983</v>
      </c>
      <c r="S103" s="102">
        <f t="shared" si="33"/>
        <v>10.04400000000004</v>
      </c>
    </row>
    <row r="104" spans="1:20" s="4" customFormat="1" x14ac:dyDescent="0.2">
      <c r="A104" s="8"/>
      <c r="B104" s="2"/>
      <c r="C104" s="10"/>
      <c r="D104" s="10"/>
      <c r="E104" s="9"/>
      <c r="F104" s="8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</row>
    <row r="105" spans="1:20" s="4" customFormat="1" x14ac:dyDescent="0.2">
      <c r="A105" s="13"/>
      <c r="B105" s="2"/>
      <c r="C105" s="10"/>
      <c r="D105" s="10"/>
      <c r="E105" s="9"/>
      <c r="F105" s="8"/>
      <c r="G105" s="94" t="s">
        <v>407</v>
      </c>
      <c r="H105" s="87">
        <f t="shared" ref="H105:S105" si="34">H32</f>
        <v>2011</v>
      </c>
      <c r="I105" s="87">
        <f t="shared" si="34"/>
        <v>2012</v>
      </c>
      <c r="J105" s="87">
        <f t="shared" si="34"/>
        <v>2013</v>
      </c>
      <c r="K105" s="87">
        <f t="shared" si="34"/>
        <v>2014</v>
      </c>
      <c r="L105" s="87">
        <f t="shared" si="34"/>
        <v>2015</v>
      </c>
      <c r="M105" s="87">
        <f t="shared" si="34"/>
        <v>2016</v>
      </c>
      <c r="N105" s="87">
        <f t="shared" si="34"/>
        <v>2017</v>
      </c>
      <c r="O105" s="87">
        <f t="shared" si="34"/>
        <v>2018</v>
      </c>
      <c r="P105" s="87">
        <f t="shared" si="34"/>
        <v>2019</v>
      </c>
      <c r="Q105" s="87">
        <f t="shared" si="34"/>
        <v>2020</v>
      </c>
      <c r="R105" s="87">
        <f t="shared" si="34"/>
        <v>2021</v>
      </c>
      <c r="S105" s="87">
        <f t="shared" si="34"/>
        <v>2022</v>
      </c>
    </row>
    <row r="106" spans="1:20" s="40" customFormat="1" x14ac:dyDescent="0.2">
      <c r="A106" s="29" t="s">
        <v>408</v>
      </c>
      <c r="B106" s="2" t="s">
        <v>192</v>
      </c>
      <c r="C106" s="29" t="s">
        <v>409</v>
      </c>
      <c r="D106" s="10"/>
      <c r="E106" s="9"/>
      <c r="F106" s="8"/>
      <c r="G106" s="103" t="s">
        <v>407</v>
      </c>
      <c r="H106" s="101" t="s">
        <v>358</v>
      </c>
      <c r="I106" s="104">
        <f t="shared" ref="I106:N106" si="35">(I48-I45+I50)+(I58+I59)+(I82+I83+I84+I85)-(I85-I49)</f>
        <v>9.6669999999998559</v>
      </c>
      <c r="J106" s="104">
        <f t="shared" si="35"/>
        <v>-24.726999999999755</v>
      </c>
      <c r="K106" s="104">
        <f t="shared" si="35"/>
        <v>-10.771000000000051</v>
      </c>
      <c r="L106" s="104">
        <f t="shared" si="35"/>
        <v>4.1880000000000166</v>
      </c>
      <c r="M106" s="104">
        <f t="shared" si="35"/>
        <v>14.063000000000157</v>
      </c>
      <c r="N106" s="104">
        <f t="shared" si="35"/>
        <v>13.348000000000543</v>
      </c>
      <c r="O106" s="104">
        <f>(O48-O45+O50)+(O58+O59)+(O82+O83+O84+O85)-(O85-O49)</f>
        <v>10.045000000000659</v>
      </c>
      <c r="P106" s="104">
        <f>(P48-P45+P50)+(P58+P59)+(P82+P83+P84+P85)-(P85-P49)</f>
        <v>10.000000000000131</v>
      </c>
      <c r="Q106" s="104">
        <f>(Q48-Q45+Q50)+(Q58+Q59)+(Q82+Q83+Q84+Q85)-(Q85-Q49)</f>
        <v>10.000000000000131</v>
      </c>
      <c r="R106" s="104">
        <f>(R48-R45+R50)+(R58+R59)+(R82+R83+R84+R85)-(R85-R49)</f>
        <v>10.000000000000131</v>
      </c>
      <c r="S106" s="104">
        <f>(S48-S45+S50)+(S58+S59)+(S82+S83+S84+S85)-(S85-S49)</f>
        <v>10.000000000000131</v>
      </c>
    </row>
    <row r="107" spans="1:20" s="40" customFormat="1" x14ac:dyDescent="0.2">
      <c r="A107" s="29" t="s">
        <v>410</v>
      </c>
      <c r="B107" s="2" t="s">
        <v>194</v>
      </c>
      <c r="C107" s="29" t="s">
        <v>411</v>
      </c>
      <c r="D107" s="10"/>
      <c r="E107" s="9"/>
      <c r="F107" s="8"/>
      <c r="G107" s="89" t="s">
        <v>412</v>
      </c>
      <c r="H107" s="101" t="s">
        <v>358</v>
      </c>
      <c r="I107" s="85">
        <f>I97-I106</f>
        <v>1.1723955140041653E-13</v>
      </c>
      <c r="J107" s="85">
        <f t="shared" ref="J107:S107" si="36">J97-J106</f>
        <v>-2.2026824808563106E-13</v>
      </c>
      <c r="K107" s="85">
        <f t="shared" si="36"/>
        <v>-1.9999999999171791E-3</v>
      </c>
      <c r="L107" s="85">
        <f t="shared" si="36"/>
        <v>-9.0000000000429736E-3</v>
      </c>
      <c r="M107" s="85">
        <f t="shared" si="36"/>
        <v>9.9999999986444266E-4</v>
      </c>
      <c r="N107" s="85">
        <f t="shared" si="36"/>
        <v>-5.8619775700208265E-13</v>
      </c>
      <c r="O107" s="85">
        <f t="shared" si="36"/>
        <v>6.6999999999364235E-2</v>
      </c>
      <c r="P107" s="85">
        <f t="shared" si="36"/>
        <v>-0.25700000000013645</v>
      </c>
      <c r="Q107" s="85">
        <f t="shared" si="36"/>
        <v>0.74299999999986355</v>
      </c>
      <c r="R107" s="85">
        <f t="shared" si="36"/>
        <v>-0.25700000000007961</v>
      </c>
      <c r="S107" s="85">
        <f t="shared" si="36"/>
        <v>-0.25700000000013645</v>
      </c>
    </row>
    <row r="108" spans="1:20" s="40" customFormat="1" x14ac:dyDescent="0.2">
      <c r="A108" s="29"/>
      <c r="B108" s="2"/>
      <c r="C108" s="29"/>
      <c r="D108" s="10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</row>
    <row r="109" spans="1:20" s="40" customFormat="1" x14ac:dyDescent="0.2">
      <c r="A109" s="29"/>
      <c r="B109" s="2"/>
      <c r="C109" s="29"/>
      <c r="D109" s="10"/>
      <c r="E109" s="9"/>
      <c r="F109" s="8"/>
      <c r="G109" s="94" t="s">
        <v>413</v>
      </c>
      <c r="H109" s="87">
        <f>H105</f>
        <v>2011</v>
      </c>
      <c r="I109" s="87">
        <f t="shared" ref="I109:S109" si="37">I105</f>
        <v>2012</v>
      </c>
      <c r="J109" s="87">
        <f t="shared" si="37"/>
        <v>2013</v>
      </c>
      <c r="K109" s="87">
        <f t="shared" si="37"/>
        <v>2014</v>
      </c>
      <c r="L109" s="87">
        <f t="shared" si="37"/>
        <v>2015</v>
      </c>
      <c r="M109" s="87">
        <f t="shared" si="37"/>
        <v>2016</v>
      </c>
      <c r="N109" s="87">
        <f t="shared" si="37"/>
        <v>2017</v>
      </c>
      <c r="O109" s="87">
        <f t="shared" si="37"/>
        <v>2018</v>
      </c>
      <c r="P109" s="87">
        <f t="shared" si="37"/>
        <v>2019</v>
      </c>
      <c r="Q109" s="87">
        <f t="shared" si="37"/>
        <v>2020</v>
      </c>
      <c r="R109" s="87">
        <f t="shared" si="37"/>
        <v>2021</v>
      </c>
      <c r="S109" s="87">
        <f t="shared" si="37"/>
        <v>2022</v>
      </c>
    </row>
    <row r="110" spans="1:20" s="4" customFormat="1" x14ac:dyDescent="0.2">
      <c r="A110" s="8" t="s">
        <v>414</v>
      </c>
      <c r="B110" s="2" t="s">
        <v>415</v>
      </c>
      <c r="C110" s="34" t="s">
        <v>190</v>
      </c>
      <c r="D110" s="10"/>
      <c r="E110" s="9"/>
      <c r="F110" s="8"/>
      <c r="G110" s="103" t="s">
        <v>191</v>
      </c>
      <c r="H110" s="105">
        <f t="shared" ref="H110:S110" si="38">H33+H38+H41-H45</f>
        <v>12.668999999999807</v>
      </c>
      <c r="I110" s="77">
        <f t="shared" si="38"/>
        <v>9.339999999999856</v>
      </c>
      <c r="J110" s="77">
        <f t="shared" si="38"/>
        <v>12.848000000000248</v>
      </c>
      <c r="K110" s="77">
        <f t="shared" si="38"/>
        <v>13.626999999999949</v>
      </c>
      <c r="L110" s="77">
        <f t="shared" si="38"/>
        <v>13.180000000000017</v>
      </c>
      <c r="M110" s="77">
        <f t="shared" si="38"/>
        <v>13.047000000000157</v>
      </c>
      <c r="N110" s="77">
        <f t="shared" si="38"/>
        <v>13.348000000000543</v>
      </c>
      <c r="O110" s="77">
        <f t="shared" si="38"/>
        <v>10.045000000000659</v>
      </c>
      <c r="P110" s="77">
        <f t="shared" si="38"/>
        <v>10.000000000000131</v>
      </c>
      <c r="Q110" s="77">
        <f t="shared" si="38"/>
        <v>10.000000000000131</v>
      </c>
      <c r="R110" s="77">
        <f t="shared" si="38"/>
        <v>10.000000000000131</v>
      </c>
      <c r="S110" s="77">
        <f t="shared" si="38"/>
        <v>10.000000000000131</v>
      </c>
    </row>
    <row r="111" spans="1:20" s="4" customFormat="1" x14ac:dyDescent="0.2">
      <c r="A111" s="8" t="s">
        <v>416</v>
      </c>
      <c r="B111" s="2" t="s">
        <v>197</v>
      </c>
      <c r="C111" s="8" t="s">
        <v>417</v>
      </c>
      <c r="D111" s="10"/>
      <c r="E111" s="106">
        <v>0</v>
      </c>
      <c r="F111" s="8"/>
      <c r="G111" s="46" t="s">
        <v>193</v>
      </c>
      <c r="H111" s="107">
        <f t="shared" ref="H111:S111" si="39">H110/H33</f>
        <v>6.2994874487596973E-3</v>
      </c>
      <c r="I111" s="108">
        <f t="shared" si="39"/>
        <v>4.7015568495742703E-3</v>
      </c>
      <c r="J111" s="108">
        <f t="shared" si="39"/>
        <v>6.0572744339457462E-3</v>
      </c>
      <c r="K111" s="108">
        <f t="shared" si="39"/>
        <v>5.4673068929712377E-3</v>
      </c>
      <c r="L111" s="108">
        <f t="shared" si="39"/>
        <v>5.1884942973802507E-3</v>
      </c>
      <c r="M111" s="108">
        <f t="shared" si="39"/>
        <v>5.0126728761262984E-3</v>
      </c>
      <c r="N111" s="108">
        <f t="shared" si="39"/>
        <v>4.8931430379205903E-3</v>
      </c>
      <c r="O111" s="108">
        <f t="shared" si="39"/>
        <v>3.2306504301157272E-3</v>
      </c>
      <c r="P111" s="108">
        <f t="shared" si="39"/>
        <v>3.164556962025358E-3</v>
      </c>
      <c r="Q111" s="108">
        <f t="shared" si="39"/>
        <v>3.1377470975839758E-3</v>
      </c>
      <c r="R111" s="108">
        <f t="shared" si="39"/>
        <v>3.1113876789048323E-3</v>
      </c>
      <c r="S111" s="108">
        <f t="shared" si="39"/>
        <v>3.0693677102517285E-3</v>
      </c>
    </row>
    <row r="112" spans="1:20" s="4" customFormat="1" x14ac:dyDescent="0.2">
      <c r="A112" s="8" t="s">
        <v>418</v>
      </c>
      <c r="B112" s="2" t="s">
        <v>200</v>
      </c>
      <c r="C112" s="34" t="s">
        <v>195</v>
      </c>
      <c r="D112" s="10"/>
      <c r="E112" s="109"/>
      <c r="F112" s="8"/>
      <c r="G112" s="110" t="s">
        <v>196</v>
      </c>
      <c r="H112" s="111">
        <f t="shared" ref="H112:S112" si="40">-H33/(H38+H41)</f>
        <v>1.0021986301915977</v>
      </c>
      <c r="I112" s="111">
        <f t="shared" si="40"/>
        <v>1.0005454564684941</v>
      </c>
      <c r="J112" s="111">
        <f t="shared" si="40"/>
        <v>1.0020801414288301</v>
      </c>
      <c r="K112" s="111">
        <f t="shared" si="40"/>
        <v>1.0017708675804224</v>
      </c>
      <c r="L112" s="111">
        <f t="shared" si="40"/>
        <v>1.0013224900970916</v>
      </c>
      <c r="M112" s="111">
        <f t="shared" si="40"/>
        <v>1.0011550888529888</v>
      </c>
      <c r="N112" s="111">
        <f t="shared" si="40"/>
        <v>1.0012126572940201</v>
      </c>
      <c r="O112" s="111">
        <f t="shared" si="40"/>
        <v>1.0000003216178668</v>
      </c>
      <c r="P112" s="111">
        <f t="shared" si="40"/>
        <v>0.99998607614324364</v>
      </c>
      <c r="Q112" s="111">
        <f t="shared" si="40"/>
        <v>0.99998619410337608</v>
      </c>
      <c r="R112" s="111">
        <f t="shared" si="40"/>
        <v>0.9999863100816293</v>
      </c>
      <c r="S112" s="111">
        <f t="shared" si="40"/>
        <v>0.99998649496446335</v>
      </c>
    </row>
    <row r="113" spans="1:20" s="4" customFormat="1" x14ac:dyDescent="0.2">
      <c r="A113" s="8" t="s">
        <v>419</v>
      </c>
      <c r="B113" s="2" t="s">
        <v>420</v>
      </c>
      <c r="C113" s="8" t="s">
        <v>198</v>
      </c>
      <c r="D113" s="10"/>
      <c r="E113" s="109"/>
      <c r="F113" s="8"/>
      <c r="G113" s="103" t="s">
        <v>199</v>
      </c>
      <c r="H113" s="105">
        <f t="shared" ref="H113:S113" si="41">H46</f>
        <v>4.4119999999998072</v>
      </c>
      <c r="I113" s="105">
        <f t="shared" si="41"/>
        <v>1.0829999999998563</v>
      </c>
      <c r="J113" s="105">
        <f t="shared" si="41"/>
        <v>4.4030000000002474</v>
      </c>
      <c r="K113" s="105">
        <f t="shared" si="41"/>
        <v>4.4059999999999491</v>
      </c>
      <c r="L113" s="105">
        <f t="shared" si="41"/>
        <v>3.3550000000000182</v>
      </c>
      <c r="M113" s="105">
        <f t="shared" si="41"/>
        <v>3.0030000000001564</v>
      </c>
      <c r="N113" s="105">
        <f t="shared" si="41"/>
        <v>3.3040000000005421</v>
      </c>
      <c r="O113" s="105">
        <f t="shared" si="41"/>
        <v>1.0000000006584742E-3</v>
      </c>
      <c r="P113" s="105">
        <f t="shared" si="41"/>
        <v>-4.3999999999869033E-2</v>
      </c>
      <c r="Q113" s="105">
        <f t="shared" si="41"/>
        <v>-4.3999999999869033E-2</v>
      </c>
      <c r="R113" s="105">
        <f t="shared" si="41"/>
        <v>-4.3999999999869033E-2</v>
      </c>
      <c r="S113" s="105">
        <f t="shared" si="41"/>
        <v>-4.3999999999869033E-2</v>
      </c>
    </row>
    <row r="114" spans="1:20" s="4" customFormat="1" x14ac:dyDescent="0.2">
      <c r="A114" s="8" t="s">
        <v>421</v>
      </c>
      <c r="B114" s="2" t="s">
        <v>422</v>
      </c>
      <c r="C114" s="8" t="s">
        <v>201</v>
      </c>
      <c r="D114" s="106">
        <v>-0.3</v>
      </c>
      <c r="E114" s="106">
        <v>0</v>
      </c>
      <c r="F114" s="8"/>
      <c r="G114" s="110" t="s">
        <v>202</v>
      </c>
      <c r="H114" s="112">
        <f t="shared" ref="H114:S114" si="42">H46/H33</f>
        <v>2.1938068216849787E-3</v>
      </c>
      <c r="I114" s="113">
        <f t="shared" si="42"/>
        <v>5.4515910793237021E-4</v>
      </c>
      <c r="J114" s="113">
        <f t="shared" si="42"/>
        <v>2.0758234225298961E-3</v>
      </c>
      <c r="K114" s="113">
        <f t="shared" si="42"/>
        <v>1.767737152009326E-3</v>
      </c>
      <c r="L114" s="113">
        <f t="shared" si="42"/>
        <v>1.3207434269886806E-3</v>
      </c>
      <c r="M114" s="113">
        <f t="shared" si="42"/>
        <v>1.153756162106835E-3</v>
      </c>
      <c r="N114" s="113">
        <f t="shared" si="42"/>
        <v>1.2111885374057256E-3</v>
      </c>
      <c r="O114" s="113">
        <f t="shared" si="42"/>
        <v>3.2161776328947883E-7</v>
      </c>
      <c r="P114" s="113">
        <f t="shared" si="42"/>
        <v>-1.3924050632869948E-5</v>
      </c>
      <c r="Q114" s="113">
        <f t="shared" si="42"/>
        <v>-1.3806087229328218E-5</v>
      </c>
      <c r="R114" s="113">
        <f t="shared" si="42"/>
        <v>-1.3690105787140333E-5</v>
      </c>
      <c r="S114" s="113">
        <f t="shared" si="42"/>
        <v>-1.3505217925067229E-5</v>
      </c>
    </row>
    <row r="115" spans="1:20" s="4" customFormat="1" x14ac:dyDescent="0.2">
      <c r="A115" s="8" t="s">
        <v>423</v>
      </c>
      <c r="B115" s="2" t="s">
        <v>424</v>
      </c>
      <c r="C115" s="8" t="s">
        <v>204</v>
      </c>
      <c r="D115" s="10"/>
      <c r="E115" s="109"/>
      <c r="F115" s="8"/>
      <c r="G115" s="46" t="s">
        <v>205</v>
      </c>
      <c r="H115" s="105">
        <f t="shared" ref="H115:S115" si="43">H29+H30</f>
        <v>-219.52500000000001</v>
      </c>
      <c r="I115" s="105">
        <f t="shared" si="43"/>
        <v>-218.11600000000001</v>
      </c>
      <c r="J115" s="105">
        <f t="shared" si="43"/>
        <v>-213.71300000000002</v>
      </c>
      <c r="K115" s="105">
        <f t="shared" si="43"/>
        <v>-209.30799999999999</v>
      </c>
      <c r="L115" s="105">
        <f t="shared" si="43"/>
        <v>-204.649</v>
      </c>
      <c r="M115" s="105">
        <f t="shared" si="43"/>
        <v>-200.63</v>
      </c>
      <c r="N115" s="105">
        <f t="shared" si="43"/>
        <v>-197.32599999999999</v>
      </c>
      <c r="O115" s="105">
        <f t="shared" si="43"/>
        <v>-197.202</v>
      </c>
      <c r="P115" s="105">
        <f t="shared" si="43"/>
        <v>-197.202</v>
      </c>
      <c r="Q115" s="105">
        <f t="shared" si="43"/>
        <v>-197.202</v>
      </c>
      <c r="R115" s="105">
        <f t="shared" si="43"/>
        <v>-197.202</v>
      </c>
      <c r="S115" s="105">
        <f t="shared" si="43"/>
        <v>-197.202</v>
      </c>
    </row>
    <row r="116" spans="1:20" s="4" customFormat="1" x14ac:dyDescent="0.2">
      <c r="A116" s="8"/>
      <c r="B116" s="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</row>
    <row r="117" spans="1:20" s="4" customFormat="1" x14ac:dyDescent="0.2">
      <c r="A117" s="8"/>
      <c r="B117" s="2"/>
      <c r="C117" s="10"/>
      <c r="D117" s="10"/>
      <c r="E117" s="8"/>
      <c r="F117" s="8"/>
      <c r="G117" s="94" t="s">
        <v>206</v>
      </c>
      <c r="H117" s="87">
        <f t="shared" ref="H117:S117" si="44">H105</f>
        <v>2011</v>
      </c>
      <c r="I117" s="87">
        <f t="shared" si="44"/>
        <v>2012</v>
      </c>
      <c r="J117" s="87">
        <f t="shared" si="44"/>
        <v>2013</v>
      </c>
      <c r="K117" s="87">
        <f t="shared" si="44"/>
        <v>2014</v>
      </c>
      <c r="L117" s="87">
        <f t="shared" si="44"/>
        <v>2015</v>
      </c>
      <c r="M117" s="87">
        <f t="shared" si="44"/>
        <v>2016</v>
      </c>
      <c r="N117" s="87">
        <f t="shared" si="44"/>
        <v>2017</v>
      </c>
      <c r="O117" s="87">
        <f t="shared" si="44"/>
        <v>2018</v>
      </c>
      <c r="P117" s="87">
        <f t="shared" si="44"/>
        <v>2019</v>
      </c>
      <c r="Q117" s="87">
        <f t="shared" si="44"/>
        <v>2020</v>
      </c>
      <c r="R117" s="87">
        <f t="shared" si="44"/>
        <v>2021</v>
      </c>
      <c r="S117" s="87">
        <f t="shared" si="44"/>
        <v>2022</v>
      </c>
    </row>
    <row r="118" spans="1:20" s="4" customFormat="1" x14ac:dyDescent="0.2">
      <c r="A118" s="34" t="s">
        <v>425</v>
      </c>
      <c r="B118" s="2" t="s">
        <v>426</v>
      </c>
      <c r="C118" s="10" t="s">
        <v>208</v>
      </c>
      <c r="D118" s="10"/>
      <c r="E118" s="109"/>
      <c r="F118" s="37"/>
      <c r="G118" s="103" t="s">
        <v>209</v>
      </c>
      <c r="H118" s="105">
        <f t="shared" ref="H118:S118" si="45">H6+H12</f>
        <v>139.83000000000001</v>
      </c>
      <c r="I118" s="77">
        <f t="shared" si="45"/>
        <v>152.179</v>
      </c>
      <c r="J118" s="77">
        <f t="shared" si="45"/>
        <v>162.88200000000001</v>
      </c>
      <c r="K118" s="77">
        <f t="shared" si="45"/>
        <v>151.06800000000001</v>
      </c>
      <c r="L118" s="77">
        <f t="shared" si="45"/>
        <v>167.58600000000001</v>
      </c>
      <c r="M118" s="77">
        <f t="shared" si="45"/>
        <v>160.77600000000001</v>
      </c>
      <c r="N118" s="77">
        <f t="shared" si="45"/>
        <v>183.59399999999999</v>
      </c>
      <c r="O118" s="77">
        <f t="shared" si="45"/>
        <v>187</v>
      </c>
      <c r="P118" s="77">
        <f t="shared" si="45"/>
        <v>188</v>
      </c>
      <c r="Q118" s="77">
        <f t="shared" si="45"/>
        <v>187</v>
      </c>
      <c r="R118" s="77">
        <f t="shared" si="45"/>
        <v>188</v>
      </c>
      <c r="S118" s="77">
        <f t="shared" si="45"/>
        <v>188</v>
      </c>
    </row>
    <row r="119" spans="1:20" s="4" customFormat="1" x14ac:dyDescent="0.2">
      <c r="A119" s="8" t="s">
        <v>427</v>
      </c>
      <c r="B119" s="2" t="s">
        <v>428</v>
      </c>
      <c r="C119" s="8" t="s">
        <v>42</v>
      </c>
      <c r="D119" s="10"/>
      <c r="E119" s="109"/>
      <c r="F119" s="37"/>
      <c r="G119" s="110" t="s">
        <v>211</v>
      </c>
      <c r="H119" s="105">
        <f t="shared" ref="H119:S119" si="46">H19</f>
        <v>273.01100000000002</v>
      </c>
      <c r="I119" s="105">
        <f t="shared" si="46"/>
        <v>272.60500000000002</v>
      </c>
      <c r="J119" s="105">
        <f t="shared" si="46"/>
        <v>326.72500000000002</v>
      </c>
      <c r="K119" s="105">
        <f t="shared" si="46"/>
        <v>318.80399999999997</v>
      </c>
      <c r="L119" s="105">
        <f t="shared" si="46"/>
        <v>333.26600000000002</v>
      </c>
      <c r="M119" s="105">
        <f t="shared" si="46"/>
        <v>300.108</v>
      </c>
      <c r="N119" s="105">
        <f t="shared" si="46"/>
        <v>311.00600000000003</v>
      </c>
      <c r="O119" s="105">
        <f t="shared" si="46"/>
        <v>306</v>
      </c>
      <c r="P119" s="105">
        <f t="shared" si="46"/>
        <v>300</v>
      </c>
      <c r="Q119" s="105">
        <f t="shared" si="46"/>
        <v>291</v>
      </c>
      <c r="R119" s="105">
        <f t="shared" si="46"/>
        <v>282</v>
      </c>
      <c r="S119" s="105">
        <f t="shared" si="46"/>
        <v>273</v>
      </c>
    </row>
    <row r="120" spans="1:20" s="4" customFormat="1" x14ac:dyDescent="0.2">
      <c r="A120" s="8" t="s">
        <v>429</v>
      </c>
      <c r="B120" s="2" t="s">
        <v>203</v>
      </c>
      <c r="C120" s="8" t="s">
        <v>430</v>
      </c>
      <c r="D120" s="10"/>
      <c r="E120" s="109"/>
      <c r="F120" s="37"/>
      <c r="G120" s="110" t="s">
        <v>212</v>
      </c>
      <c r="H120" s="105">
        <f t="shared" ref="H120:S120" si="47">H119-H118</f>
        <v>133.18100000000001</v>
      </c>
      <c r="I120" s="77">
        <f t="shared" si="47"/>
        <v>120.42600000000002</v>
      </c>
      <c r="J120" s="77">
        <f t="shared" si="47"/>
        <v>163.84300000000002</v>
      </c>
      <c r="K120" s="77">
        <f t="shared" si="47"/>
        <v>167.73599999999996</v>
      </c>
      <c r="L120" s="77">
        <f t="shared" si="47"/>
        <v>165.68</v>
      </c>
      <c r="M120" s="77">
        <f>M119-M118</f>
        <v>139.33199999999999</v>
      </c>
      <c r="N120" s="77">
        <f t="shared" si="47"/>
        <v>127.41200000000003</v>
      </c>
      <c r="O120" s="77">
        <f t="shared" si="47"/>
        <v>119</v>
      </c>
      <c r="P120" s="77">
        <f t="shared" si="47"/>
        <v>112</v>
      </c>
      <c r="Q120" s="77">
        <f t="shared" si="47"/>
        <v>104</v>
      </c>
      <c r="R120" s="77">
        <f t="shared" si="47"/>
        <v>94</v>
      </c>
      <c r="S120" s="77">
        <f t="shared" si="47"/>
        <v>85</v>
      </c>
    </row>
    <row r="121" spans="1:20" s="4" customFormat="1" x14ac:dyDescent="0.2">
      <c r="A121" s="34" t="s">
        <v>431</v>
      </c>
      <c r="B121" s="2" t="s">
        <v>207</v>
      </c>
      <c r="C121" s="8" t="s">
        <v>432</v>
      </c>
      <c r="D121" s="10"/>
      <c r="E121" s="106">
        <v>0.4</v>
      </c>
      <c r="F121" s="114" t="s">
        <v>433</v>
      </c>
      <c r="G121" s="46" t="s">
        <v>213</v>
      </c>
      <c r="H121" s="115">
        <f t="shared" ref="H121:S121" si="48">H120/H33</f>
        <v>6.6222435702366259E-2</v>
      </c>
      <c r="I121" s="108">
        <f t="shared" si="48"/>
        <v>6.0619880638847955E-2</v>
      </c>
      <c r="J121" s="108">
        <f t="shared" si="48"/>
        <v>7.7244864187496404E-2</v>
      </c>
      <c r="K121" s="108">
        <f t="shared" si="48"/>
        <v>6.7297584868234145E-2</v>
      </c>
      <c r="L121" s="108">
        <f t="shared" si="48"/>
        <v>6.522228643322904E-2</v>
      </c>
      <c r="M121" s="108">
        <f t="shared" si="48"/>
        <v>5.3531519673213838E-2</v>
      </c>
      <c r="N121" s="108">
        <f t="shared" si="48"/>
        <v>4.6707007847431307E-2</v>
      </c>
      <c r="O121" s="108">
        <f t="shared" si="48"/>
        <v>3.8272513806246522E-2</v>
      </c>
      <c r="P121" s="108">
        <f t="shared" si="48"/>
        <v>3.5443037974683546E-2</v>
      </c>
      <c r="Q121" s="108">
        <f t="shared" si="48"/>
        <v>3.2632569814872919E-2</v>
      </c>
      <c r="R121" s="108">
        <f t="shared" si="48"/>
        <v>2.924704418170504E-2</v>
      </c>
      <c r="S121" s="108">
        <f t="shared" si="48"/>
        <v>2.6089625537139349E-2</v>
      </c>
    </row>
    <row r="122" spans="1:20" s="4" customFormat="1" x14ac:dyDescent="0.2">
      <c r="A122" s="8" t="s">
        <v>434</v>
      </c>
      <c r="B122" s="2" t="s">
        <v>210</v>
      </c>
      <c r="C122" s="8" t="s">
        <v>435</v>
      </c>
      <c r="D122" s="116">
        <v>0</v>
      </c>
      <c r="E122" s="116">
        <v>5</v>
      </c>
      <c r="F122" s="37"/>
      <c r="G122" s="100" t="s">
        <v>215</v>
      </c>
      <c r="H122" s="111">
        <f t="shared" ref="H122:S122" si="49">H120/H110</f>
        <v>10.512352987607708</v>
      </c>
      <c r="I122" s="111">
        <f t="shared" si="49"/>
        <v>12.893576017130821</v>
      </c>
      <c r="J122" s="111">
        <f t="shared" si="49"/>
        <v>12.752412826898883</v>
      </c>
      <c r="K122" s="111">
        <f t="shared" si="49"/>
        <v>12.309092243340471</v>
      </c>
      <c r="L122" s="111">
        <f t="shared" si="49"/>
        <v>12.570561456752639</v>
      </c>
      <c r="M122" s="111">
        <f>M120/M110</f>
        <v>10.67923660611622</v>
      </c>
      <c r="N122" s="111">
        <f t="shared" si="49"/>
        <v>9.5454000599336872</v>
      </c>
      <c r="O122" s="111">
        <f t="shared" si="49"/>
        <v>11.846689895469606</v>
      </c>
      <c r="P122" s="111">
        <f t="shared" si="49"/>
        <v>11.199999999999854</v>
      </c>
      <c r="Q122" s="111">
        <f t="shared" si="49"/>
        <v>10.399999999999864</v>
      </c>
      <c r="R122" s="111">
        <f t="shared" si="49"/>
        <v>9.399999999999876</v>
      </c>
      <c r="S122" s="111">
        <f t="shared" si="49"/>
        <v>8.4999999999998881</v>
      </c>
    </row>
    <row r="123" spans="1:20" s="4" customFormat="1" x14ac:dyDescent="0.2">
      <c r="A123" s="8" t="s">
        <v>436</v>
      </c>
      <c r="B123" s="2" t="s">
        <v>437</v>
      </c>
      <c r="C123" s="8" t="s">
        <v>217</v>
      </c>
      <c r="D123" s="10"/>
      <c r="E123" s="109"/>
      <c r="F123" s="37"/>
      <c r="G123" s="110" t="s">
        <v>218</v>
      </c>
      <c r="H123" s="105">
        <f t="shared" ref="H123:S123" si="50">-(H75+H77+H78+H79+H80+H81)</f>
        <v>0</v>
      </c>
      <c r="I123" s="105">
        <f t="shared" si="50"/>
        <v>0</v>
      </c>
      <c r="J123" s="105">
        <f t="shared" si="50"/>
        <v>0</v>
      </c>
      <c r="K123" s="105">
        <f t="shared" si="50"/>
        <v>0</v>
      </c>
      <c r="L123" s="105">
        <f t="shared" si="50"/>
        <v>0</v>
      </c>
      <c r="M123" s="105">
        <f t="shared" si="50"/>
        <v>0</v>
      </c>
      <c r="N123" s="105">
        <f t="shared" si="50"/>
        <v>0</v>
      </c>
      <c r="O123" s="105">
        <f t="shared" si="50"/>
        <v>0</v>
      </c>
      <c r="P123" s="105">
        <f t="shared" si="50"/>
        <v>0</v>
      </c>
      <c r="Q123" s="105">
        <f t="shared" si="50"/>
        <v>0</v>
      </c>
      <c r="R123" s="105">
        <f t="shared" si="50"/>
        <v>0</v>
      </c>
      <c r="S123" s="105">
        <f t="shared" si="50"/>
        <v>0</v>
      </c>
    </row>
    <row r="124" spans="1:20" s="4" customFormat="1" x14ac:dyDescent="0.2">
      <c r="A124" s="8" t="s">
        <v>438</v>
      </c>
      <c r="B124" s="2" t="s">
        <v>439</v>
      </c>
      <c r="C124" s="8" t="s">
        <v>440</v>
      </c>
      <c r="D124" s="10"/>
      <c r="E124" s="116">
        <v>1.2</v>
      </c>
      <c r="F124" s="114" t="s">
        <v>433</v>
      </c>
      <c r="G124" s="110" t="s">
        <v>220</v>
      </c>
      <c r="H124" s="117" t="e">
        <f t="shared" ref="H124:S124" si="51">H110/H123</f>
        <v>#DIV/0!</v>
      </c>
      <c r="I124" s="111" t="e">
        <f t="shared" si="51"/>
        <v>#DIV/0!</v>
      </c>
      <c r="J124" s="111" t="e">
        <f t="shared" si="51"/>
        <v>#DIV/0!</v>
      </c>
      <c r="K124" s="111" t="e">
        <f t="shared" si="51"/>
        <v>#DIV/0!</v>
      </c>
      <c r="L124" s="111" t="e">
        <f t="shared" si="51"/>
        <v>#DIV/0!</v>
      </c>
      <c r="M124" s="111" t="e">
        <f t="shared" si="51"/>
        <v>#DIV/0!</v>
      </c>
      <c r="N124" s="111" t="e">
        <f t="shared" si="51"/>
        <v>#DIV/0!</v>
      </c>
      <c r="O124" s="111" t="e">
        <f t="shared" si="51"/>
        <v>#DIV/0!</v>
      </c>
      <c r="P124" s="111" t="e">
        <f t="shared" si="51"/>
        <v>#DIV/0!</v>
      </c>
      <c r="Q124" s="111" t="e">
        <f t="shared" si="51"/>
        <v>#DIV/0!</v>
      </c>
      <c r="R124" s="111" t="e">
        <f t="shared" si="51"/>
        <v>#DIV/0!</v>
      </c>
      <c r="S124" s="111" t="e">
        <f t="shared" si="51"/>
        <v>#DIV/0!</v>
      </c>
    </row>
    <row r="125" spans="1:20" s="4" customFormat="1" x14ac:dyDescent="0.2">
      <c r="A125" s="38" t="s">
        <v>441</v>
      </c>
      <c r="B125" s="2" t="s">
        <v>442</v>
      </c>
      <c r="C125" s="8" t="s">
        <v>222</v>
      </c>
      <c r="D125" s="10"/>
      <c r="E125" s="116">
        <v>0</v>
      </c>
      <c r="F125" s="37"/>
      <c r="G125" s="103" t="s">
        <v>223</v>
      </c>
      <c r="H125" s="105">
        <f t="shared" ref="H125:S125" si="52">H5-H20</f>
        <v>-37.930000000000007</v>
      </c>
      <c r="I125" s="105">
        <f t="shared" si="52"/>
        <v>-28.006000000000029</v>
      </c>
      <c r="J125" s="105">
        <f t="shared" si="52"/>
        <v>-52.215000000000032</v>
      </c>
      <c r="K125" s="105">
        <f t="shared" si="52"/>
        <v>-62.730999999999995</v>
      </c>
      <c r="L125" s="105">
        <f t="shared" si="52"/>
        <v>-58.295000000000016</v>
      </c>
      <c r="M125" s="105">
        <f t="shared" si="52"/>
        <v>-43.97399999999999</v>
      </c>
      <c r="N125" s="105">
        <f t="shared" si="52"/>
        <v>-30.368999999999971</v>
      </c>
      <c r="O125" s="105">
        <f t="shared" si="52"/>
        <v>-20</v>
      </c>
      <c r="P125" s="105">
        <f t="shared" si="52"/>
        <v>-10</v>
      </c>
      <c r="Q125" s="105">
        <f t="shared" si="52"/>
        <v>1</v>
      </c>
      <c r="R125" s="105">
        <f t="shared" si="52"/>
        <v>11</v>
      </c>
      <c r="S125" s="105">
        <f t="shared" si="52"/>
        <v>21</v>
      </c>
    </row>
    <row r="126" spans="1:20" s="4" customFormat="1" x14ac:dyDescent="0.2">
      <c r="A126" s="34" t="s">
        <v>443</v>
      </c>
      <c r="B126" s="2" t="s">
        <v>444</v>
      </c>
      <c r="C126" s="8" t="s">
        <v>225</v>
      </c>
      <c r="D126" s="10"/>
      <c r="E126" s="116">
        <v>1</v>
      </c>
      <c r="F126" s="114" t="s">
        <v>433</v>
      </c>
      <c r="G126" s="110" t="s">
        <v>226</v>
      </c>
      <c r="H126" s="117">
        <f t="shared" ref="H126:S126" si="53">H5/H20</f>
        <v>0.86106786906022104</v>
      </c>
      <c r="I126" s="117">
        <f t="shared" si="53"/>
        <v>0.89726527393114575</v>
      </c>
      <c r="J126" s="117">
        <f t="shared" si="53"/>
        <v>0.84018670135434992</v>
      </c>
      <c r="K126" s="117">
        <f t="shared" si="53"/>
        <v>0.80323019786451866</v>
      </c>
      <c r="L126" s="117">
        <f t="shared" si="53"/>
        <v>0.82507966609255068</v>
      </c>
      <c r="M126" s="117">
        <f t="shared" si="53"/>
        <v>0.85347274981006838</v>
      </c>
      <c r="N126" s="117">
        <f t="shared" si="53"/>
        <v>0.9023523661922922</v>
      </c>
      <c r="O126" s="117">
        <f t="shared" si="53"/>
        <v>0.934640522875817</v>
      </c>
      <c r="P126" s="117">
        <f t="shared" si="53"/>
        <v>0.96666666666666667</v>
      </c>
      <c r="Q126" s="117">
        <f t="shared" si="53"/>
        <v>1.0034364261168385</v>
      </c>
      <c r="R126" s="117">
        <f t="shared" si="53"/>
        <v>1.0390070921985815</v>
      </c>
      <c r="S126" s="117">
        <f t="shared" si="53"/>
        <v>1.0769230769230769</v>
      </c>
    </row>
    <row r="127" spans="1:20" s="4" customFormat="1" x14ac:dyDescent="0.2">
      <c r="A127" s="34" t="s">
        <v>445</v>
      </c>
      <c r="B127" s="2" t="s">
        <v>214</v>
      </c>
      <c r="C127" s="34" t="s">
        <v>228</v>
      </c>
      <c r="D127" s="10"/>
      <c r="E127" s="116">
        <v>1</v>
      </c>
      <c r="F127" s="37"/>
      <c r="G127" s="46" t="s">
        <v>229</v>
      </c>
      <c r="H127" s="117">
        <f t="shared" ref="H127:S127" si="54">-H6/((H38+H41-H45+H47)/12)</f>
        <v>0.8400809260535933</v>
      </c>
      <c r="I127" s="117">
        <f t="shared" si="54"/>
        <v>0.9237390289588443</v>
      </c>
      <c r="J127" s="117">
        <f t="shared" si="54"/>
        <v>0.92711733684716813</v>
      </c>
      <c r="K127" s="117">
        <f t="shared" si="54"/>
        <v>0.73132068621221746</v>
      </c>
      <c r="L127" s="117">
        <f t="shared" si="54"/>
        <v>0.7962140249423636</v>
      </c>
      <c r="M127" s="117">
        <f t="shared" si="54"/>
        <v>0.74527067221891741</v>
      </c>
      <c r="N127" s="117">
        <f t="shared" si="54"/>
        <v>0.81159941367835786</v>
      </c>
      <c r="O127" s="117">
        <f t="shared" si="54"/>
        <v>0.72404941088707031</v>
      </c>
      <c r="P127" s="117">
        <f t="shared" si="54"/>
        <v>0.71619047619047616</v>
      </c>
      <c r="Q127" s="117">
        <f t="shared" si="54"/>
        <v>0.70632672332389046</v>
      </c>
      <c r="R127" s="117">
        <f t="shared" si="54"/>
        <v>0.70411985018726597</v>
      </c>
      <c r="S127" s="117">
        <f t="shared" si="54"/>
        <v>0.69458128078817727</v>
      </c>
    </row>
    <row r="128" spans="1:20" s="4" customFormat="1" x14ac:dyDescent="0.2">
      <c r="A128" s="34"/>
      <c r="B128" s="2"/>
      <c r="C128" s="34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</row>
    <row r="129" spans="1:21" s="4" customFormat="1" x14ac:dyDescent="0.2">
      <c r="A129" s="8"/>
      <c r="B129" s="2"/>
      <c r="C129" s="8"/>
      <c r="D129" s="10"/>
      <c r="E129" s="9"/>
      <c r="F129" s="37"/>
      <c r="G129" s="94" t="s">
        <v>230</v>
      </c>
      <c r="H129" s="87">
        <f t="shared" ref="H129:S129" si="55">H117</f>
        <v>2011</v>
      </c>
      <c r="I129" s="87">
        <f t="shared" si="55"/>
        <v>2012</v>
      </c>
      <c r="J129" s="87">
        <f t="shared" si="55"/>
        <v>2013</v>
      </c>
      <c r="K129" s="87">
        <f t="shared" si="55"/>
        <v>2014</v>
      </c>
      <c r="L129" s="87">
        <f t="shared" si="55"/>
        <v>2015</v>
      </c>
      <c r="M129" s="87">
        <f t="shared" si="55"/>
        <v>2016</v>
      </c>
      <c r="N129" s="87">
        <f t="shared" si="55"/>
        <v>2017</v>
      </c>
      <c r="O129" s="87">
        <f t="shared" si="55"/>
        <v>2018</v>
      </c>
      <c r="P129" s="87">
        <f t="shared" si="55"/>
        <v>2019</v>
      </c>
      <c r="Q129" s="87">
        <f t="shared" si="55"/>
        <v>2020</v>
      </c>
      <c r="R129" s="87">
        <f t="shared" si="55"/>
        <v>2021</v>
      </c>
      <c r="S129" s="87">
        <f t="shared" si="55"/>
        <v>2022</v>
      </c>
    </row>
    <row r="130" spans="1:21" s="4" customFormat="1" x14ac:dyDescent="0.2">
      <c r="A130" s="34" t="s">
        <v>446</v>
      </c>
      <c r="B130" s="2" t="s">
        <v>216</v>
      </c>
      <c r="C130" s="34" t="s">
        <v>232</v>
      </c>
      <c r="D130" s="10"/>
      <c r="E130" s="106">
        <v>0.6</v>
      </c>
      <c r="F130" s="37"/>
      <c r="G130" s="103" t="s">
        <v>233</v>
      </c>
      <c r="H130" s="115">
        <f t="shared" ref="H130:S130" si="56">H17/H4</f>
        <v>0</v>
      </c>
      <c r="I130" s="115">
        <f t="shared" si="56"/>
        <v>0</v>
      </c>
      <c r="J130" s="115">
        <f t="shared" si="56"/>
        <v>0</v>
      </c>
      <c r="K130" s="115">
        <f t="shared" si="56"/>
        <v>0</v>
      </c>
      <c r="L130" s="115">
        <f t="shared" si="56"/>
        <v>0</v>
      </c>
      <c r="M130" s="115">
        <f t="shared" si="56"/>
        <v>0</v>
      </c>
      <c r="N130" s="115">
        <f t="shared" si="56"/>
        <v>0</v>
      </c>
      <c r="O130" s="115">
        <f t="shared" si="56"/>
        <v>0</v>
      </c>
      <c r="P130" s="115">
        <f t="shared" si="56"/>
        <v>0</v>
      </c>
      <c r="Q130" s="115">
        <f t="shared" si="56"/>
        <v>0</v>
      </c>
      <c r="R130" s="115">
        <f t="shared" si="56"/>
        <v>0</v>
      </c>
      <c r="S130" s="115">
        <f t="shared" si="56"/>
        <v>0</v>
      </c>
    </row>
    <row r="131" spans="1:21" s="4" customFormat="1" x14ac:dyDescent="0.2">
      <c r="A131" s="34" t="s">
        <v>447</v>
      </c>
      <c r="B131" s="2" t="s">
        <v>219</v>
      </c>
      <c r="C131" s="34" t="s">
        <v>235</v>
      </c>
      <c r="D131" s="10"/>
      <c r="E131" s="106">
        <v>0.4</v>
      </c>
      <c r="F131" s="37"/>
      <c r="G131" s="46" t="s">
        <v>236</v>
      </c>
      <c r="H131" s="115" t="e">
        <f t="shared" ref="H131:S131" si="57">H27/H17</f>
        <v>#DIV/0!</v>
      </c>
      <c r="I131" s="115" t="e">
        <f t="shared" si="57"/>
        <v>#DIV/0!</v>
      </c>
      <c r="J131" s="115" t="e">
        <f t="shared" si="57"/>
        <v>#DIV/0!</v>
      </c>
      <c r="K131" s="115" t="e">
        <f t="shared" si="57"/>
        <v>#DIV/0!</v>
      </c>
      <c r="L131" s="115" t="e">
        <f t="shared" si="57"/>
        <v>#DIV/0!</v>
      </c>
      <c r="M131" s="115" t="e">
        <f t="shared" si="57"/>
        <v>#DIV/0!</v>
      </c>
      <c r="N131" s="115" t="e">
        <f t="shared" si="57"/>
        <v>#DIV/0!</v>
      </c>
      <c r="O131" s="115" t="e">
        <f t="shared" si="57"/>
        <v>#DIV/0!</v>
      </c>
      <c r="P131" s="115" t="e">
        <f t="shared" si="57"/>
        <v>#DIV/0!</v>
      </c>
      <c r="Q131" s="115" t="e">
        <f t="shared" si="57"/>
        <v>#DIV/0!</v>
      </c>
      <c r="R131" s="115" t="e">
        <f t="shared" si="57"/>
        <v>#DIV/0!</v>
      </c>
      <c r="S131" s="115" t="e">
        <f t="shared" si="57"/>
        <v>#DIV/0!</v>
      </c>
    </row>
    <row r="132" spans="1:21" s="4" customFormat="1" x14ac:dyDescent="0.2">
      <c r="A132" s="34"/>
      <c r="B132" s="2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</row>
    <row r="133" spans="1:21" s="4" customFormat="1" x14ac:dyDescent="0.2">
      <c r="A133" s="8"/>
      <c r="B133" s="2"/>
      <c r="C133" s="8"/>
      <c r="D133" s="10"/>
      <c r="E133" s="9"/>
      <c r="F133" s="37"/>
      <c r="G133" s="94" t="s">
        <v>237</v>
      </c>
      <c r="H133" s="87">
        <f t="shared" ref="H133:S133" si="58">H117</f>
        <v>2011</v>
      </c>
      <c r="I133" s="87">
        <f t="shared" si="58"/>
        <v>2012</v>
      </c>
      <c r="J133" s="87">
        <f t="shared" si="58"/>
        <v>2013</v>
      </c>
      <c r="K133" s="87">
        <f t="shared" si="58"/>
        <v>2014</v>
      </c>
      <c r="L133" s="87">
        <f t="shared" si="58"/>
        <v>2015</v>
      </c>
      <c r="M133" s="87">
        <f t="shared" si="58"/>
        <v>2016</v>
      </c>
      <c r="N133" s="87">
        <f t="shared" si="58"/>
        <v>2017</v>
      </c>
      <c r="O133" s="87">
        <f t="shared" si="58"/>
        <v>2018</v>
      </c>
      <c r="P133" s="87">
        <f t="shared" si="58"/>
        <v>2019</v>
      </c>
      <c r="Q133" s="87">
        <f t="shared" si="58"/>
        <v>2020</v>
      </c>
      <c r="R133" s="87">
        <f t="shared" si="58"/>
        <v>2021</v>
      </c>
      <c r="S133" s="87">
        <f t="shared" si="58"/>
        <v>2022</v>
      </c>
    </row>
    <row r="134" spans="1:21" s="4" customFormat="1" x14ac:dyDescent="0.2">
      <c r="A134" s="34" t="s">
        <v>448</v>
      </c>
      <c r="B134" s="2" t="s">
        <v>221</v>
      </c>
      <c r="C134" s="39" t="s">
        <v>239</v>
      </c>
      <c r="D134" s="10"/>
      <c r="E134" s="109"/>
      <c r="F134" s="37"/>
      <c r="G134" s="110" t="s">
        <v>240</v>
      </c>
      <c r="H134" s="118">
        <f t="shared" ref="H134:S134" si="59">H10/H4</f>
        <v>0.61099398985954279</v>
      </c>
      <c r="I134" s="118">
        <f t="shared" si="59"/>
        <v>0.59591519140415905</v>
      </c>
      <c r="J134" s="118">
        <f t="shared" si="59"/>
        <v>0.58648105941350248</v>
      </c>
      <c r="K134" s="118">
        <f t="shared" si="59"/>
        <v>0.61219980554941378</v>
      </c>
      <c r="L134" s="118">
        <f t="shared" si="59"/>
        <v>0.59529938493736778</v>
      </c>
      <c r="M134" s="118">
        <f t="shared" si="59"/>
        <v>0.60613250705438215</v>
      </c>
      <c r="N134" s="118">
        <f t="shared" si="59"/>
        <v>0.57767638264156729</v>
      </c>
      <c r="O134" s="118">
        <f t="shared" si="59"/>
        <v>0.56638350195354847</v>
      </c>
      <c r="P134" s="118">
        <f t="shared" si="59"/>
        <v>0.55607805678527034</v>
      </c>
      <c r="Q134" s="118">
        <f t="shared" si="59"/>
        <v>0.54726365845074243</v>
      </c>
      <c r="R134" s="118">
        <f t="shared" si="59"/>
        <v>0.53906611333624899</v>
      </c>
      <c r="S134" s="118">
        <f t="shared" si="59"/>
        <v>0.53062511474938734</v>
      </c>
    </row>
    <row r="135" spans="1:21" s="4" customFormat="1" x14ac:dyDescent="0.2">
      <c r="A135" s="34" t="s">
        <v>449</v>
      </c>
      <c r="B135" s="2" t="s">
        <v>224</v>
      </c>
      <c r="C135" s="39" t="s">
        <v>242</v>
      </c>
      <c r="D135" s="10"/>
      <c r="E135" s="109"/>
      <c r="F135" s="37"/>
      <c r="G135" s="110" t="s">
        <v>243</v>
      </c>
      <c r="H135" s="118">
        <f t="shared" ref="H135:S135" si="60">-(H58)/H15</f>
        <v>0</v>
      </c>
      <c r="I135" s="118">
        <f t="shared" si="60"/>
        <v>0</v>
      </c>
      <c r="J135" s="118">
        <f t="shared" si="60"/>
        <v>9.9949460020215999E-2</v>
      </c>
      <c r="K135" s="118">
        <f t="shared" si="60"/>
        <v>6.2380310751002893E-2</v>
      </c>
      <c r="L135" s="118">
        <f t="shared" si="60"/>
        <v>2.6315319065263524E-2</v>
      </c>
      <c r="M135" s="118">
        <f t="shared" si="60"/>
        <v>0</v>
      </c>
      <c r="N135" s="118">
        <f t="shared" si="60"/>
        <v>0</v>
      </c>
      <c r="O135" s="118">
        <f t="shared" si="60"/>
        <v>0</v>
      </c>
      <c r="P135" s="118">
        <f t="shared" si="60"/>
        <v>0</v>
      </c>
      <c r="Q135" s="118">
        <f t="shared" si="60"/>
        <v>0</v>
      </c>
      <c r="R135" s="118">
        <f t="shared" si="60"/>
        <v>0</v>
      </c>
      <c r="S135" s="118">
        <f t="shared" si="60"/>
        <v>0</v>
      </c>
    </row>
    <row r="136" spans="1:21" s="4" customFormat="1" x14ac:dyDescent="0.2">
      <c r="A136" s="34" t="s">
        <v>450</v>
      </c>
      <c r="B136" s="2" t="s">
        <v>227</v>
      </c>
      <c r="C136" s="8" t="s">
        <v>245</v>
      </c>
      <c r="D136" s="10"/>
      <c r="E136" s="109"/>
      <c r="F136" s="37"/>
      <c r="G136" s="103" t="s">
        <v>246</v>
      </c>
      <c r="H136" s="111">
        <f t="shared" ref="H136:S136" si="61">H33/H4</f>
        <v>3.3279431816677478</v>
      </c>
      <c r="I136" s="111">
        <f t="shared" si="61"/>
        <v>3.281882520865135</v>
      </c>
      <c r="J136" s="111">
        <f t="shared" si="61"/>
        <v>3.1951813617458455</v>
      </c>
      <c r="K136" s="111">
        <f t="shared" si="61"/>
        <v>3.7746008765420509</v>
      </c>
      <c r="L136" s="111">
        <f t="shared" si="61"/>
        <v>3.7387036145784118</v>
      </c>
      <c r="M136" s="111">
        <f t="shared" si="61"/>
        <v>4.002434242393953</v>
      </c>
      <c r="N136" s="111">
        <f t="shared" si="61"/>
        <v>4.1051471241085498</v>
      </c>
      <c r="O136" s="111">
        <f t="shared" si="61"/>
        <v>4.7141102750432484</v>
      </c>
      <c r="P136" s="111">
        <f t="shared" si="61"/>
        <v>4.8372184157191231</v>
      </c>
      <c r="Q136" s="111">
        <f t="shared" si="61"/>
        <v>4.941338083963986</v>
      </c>
      <c r="R136" s="111">
        <f t="shared" si="61"/>
        <v>5.0561143745300203</v>
      </c>
      <c r="S136" s="111">
        <f t="shared" si="61"/>
        <v>5.2014400549200541</v>
      </c>
    </row>
    <row r="137" spans="1:21" s="4" customFormat="1" x14ac:dyDescent="0.2">
      <c r="A137" s="34" t="s">
        <v>451</v>
      </c>
      <c r="B137" s="2" t="s">
        <v>231</v>
      </c>
      <c r="C137" s="39" t="s">
        <v>248</v>
      </c>
      <c r="D137" s="10"/>
      <c r="E137" s="109"/>
      <c r="F137" s="37"/>
      <c r="G137" s="46" t="s">
        <v>249</v>
      </c>
      <c r="H137" s="111">
        <f t="shared" ref="H137:S137" si="62">H33/H15</f>
        <v>5.6640465038992636</v>
      </c>
      <c r="I137" s="111">
        <f t="shared" si="62"/>
        <v>5.7281393270090248</v>
      </c>
      <c r="J137" s="111">
        <f t="shared" si="62"/>
        <v>5.6420865031653991</v>
      </c>
      <c r="K137" s="111">
        <f t="shared" si="62"/>
        <v>6.3726506390670821</v>
      </c>
      <c r="L137" s="111">
        <f t="shared" si="62"/>
        <v>6.486862769633067</v>
      </c>
      <c r="M137" s="111">
        <f t="shared" si="62"/>
        <v>6.8216027655397804</v>
      </c>
      <c r="N137" s="111">
        <f t="shared" si="62"/>
        <v>7.3427534729979627</v>
      </c>
      <c r="O137" s="111">
        <f t="shared" si="62"/>
        <v>8.6018867663535907</v>
      </c>
      <c r="P137" s="111">
        <f t="shared" si="62"/>
        <v>8.9920636501518132</v>
      </c>
      <c r="Q137" s="111">
        <f t="shared" si="62"/>
        <v>9.3357197467902058</v>
      </c>
      <c r="R137" s="111">
        <f t="shared" si="62"/>
        <v>9.7002109660070079</v>
      </c>
      <c r="S137" s="111">
        <f t="shared" si="62"/>
        <v>10.140403188406699</v>
      </c>
    </row>
    <row r="138" spans="1:21" s="4" customFormat="1" x14ac:dyDescent="0.2">
      <c r="A138" s="8" t="s">
        <v>452</v>
      </c>
      <c r="B138" s="2" t="s">
        <v>234</v>
      </c>
      <c r="C138" s="39" t="s">
        <v>251</v>
      </c>
      <c r="D138" s="106">
        <v>0.5</v>
      </c>
      <c r="E138" s="106">
        <f>1/3</f>
        <v>0.33333333333333331</v>
      </c>
      <c r="F138" s="114" t="s">
        <v>433</v>
      </c>
      <c r="G138" s="100" t="s">
        <v>252</v>
      </c>
      <c r="H138" s="118">
        <f t="shared" ref="H138:S138" si="63">H27/H4</f>
        <v>0.54823005334992525</v>
      </c>
      <c r="I138" s="118">
        <f t="shared" si="63"/>
        <v>0.54964844808331514</v>
      </c>
      <c r="J138" s="118">
        <f t="shared" si="63"/>
        <v>0.50782493948080798</v>
      </c>
      <c r="K138" s="118">
        <f t="shared" si="63"/>
        <v>0.51720069905288635</v>
      </c>
      <c r="L138" s="118">
        <f t="shared" si="63"/>
        <v>0.50950263671860629</v>
      </c>
      <c r="M138" s="118">
        <f t="shared" si="63"/>
        <v>0.53851192901792233</v>
      </c>
      <c r="N138" s="118">
        <f t="shared" si="63"/>
        <v>0.53197483246978583</v>
      </c>
      <c r="O138" s="118">
        <f t="shared" si="63"/>
        <v>0.53614557385201556</v>
      </c>
      <c r="P138" s="118">
        <f t="shared" si="63"/>
        <v>0.54131688679071988</v>
      </c>
      <c r="Q138" s="118">
        <f t="shared" si="63"/>
        <v>0.54828386568615139</v>
      </c>
      <c r="R138" s="118">
        <f t="shared" si="63"/>
        <v>0.55630629922003061</v>
      </c>
      <c r="S138" s="118">
        <f t="shared" si="63"/>
        <v>0.56456698570322417</v>
      </c>
    </row>
    <row r="139" spans="1:21" s="4" customFormat="1" x14ac:dyDescent="0.2">
      <c r="A139" s="8"/>
      <c r="B139" s="2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</row>
    <row r="140" spans="1:21" s="4" customFormat="1" x14ac:dyDescent="0.2">
      <c r="A140" s="40"/>
      <c r="B140" s="2"/>
      <c r="C140" s="2"/>
      <c r="D140" s="41"/>
      <c r="E140" s="42"/>
      <c r="F140" s="37"/>
      <c r="G140" s="94" t="s">
        <v>253</v>
      </c>
      <c r="H140" s="87">
        <f t="shared" ref="H140:S140" si="64">H133</f>
        <v>2011</v>
      </c>
      <c r="I140" s="87">
        <f t="shared" si="64"/>
        <v>2012</v>
      </c>
      <c r="J140" s="87">
        <f t="shared" si="64"/>
        <v>2013</v>
      </c>
      <c r="K140" s="87">
        <f t="shared" si="64"/>
        <v>2014</v>
      </c>
      <c r="L140" s="87">
        <f t="shared" si="64"/>
        <v>2015</v>
      </c>
      <c r="M140" s="87">
        <f t="shared" si="64"/>
        <v>2016</v>
      </c>
      <c r="N140" s="87">
        <f t="shared" si="64"/>
        <v>2017</v>
      </c>
      <c r="O140" s="87">
        <f t="shared" si="64"/>
        <v>2018</v>
      </c>
      <c r="P140" s="87">
        <f t="shared" si="64"/>
        <v>2019</v>
      </c>
      <c r="Q140" s="87">
        <f t="shared" si="64"/>
        <v>2020</v>
      </c>
      <c r="R140" s="87">
        <f t="shared" si="64"/>
        <v>2021</v>
      </c>
      <c r="S140" s="87">
        <f t="shared" si="64"/>
        <v>2022</v>
      </c>
    </row>
    <row r="141" spans="1:21" s="4" customFormat="1" x14ac:dyDescent="0.2">
      <c r="A141" s="8" t="s">
        <v>453</v>
      </c>
      <c r="B141" s="2" t="s">
        <v>238</v>
      </c>
      <c r="C141" s="8" t="s">
        <v>255</v>
      </c>
      <c r="D141" s="43"/>
      <c r="E141" s="106">
        <v>0.05</v>
      </c>
      <c r="F141" s="8"/>
      <c r="G141" s="103" t="s">
        <v>256</v>
      </c>
      <c r="H141" s="108">
        <f t="shared" ref="H141:S141" si="65">H35/H33</f>
        <v>0.23576859813158466</v>
      </c>
      <c r="I141" s="108">
        <f t="shared" si="65"/>
        <v>0.24443514871819652</v>
      </c>
      <c r="J141" s="108">
        <f t="shared" si="65"/>
        <v>0.23477171599831403</v>
      </c>
      <c r="K141" s="108">
        <f t="shared" si="65"/>
        <v>0.21901765811337587</v>
      </c>
      <c r="L141" s="108">
        <f t="shared" si="65"/>
        <v>0.22067555927874419</v>
      </c>
      <c r="M141" s="108">
        <f t="shared" si="65"/>
        <v>0.20807452580929101</v>
      </c>
      <c r="N141" s="108">
        <f t="shared" si="65"/>
        <v>0.20424399876974916</v>
      </c>
      <c r="O141" s="108">
        <f t="shared" si="65"/>
        <v>0.17492790133796202</v>
      </c>
      <c r="P141" s="108">
        <f t="shared" si="65"/>
        <v>0.17405063291139242</v>
      </c>
      <c r="Q141" s="108">
        <f t="shared" si="65"/>
        <v>0.1732036397866332</v>
      </c>
      <c r="R141" s="108">
        <f t="shared" si="65"/>
        <v>0.17237087741132545</v>
      </c>
      <c r="S141" s="108">
        <f t="shared" si="65"/>
        <v>0.17127071823204421</v>
      </c>
    </row>
    <row r="142" spans="1:21" s="4" customFormat="1" x14ac:dyDescent="0.2">
      <c r="A142" s="8" t="s">
        <v>454</v>
      </c>
      <c r="B142" s="2" t="s">
        <v>241</v>
      </c>
      <c r="C142" s="8" t="s">
        <v>258</v>
      </c>
      <c r="D142" s="10"/>
      <c r="E142" s="106">
        <v>0.95</v>
      </c>
      <c r="F142" s="8"/>
      <c r="G142" s="110" t="s">
        <v>259</v>
      </c>
      <c r="H142" s="118">
        <f t="shared" ref="H142:S142" si="66">(H36+H34)/H33</f>
        <v>0.75311767197913992</v>
      </c>
      <c r="I142" s="118">
        <f t="shared" si="66"/>
        <v>0.75056730776975056</v>
      </c>
      <c r="J142" s="118">
        <f t="shared" si="66"/>
        <v>0.76296764959082275</v>
      </c>
      <c r="K142" s="118">
        <f t="shared" si="66"/>
        <v>0.77496216577089538</v>
      </c>
      <c r="L142" s="118">
        <f t="shared" si="66"/>
        <v>0.77464180493465962</v>
      </c>
      <c r="M142" s="118">
        <f t="shared" si="66"/>
        <v>0.78613172030307332</v>
      </c>
      <c r="N142" s="118">
        <f t="shared" si="66"/>
        <v>0.79264628199211173</v>
      </c>
      <c r="O142" s="118">
        <f t="shared" si="66"/>
        <v>0.82478264267526802</v>
      </c>
      <c r="P142" s="118">
        <f t="shared" si="66"/>
        <v>0.82594936708860756</v>
      </c>
      <c r="Q142" s="118">
        <f t="shared" si="66"/>
        <v>0.82679636021336678</v>
      </c>
      <c r="R142" s="118">
        <f t="shared" si="66"/>
        <v>0.8276291225886746</v>
      </c>
      <c r="S142" s="118">
        <f t="shared" si="66"/>
        <v>0.82872928176795579</v>
      </c>
    </row>
    <row r="143" spans="1:21" s="4" customFormat="1" x14ac:dyDescent="0.2">
      <c r="A143" s="8" t="s">
        <v>455</v>
      </c>
      <c r="B143" s="2" t="s">
        <v>244</v>
      </c>
      <c r="C143" s="8" t="s">
        <v>261</v>
      </c>
      <c r="D143" s="10"/>
      <c r="E143" s="106">
        <v>0.95</v>
      </c>
      <c r="F143" s="8"/>
      <c r="G143" s="46" t="s">
        <v>262</v>
      </c>
      <c r="H143" s="108">
        <f t="shared" ref="H143:S143" si="67">H38/(H38+H41)</f>
        <v>0</v>
      </c>
      <c r="I143" s="108">
        <f t="shared" si="67"/>
        <v>0</v>
      </c>
      <c r="J143" s="108">
        <f t="shared" si="67"/>
        <v>0</v>
      </c>
      <c r="K143" s="108">
        <f t="shared" si="67"/>
        <v>0</v>
      </c>
      <c r="L143" s="108">
        <f t="shared" si="67"/>
        <v>0</v>
      </c>
      <c r="M143" s="108">
        <f t="shared" si="67"/>
        <v>0</v>
      </c>
      <c r="N143" s="108">
        <f t="shared" si="67"/>
        <v>0</v>
      </c>
      <c r="O143" s="108">
        <f t="shared" si="67"/>
        <v>0</v>
      </c>
      <c r="P143" s="108">
        <f t="shared" si="67"/>
        <v>0</v>
      </c>
      <c r="Q143" s="108">
        <f t="shared" si="67"/>
        <v>0</v>
      </c>
      <c r="R143" s="108">
        <f t="shared" si="67"/>
        <v>0</v>
      </c>
      <c r="S143" s="108">
        <f t="shared" si="67"/>
        <v>0</v>
      </c>
    </row>
    <row r="144" spans="1:21" s="4" customFormat="1" x14ac:dyDescent="0.2">
      <c r="A144" s="8"/>
      <c r="B144" s="2"/>
      <c r="C144" s="8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</row>
    <row r="145" spans="1:19" s="4" customFormat="1" x14ac:dyDescent="0.2">
      <c r="A145" s="40"/>
      <c r="B145" s="2"/>
      <c r="C145" s="119"/>
      <c r="D145" s="41"/>
      <c r="E145" s="42"/>
      <c r="F145" s="37"/>
      <c r="G145" s="94"/>
      <c r="H145" s="87">
        <f>H140</f>
        <v>2011</v>
      </c>
      <c r="I145" s="87">
        <f t="shared" ref="I145:S145" si="68">I140</f>
        <v>2012</v>
      </c>
      <c r="J145" s="87">
        <f t="shared" si="68"/>
        <v>2013</v>
      </c>
      <c r="K145" s="87">
        <f t="shared" si="68"/>
        <v>2014</v>
      </c>
      <c r="L145" s="87">
        <f t="shared" si="68"/>
        <v>2015</v>
      </c>
      <c r="M145" s="87">
        <f t="shared" si="68"/>
        <v>2016</v>
      </c>
      <c r="N145" s="87">
        <f t="shared" si="68"/>
        <v>2017</v>
      </c>
      <c r="O145" s="87">
        <f t="shared" si="68"/>
        <v>2018</v>
      </c>
      <c r="P145" s="87">
        <f t="shared" si="68"/>
        <v>2019</v>
      </c>
      <c r="Q145" s="87">
        <f t="shared" si="68"/>
        <v>2020</v>
      </c>
      <c r="R145" s="87">
        <f t="shared" si="68"/>
        <v>2021</v>
      </c>
      <c r="S145" s="87">
        <f t="shared" si="68"/>
        <v>2022</v>
      </c>
    </row>
    <row r="146" spans="1:19" s="4" customFormat="1" x14ac:dyDescent="0.2">
      <c r="A146" s="4" t="s">
        <v>456</v>
      </c>
      <c r="B146" s="2" t="s">
        <v>247</v>
      </c>
      <c r="C146" s="8" t="s">
        <v>264</v>
      </c>
      <c r="D146" s="120">
        <v>0.5</v>
      </c>
      <c r="E146" s="121" t="s">
        <v>265</v>
      </c>
      <c r="G146" s="103" t="s">
        <v>266</v>
      </c>
      <c r="H146" s="111" t="str">
        <f t="shared" ref="H146:S146" si="69">IF(H141&lt;$D$146,$E$146,H35/H4)</f>
        <v>N/A</v>
      </c>
      <c r="I146" s="111" t="str">
        <f t="shared" si="69"/>
        <v>N/A</v>
      </c>
      <c r="J146" s="111" t="str">
        <f t="shared" si="69"/>
        <v>N/A</v>
      </c>
      <c r="K146" s="111" t="str">
        <f t="shared" si="69"/>
        <v>N/A</v>
      </c>
      <c r="L146" s="111" t="str">
        <f t="shared" si="69"/>
        <v>N/A</v>
      </c>
      <c r="M146" s="111" t="str">
        <f t="shared" si="69"/>
        <v>N/A</v>
      </c>
      <c r="N146" s="111" t="str">
        <f t="shared" si="69"/>
        <v>N/A</v>
      </c>
      <c r="O146" s="111" t="str">
        <f t="shared" si="69"/>
        <v>N/A</v>
      </c>
      <c r="P146" s="111" t="str">
        <f t="shared" si="69"/>
        <v>N/A</v>
      </c>
      <c r="Q146" s="111" t="str">
        <f t="shared" si="69"/>
        <v>N/A</v>
      </c>
      <c r="R146" s="111" t="str">
        <f t="shared" si="69"/>
        <v>N/A</v>
      </c>
      <c r="S146" s="111" t="str">
        <f t="shared" si="69"/>
        <v>N/A</v>
      </c>
    </row>
    <row r="147" spans="1:19" s="4" customFormat="1" x14ac:dyDescent="0.2">
      <c r="A147" s="4" t="s">
        <v>457</v>
      </c>
      <c r="B147" s="2" t="s">
        <v>250</v>
      </c>
      <c r="C147" s="8" t="s">
        <v>267</v>
      </c>
      <c r="D147" s="120">
        <v>0.5</v>
      </c>
      <c r="E147" s="121" t="s">
        <v>265</v>
      </c>
      <c r="G147" s="110" t="s">
        <v>268</v>
      </c>
      <c r="H147" s="111" t="str">
        <f t="shared" ref="H147:S147" si="70">IF(H141&lt;$D$147,$E$147,H35/H15)</f>
        <v>N/A</v>
      </c>
      <c r="I147" s="111" t="str">
        <f t="shared" si="70"/>
        <v>N/A</v>
      </c>
      <c r="J147" s="111" t="str">
        <f t="shared" si="70"/>
        <v>N/A</v>
      </c>
      <c r="K147" s="111" t="str">
        <f t="shared" si="70"/>
        <v>N/A</v>
      </c>
      <c r="L147" s="111" t="str">
        <f t="shared" si="70"/>
        <v>N/A</v>
      </c>
      <c r="M147" s="111" t="str">
        <f t="shared" si="70"/>
        <v>N/A</v>
      </c>
      <c r="N147" s="111" t="str">
        <f t="shared" si="70"/>
        <v>N/A</v>
      </c>
      <c r="O147" s="111" t="str">
        <f t="shared" si="70"/>
        <v>N/A</v>
      </c>
      <c r="P147" s="111" t="str">
        <f t="shared" si="70"/>
        <v>N/A</v>
      </c>
      <c r="Q147" s="111" t="str">
        <f t="shared" si="70"/>
        <v>N/A</v>
      </c>
      <c r="R147" s="111" t="str">
        <f t="shared" si="70"/>
        <v>N/A</v>
      </c>
      <c r="S147" s="111" t="str">
        <f t="shared" si="70"/>
        <v>N/A</v>
      </c>
    </row>
    <row r="148" spans="1:19" s="4" customFormat="1" x14ac:dyDescent="0.2">
      <c r="A148" s="4" t="s">
        <v>458</v>
      </c>
      <c r="B148" s="2" t="s">
        <v>254</v>
      </c>
      <c r="C148" s="8" t="s">
        <v>201</v>
      </c>
      <c r="D148" s="120">
        <v>0.5</v>
      </c>
      <c r="E148" s="121" t="s">
        <v>265</v>
      </c>
      <c r="G148" s="103" t="s">
        <v>269</v>
      </c>
      <c r="H148" s="118" t="str">
        <f t="shared" ref="H148:S148" si="71">IF(H141&lt;$D$148,$E$148,H46/H33)</f>
        <v>N/A</v>
      </c>
      <c r="I148" s="118" t="str">
        <f t="shared" si="71"/>
        <v>N/A</v>
      </c>
      <c r="J148" s="118" t="str">
        <f t="shared" si="71"/>
        <v>N/A</v>
      </c>
      <c r="K148" s="118" t="str">
        <f t="shared" si="71"/>
        <v>N/A</v>
      </c>
      <c r="L148" s="118" t="str">
        <f t="shared" si="71"/>
        <v>N/A</v>
      </c>
      <c r="M148" s="118" t="str">
        <f t="shared" si="71"/>
        <v>N/A</v>
      </c>
      <c r="N148" s="118" t="str">
        <f t="shared" si="71"/>
        <v>N/A</v>
      </c>
      <c r="O148" s="118" t="str">
        <f t="shared" si="71"/>
        <v>N/A</v>
      </c>
      <c r="P148" s="118" t="str">
        <f t="shared" si="71"/>
        <v>N/A</v>
      </c>
      <c r="Q148" s="118" t="str">
        <f t="shared" si="71"/>
        <v>N/A</v>
      </c>
      <c r="R148" s="118" t="str">
        <f t="shared" si="71"/>
        <v>N/A</v>
      </c>
      <c r="S148" s="118" t="str">
        <f t="shared" si="71"/>
        <v>N/A</v>
      </c>
    </row>
    <row r="149" spans="1:19" s="4" customFormat="1" x14ac:dyDescent="0.2">
      <c r="A149" s="4" t="s">
        <v>459</v>
      </c>
      <c r="B149" s="2" t="s">
        <v>257</v>
      </c>
      <c r="C149" s="8" t="s">
        <v>270</v>
      </c>
      <c r="D149" s="120">
        <v>0.5</v>
      </c>
      <c r="E149" s="121" t="s">
        <v>265</v>
      </c>
      <c r="G149" s="110" t="s">
        <v>271</v>
      </c>
      <c r="H149" s="118" t="str">
        <f t="shared" ref="H149:S149" si="72">IF(H141&lt;$D$148,$E$149,H51/H33)</f>
        <v>N/A</v>
      </c>
      <c r="I149" s="118" t="str">
        <f t="shared" si="72"/>
        <v>N/A</v>
      </c>
      <c r="J149" s="118" t="str">
        <f t="shared" si="72"/>
        <v>N/A</v>
      </c>
      <c r="K149" s="118" t="str">
        <f t="shared" si="72"/>
        <v>N/A</v>
      </c>
      <c r="L149" s="118" t="str">
        <f t="shared" si="72"/>
        <v>N/A</v>
      </c>
      <c r="M149" s="118" t="str">
        <f t="shared" si="72"/>
        <v>N/A</v>
      </c>
      <c r="N149" s="118" t="str">
        <f t="shared" si="72"/>
        <v>N/A</v>
      </c>
      <c r="O149" s="118" t="str">
        <f t="shared" si="72"/>
        <v>N/A</v>
      </c>
      <c r="P149" s="118" t="str">
        <f t="shared" si="72"/>
        <v>N/A</v>
      </c>
      <c r="Q149" s="118" t="str">
        <f t="shared" si="72"/>
        <v>N/A</v>
      </c>
      <c r="R149" s="118" t="str">
        <f t="shared" si="72"/>
        <v>N/A</v>
      </c>
      <c r="S149" s="118" t="str">
        <f t="shared" si="72"/>
        <v>N/A</v>
      </c>
    </row>
    <row r="150" spans="1:19" s="4" customFormat="1" x14ac:dyDescent="0.2">
      <c r="A150" s="4" t="s">
        <v>460</v>
      </c>
      <c r="B150" s="2" t="s">
        <v>260</v>
      </c>
      <c r="C150" s="8" t="s">
        <v>272</v>
      </c>
      <c r="D150" s="120">
        <v>0.5</v>
      </c>
      <c r="E150" s="121" t="s">
        <v>265</v>
      </c>
      <c r="G150" s="110" t="s">
        <v>273</v>
      </c>
      <c r="H150" s="118" t="str">
        <f t="shared" ref="H150:S150" si="73">IF(H141&lt;$D$150,$E$150,H51/H4)</f>
        <v>N/A</v>
      </c>
      <c r="I150" s="118" t="str">
        <f t="shared" si="73"/>
        <v>N/A</v>
      </c>
      <c r="J150" s="118" t="str">
        <f t="shared" si="73"/>
        <v>N/A</v>
      </c>
      <c r="K150" s="118" t="str">
        <f t="shared" si="73"/>
        <v>N/A</v>
      </c>
      <c r="L150" s="118" t="str">
        <f t="shared" si="73"/>
        <v>N/A</v>
      </c>
      <c r="M150" s="118" t="str">
        <f t="shared" si="73"/>
        <v>N/A</v>
      </c>
      <c r="N150" s="118" t="str">
        <f t="shared" si="73"/>
        <v>N/A</v>
      </c>
      <c r="O150" s="118" t="str">
        <f t="shared" si="73"/>
        <v>N/A</v>
      </c>
      <c r="P150" s="118" t="str">
        <f t="shared" si="73"/>
        <v>N/A</v>
      </c>
      <c r="Q150" s="118" t="str">
        <f t="shared" si="73"/>
        <v>N/A</v>
      </c>
      <c r="R150" s="118" t="str">
        <f t="shared" si="73"/>
        <v>N/A</v>
      </c>
      <c r="S150" s="118" t="str">
        <f t="shared" si="73"/>
        <v>N/A</v>
      </c>
    </row>
    <row r="151" spans="1:19" s="4" customFormat="1" x14ac:dyDescent="0.2">
      <c r="A151" s="4" t="s">
        <v>461</v>
      </c>
      <c r="B151" s="2" t="s">
        <v>263</v>
      </c>
      <c r="C151" s="8" t="s">
        <v>274</v>
      </c>
      <c r="D151" s="120">
        <v>0.5</v>
      </c>
      <c r="E151" s="121" t="s">
        <v>265</v>
      </c>
      <c r="G151" s="46" t="s">
        <v>275</v>
      </c>
      <c r="H151" s="118" t="str">
        <f>IF(H141&lt;$D$151,$E$151,H51/H27)</f>
        <v>N/A</v>
      </c>
      <c r="I151" s="118" t="str">
        <f>IF(I141&lt;$D$151,$E$151,I51/((H27+I27)/2))</f>
        <v>N/A</v>
      </c>
      <c r="J151" s="118" t="str">
        <f>IF(J141&lt;$D$151,$E$151,J51/((I27+J27)/2))</f>
        <v>N/A</v>
      </c>
      <c r="K151" s="118" t="str">
        <f>IF(K141&lt;$D$151,$E$151,K51/((J27+K27)/2))</f>
        <v>N/A</v>
      </c>
      <c r="L151" s="118" t="str">
        <f>IF(L141&lt;$D$151,$E$151,L51/((K27+L27)/2))</f>
        <v>N/A</v>
      </c>
      <c r="M151" s="118" t="str">
        <f>IF(M141&lt;$D$151,$E$151,M51/((L27+M27)/2))</f>
        <v>N/A</v>
      </c>
      <c r="N151" s="118" t="str">
        <f t="shared" ref="N151:S151" si="74">IF(N141&lt;$D$151,$E$151,N51/((M27+N27)/2))</f>
        <v>N/A</v>
      </c>
      <c r="O151" s="118" t="str">
        <f t="shared" si="74"/>
        <v>N/A</v>
      </c>
      <c r="P151" s="118" t="str">
        <f t="shared" si="74"/>
        <v>N/A</v>
      </c>
      <c r="Q151" s="118" t="str">
        <f t="shared" si="74"/>
        <v>N/A</v>
      </c>
      <c r="R151" s="118" t="str">
        <f t="shared" si="74"/>
        <v>N/A</v>
      </c>
      <c r="S151" s="118" t="str">
        <f t="shared" si="74"/>
        <v>N/A</v>
      </c>
    </row>
    <row r="152" spans="1:19" s="4" customFormat="1" x14ac:dyDescent="0.2">
      <c r="A152" s="8"/>
      <c r="B152" s="2"/>
      <c r="C152" s="119"/>
      <c r="D152" s="41"/>
      <c r="E152" s="42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</row>
    <row r="153" spans="1:19" s="4" customFormat="1" x14ac:dyDescent="0.2">
      <c r="A153" s="8"/>
      <c r="B153" s="2"/>
      <c r="C153" s="10"/>
      <c r="D153" s="10"/>
      <c r="E153" s="9"/>
      <c r="F153" s="8"/>
      <c r="G153" s="94" t="s">
        <v>462</v>
      </c>
      <c r="H153" s="87">
        <f>H145</f>
        <v>2011</v>
      </c>
      <c r="I153" s="87">
        <f t="shared" ref="I153:S153" si="75">I145</f>
        <v>2012</v>
      </c>
      <c r="J153" s="87">
        <f t="shared" si="75"/>
        <v>2013</v>
      </c>
      <c r="K153" s="87">
        <f t="shared" si="75"/>
        <v>2014</v>
      </c>
      <c r="L153" s="87">
        <f t="shared" si="75"/>
        <v>2015</v>
      </c>
      <c r="M153" s="87">
        <f t="shared" si="75"/>
        <v>2016</v>
      </c>
      <c r="N153" s="87">
        <f t="shared" si="75"/>
        <v>2017</v>
      </c>
      <c r="O153" s="87">
        <f t="shared" si="75"/>
        <v>2018</v>
      </c>
      <c r="P153" s="87">
        <f t="shared" si="75"/>
        <v>2019</v>
      </c>
      <c r="Q153" s="87">
        <f t="shared" si="75"/>
        <v>2020</v>
      </c>
      <c r="R153" s="87">
        <f t="shared" si="75"/>
        <v>2021</v>
      </c>
      <c r="S153" s="87">
        <f t="shared" si="75"/>
        <v>2022</v>
      </c>
    </row>
    <row r="154" spans="1:19" s="4" customFormat="1" x14ac:dyDescent="0.2">
      <c r="A154" s="8"/>
      <c r="B154" s="2"/>
      <c r="C154" s="10"/>
      <c r="D154" s="10"/>
      <c r="E154" s="9"/>
      <c r="F154" s="8"/>
      <c r="G154" s="95" t="s">
        <v>276</v>
      </c>
      <c r="H154" s="96">
        <f t="shared" ref="H154:S154" si="76">H33</f>
        <v>2011.116</v>
      </c>
      <c r="I154" s="96">
        <f t="shared" si="76"/>
        <v>1986.576</v>
      </c>
      <c r="J154" s="96">
        <f t="shared" si="76"/>
        <v>2121.0860000000002</v>
      </c>
      <c r="K154" s="96">
        <f t="shared" si="76"/>
        <v>2492.4520000000002</v>
      </c>
      <c r="L154" s="96">
        <f>L33</f>
        <v>2540.2359999999999</v>
      </c>
      <c r="M154" s="96">
        <f t="shared" si="76"/>
        <v>2602.8029999999999</v>
      </c>
      <c r="N154" s="96">
        <f t="shared" si="76"/>
        <v>2727.8990000000003</v>
      </c>
      <c r="O154" s="96">
        <f t="shared" si="76"/>
        <v>3109.2810000000004</v>
      </c>
      <c r="P154" s="96">
        <f t="shared" si="76"/>
        <v>3160</v>
      </c>
      <c r="Q154" s="96">
        <f t="shared" si="76"/>
        <v>3187</v>
      </c>
      <c r="R154" s="96">
        <f t="shared" si="76"/>
        <v>3214</v>
      </c>
      <c r="S154" s="96">
        <f t="shared" si="76"/>
        <v>3258</v>
      </c>
    </row>
    <row r="155" spans="1:19" s="4" customFormat="1" x14ac:dyDescent="0.2">
      <c r="A155" s="8"/>
      <c r="B155" s="2"/>
      <c r="C155" s="10"/>
      <c r="D155" s="10"/>
      <c r="E155" s="9"/>
      <c r="F155" s="8"/>
      <c r="G155" s="95" t="s">
        <v>277</v>
      </c>
      <c r="H155" s="96">
        <f t="shared" ref="H155:S156" si="77">H35</f>
        <v>474.15800000000002</v>
      </c>
      <c r="I155" s="96">
        <f t="shared" si="77"/>
        <v>485.589</v>
      </c>
      <c r="J155" s="96">
        <f t="shared" si="77"/>
        <v>497.971</v>
      </c>
      <c r="K155" s="96">
        <f t="shared" si="77"/>
        <v>545.89099999999996</v>
      </c>
      <c r="L155" s="96">
        <f t="shared" si="77"/>
        <v>560.56799999999998</v>
      </c>
      <c r="M155" s="96">
        <f t="shared" si="77"/>
        <v>541.577</v>
      </c>
      <c r="N155" s="96">
        <f t="shared" si="77"/>
        <v>557.15700000000004</v>
      </c>
      <c r="O155" s="96">
        <f t="shared" si="77"/>
        <v>543.9</v>
      </c>
      <c r="P155" s="96">
        <f t="shared" si="77"/>
        <v>550</v>
      </c>
      <c r="Q155" s="96">
        <f t="shared" si="77"/>
        <v>552</v>
      </c>
      <c r="R155" s="96">
        <f t="shared" si="77"/>
        <v>554</v>
      </c>
      <c r="S155" s="96">
        <f t="shared" si="77"/>
        <v>558</v>
      </c>
    </row>
    <row r="156" spans="1:19" s="4" customFormat="1" x14ac:dyDescent="0.2">
      <c r="A156" s="8"/>
      <c r="B156" s="2"/>
      <c r="C156" s="10"/>
      <c r="D156" s="10"/>
      <c r="E156" s="9"/>
      <c r="F156" s="8"/>
      <c r="G156" s="95" t="s">
        <v>278</v>
      </c>
      <c r="H156" s="96">
        <f t="shared" si="77"/>
        <v>1514.607</v>
      </c>
      <c r="I156" s="96">
        <f t="shared" si="77"/>
        <v>1491.059</v>
      </c>
      <c r="J156" s="96">
        <f t="shared" si="77"/>
        <v>1618.32</v>
      </c>
      <c r="K156" s="96">
        <f t="shared" si="77"/>
        <v>1931.556</v>
      </c>
      <c r="L156" s="96">
        <f t="shared" si="77"/>
        <v>1967.7729999999999</v>
      </c>
      <c r="M156" s="96">
        <f t="shared" si="77"/>
        <v>2046.146</v>
      </c>
      <c r="N156" s="96">
        <f t="shared" si="77"/>
        <v>2162.259</v>
      </c>
      <c r="O156" s="96">
        <f t="shared" si="77"/>
        <v>2564.4810000000002</v>
      </c>
      <c r="P156" s="96">
        <f t="shared" si="77"/>
        <v>2610</v>
      </c>
      <c r="Q156" s="96">
        <f t="shared" si="77"/>
        <v>2635</v>
      </c>
      <c r="R156" s="96">
        <f t="shared" si="77"/>
        <v>2660</v>
      </c>
      <c r="S156" s="96">
        <f t="shared" si="77"/>
        <v>2700</v>
      </c>
    </row>
    <row r="157" spans="1:19" s="4" customFormat="1" x14ac:dyDescent="0.2">
      <c r="A157" s="8"/>
      <c r="B157" s="2"/>
      <c r="C157" s="10"/>
      <c r="D157" s="10"/>
      <c r="E157" s="9"/>
      <c r="F157" s="8"/>
      <c r="G157" s="95" t="s">
        <v>279</v>
      </c>
      <c r="H157" s="96">
        <f t="shared" ref="H157:S157" si="78">H38+H41</f>
        <v>-2006.7040000000002</v>
      </c>
      <c r="I157" s="96">
        <f t="shared" si="78"/>
        <v>-1985.4930000000002</v>
      </c>
      <c r="J157" s="96">
        <f t="shared" si="78"/>
        <v>-2116.683</v>
      </c>
      <c r="K157" s="96">
        <f t="shared" si="78"/>
        <v>-2488.0460000000003</v>
      </c>
      <c r="L157" s="96">
        <f t="shared" si="78"/>
        <v>-2536.8809999999999</v>
      </c>
      <c r="M157" s="96">
        <f t="shared" si="78"/>
        <v>-2599.7999999999997</v>
      </c>
      <c r="N157" s="96">
        <f t="shared" si="78"/>
        <v>-2724.5949999999998</v>
      </c>
      <c r="O157" s="96">
        <f t="shared" si="78"/>
        <v>-3109.2799999999997</v>
      </c>
      <c r="P157" s="96">
        <f t="shared" si="78"/>
        <v>-3160.0439999999999</v>
      </c>
      <c r="Q157" s="96">
        <f t="shared" si="78"/>
        <v>-3187.0439999999999</v>
      </c>
      <c r="R157" s="96">
        <f t="shared" si="78"/>
        <v>-3214.0439999999999</v>
      </c>
      <c r="S157" s="96">
        <f t="shared" si="78"/>
        <v>-3258.0439999999999</v>
      </c>
    </row>
    <row r="158" spans="1:19" s="4" customFormat="1" x14ac:dyDescent="0.2">
      <c r="A158" s="8"/>
      <c r="B158" s="2"/>
      <c r="C158" s="10"/>
      <c r="D158" s="10"/>
      <c r="E158" s="9"/>
      <c r="F158" s="8"/>
      <c r="G158" s="95" t="s">
        <v>280</v>
      </c>
      <c r="H158" s="96">
        <f t="shared" ref="H158:S158" si="79">H41</f>
        <v>-2006.7040000000002</v>
      </c>
      <c r="I158" s="96">
        <f t="shared" si="79"/>
        <v>-1985.4930000000002</v>
      </c>
      <c r="J158" s="96">
        <f t="shared" si="79"/>
        <v>-2116.683</v>
      </c>
      <c r="K158" s="96">
        <f t="shared" si="79"/>
        <v>-2488.0460000000003</v>
      </c>
      <c r="L158" s="96">
        <f t="shared" si="79"/>
        <v>-2536.8809999999999</v>
      </c>
      <c r="M158" s="96">
        <f t="shared" si="79"/>
        <v>-2599.7999999999997</v>
      </c>
      <c r="N158" s="96">
        <f t="shared" si="79"/>
        <v>-2724.5949999999998</v>
      </c>
      <c r="O158" s="96">
        <f t="shared" si="79"/>
        <v>-3109.2799999999997</v>
      </c>
      <c r="P158" s="96">
        <f t="shared" si="79"/>
        <v>-3160.0439999999999</v>
      </c>
      <c r="Q158" s="96">
        <f t="shared" si="79"/>
        <v>-3187.0439999999999</v>
      </c>
      <c r="R158" s="96">
        <f t="shared" si="79"/>
        <v>-3214.0439999999999</v>
      </c>
      <c r="S158" s="96">
        <f t="shared" si="79"/>
        <v>-3258.0439999999999</v>
      </c>
    </row>
    <row r="159" spans="1:19" s="4" customFormat="1" x14ac:dyDescent="0.2">
      <c r="A159" s="8"/>
      <c r="B159" s="2"/>
      <c r="C159" s="10"/>
      <c r="D159" s="10"/>
      <c r="E159" s="9"/>
      <c r="F159" s="8"/>
      <c r="G159" s="95" t="s">
        <v>281</v>
      </c>
      <c r="H159" s="96">
        <f t="shared" ref="H159:S159" si="80">H38</f>
        <v>0</v>
      </c>
      <c r="I159" s="96">
        <f t="shared" si="80"/>
        <v>0</v>
      </c>
      <c r="J159" s="96">
        <f t="shared" si="80"/>
        <v>0</v>
      </c>
      <c r="K159" s="96">
        <f t="shared" si="80"/>
        <v>0</v>
      </c>
      <c r="L159" s="96">
        <f t="shared" si="80"/>
        <v>0</v>
      </c>
      <c r="M159" s="96">
        <f t="shared" si="80"/>
        <v>0</v>
      </c>
      <c r="N159" s="96">
        <f t="shared" si="80"/>
        <v>0</v>
      </c>
      <c r="O159" s="96">
        <f t="shared" si="80"/>
        <v>0</v>
      </c>
      <c r="P159" s="96">
        <f t="shared" si="80"/>
        <v>0</v>
      </c>
      <c r="Q159" s="96">
        <f t="shared" si="80"/>
        <v>0</v>
      </c>
      <c r="R159" s="96">
        <f t="shared" si="80"/>
        <v>0</v>
      </c>
      <c r="S159" s="96">
        <f t="shared" si="80"/>
        <v>0</v>
      </c>
    </row>
    <row r="160" spans="1:19" s="4" customFormat="1" x14ac:dyDescent="0.2">
      <c r="A160" s="8"/>
      <c r="B160" s="2"/>
      <c r="C160" s="10"/>
      <c r="D160" s="10"/>
      <c r="E160" s="9"/>
      <c r="F160" s="8"/>
      <c r="G160" s="95" t="s">
        <v>282</v>
      </c>
      <c r="H160" s="96">
        <f t="shared" ref="H160:S160" si="81">H46</f>
        <v>4.4119999999998072</v>
      </c>
      <c r="I160" s="96">
        <f t="shared" si="81"/>
        <v>1.0829999999998563</v>
      </c>
      <c r="J160" s="96">
        <f t="shared" si="81"/>
        <v>4.4030000000002474</v>
      </c>
      <c r="K160" s="96">
        <f t="shared" si="81"/>
        <v>4.4059999999999491</v>
      </c>
      <c r="L160" s="96">
        <f t="shared" si="81"/>
        <v>3.3550000000000182</v>
      </c>
      <c r="M160" s="96">
        <f t="shared" si="81"/>
        <v>3.0030000000001564</v>
      </c>
      <c r="N160" s="96">
        <f t="shared" si="81"/>
        <v>3.3040000000005421</v>
      </c>
      <c r="O160" s="96">
        <f t="shared" si="81"/>
        <v>1.0000000006584742E-3</v>
      </c>
      <c r="P160" s="96">
        <f t="shared" si="81"/>
        <v>-4.3999999999869033E-2</v>
      </c>
      <c r="Q160" s="96">
        <f t="shared" si="81"/>
        <v>-4.3999999999869033E-2</v>
      </c>
      <c r="R160" s="96">
        <f t="shared" si="81"/>
        <v>-4.3999999999869033E-2</v>
      </c>
      <c r="S160" s="96">
        <f t="shared" si="81"/>
        <v>-4.3999999999869033E-2</v>
      </c>
    </row>
    <row r="161" spans="1:19" s="4" customFormat="1" x14ac:dyDescent="0.2">
      <c r="A161" s="8"/>
      <c r="B161" s="2"/>
      <c r="C161" s="10"/>
      <c r="D161" s="10"/>
      <c r="E161" s="9"/>
      <c r="F161" s="8"/>
      <c r="G161" s="95" t="s">
        <v>283</v>
      </c>
      <c r="H161" s="96">
        <f t="shared" ref="H161:S161" si="82">H51</f>
        <v>5.4799999999998068</v>
      </c>
      <c r="I161" s="96">
        <f t="shared" si="82"/>
        <v>1.4099999999998563</v>
      </c>
      <c r="J161" s="96">
        <f t="shared" si="82"/>
        <v>4.4030000000002474</v>
      </c>
      <c r="K161" s="96">
        <f t="shared" si="82"/>
        <v>4.4059999999999491</v>
      </c>
      <c r="L161" s="96">
        <f t="shared" si="82"/>
        <v>4.6680000000000179</v>
      </c>
      <c r="M161" s="96">
        <f t="shared" si="82"/>
        <v>4.0190000000001564</v>
      </c>
      <c r="N161" s="96">
        <f t="shared" si="82"/>
        <v>3.3040000000005421</v>
      </c>
      <c r="O161" s="96">
        <f t="shared" si="82"/>
        <v>1.0000000006584742E-3</v>
      </c>
      <c r="P161" s="96">
        <f t="shared" si="82"/>
        <v>-4.3999999999869033E-2</v>
      </c>
      <c r="Q161" s="96">
        <f t="shared" si="82"/>
        <v>-4.3999999999869033E-2</v>
      </c>
      <c r="R161" s="96">
        <f t="shared" si="82"/>
        <v>-4.3999999999869033E-2</v>
      </c>
      <c r="S161" s="96">
        <f t="shared" si="82"/>
        <v>-4.3999999999869033E-2</v>
      </c>
    </row>
    <row r="162" spans="1:19" s="4" customFormat="1" x14ac:dyDescent="0.2">
      <c r="A162" s="8"/>
      <c r="B162" s="2"/>
      <c r="C162" s="10"/>
      <c r="D162" s="10"/>
      <c r="E162" s="9"/>
      <c r="F162" s="8"/>
      <c r="G162" s="95" t="s">
        <v>284</v>
      </c>
      <c r="H162" s="96">
        <f t="shared" ref="H162:S163" si="83">H4</f>
        <v>604.31200000000001</v>
      </c>
      <c r="I162" s="96">
        <f t="shared" si="83"/>
        <v>605.31600000000003</v>
      </c>
      <c r="J162" s="96">
        <f t="shared" si="83"/>
        <v>663.83899999999994</v>
      </c>
      <c r="K162" s="96">
        <f t="shared" si="83"/>
        <v>660.322</v>
      </c>
      <c r="L162" s="96">
        <f t="shared" si="83"/>
        <v>679.44299999999998</v>
      </c>
      <c r="M162" s="96">
        <f t="shared" si="83"/>
        <v>650.30500000000006</v>
      </c>
      <c r="N162" s="96">
        <f t="shared" si="83"/>
        <v>664.50700000000006</v>
      </c>
      <c r="O162" s="96">
        <f t="shared" si="83"/>
        <v>659.56899999999996</v>
      </c>
      <c r="P162" s="96">
        <f t="shared" si="83"/>
        <v>653.26800000000003</v>
      </c>
      <c r="Q162" s="96">
        <f t="shared" si="83"/>
        <v>644.96699999999998</v>
      </c>
      <c r="R162" s="96">
        <f t="shared" si="83"/>
        <v>635.66600000000005</v>
      </c>
      <c r="S162" s="96">
        <f t="shared" si="83"/>
        <v>626.36500000000001</v>
      </c>
    </row>
    <row r="163" spans="1:19" s="4" customFormat="1" x14ac:dyDescent="0.2">
      <c r="A163" s="8"/>
      <c r="B163" s="2"/>
      <c r="C163" s="10"/>
      <c r="D163" s="10"/>
      <c r="E163" s="9"/>
      <c r="F163" s="8"/>
      <c r="G163" s="95" t="s">
        <v>285</v>
      </c>
      <c r="H163" s="96">
        <f t="shared" si="83"/>
        <v>235.08100000000002</v>
      </c>
      <c r="I163" s="96">
        <f t="shared" si="83"/>
        <v>244.59899999999999</v>
      </c>
      <c r="J163" s="96">
        <f t="shared" si="83"/>
        <v>274.51</v>
      </c>
      <c r="K163" s="96">
        <f t="shared" si="83"/>
        <v>256.07299999999998</v>
      </c>
      <c r="L163" s="96">
        <f t="shared" si="83"/>
        <v>274.971</v>
      </c>
      <c r="M163" s="96">
        <f t="shared" si="83"/>
        <v>256.13400000000001</v>
      </c>
      <c r="N163" s="96">
        <f t="shared" si="83"/>
        <v>280.637</v>
      </c>
      <c r="O163" s="96">
        <f t="shared" si="83"/>
        <v>286</v>
      </c>
      <c r="P163" s="96">
        <f t="shared" si="83"/>
        <v>290</v>
      </c>
      <c r="Q163" s="96">
        <f t="shared" si="83"/>
        <v>292</v>
      </c>
      <c r="R163" s="96">
        <f t="shared" si="83"/>
        <v>293</v>
      </c>
      <c r="S163" s="96">
        <f t="shared" si="83"/>
        <v>294</v>
      </c>
    </row>
    <row r="164" spans="1:19" s="4" customFormat="1" x14ac:dyDescent="0.2">
      <c r="A164" s="8"/>
      <c r="B164" s="2"/>
      <c r="C164" s="10"/>
      <c r="D164" s="10"/>
      <c r="E164" s="9"/>
      <c r="F164" s="8"/>
      <c r="G164" s="95" t="s">
        <v>286</v>
      </c>
      <c r="H164" s="96">
        <f t="shared" ref="H164:S164" si="84">H10</f>
        <v>369.23099999999999</v>
      </c>
      <c r="I164" s="96">
        <f t="shared" si="84"/>
        <v>360.71699999999998</v>
      </c>
      <c r="J164" s="96">
        <f t="shared" si="84"/>
        <v>389.32900000000001</v>
      </c>
      <c r="K164" s="96">
        <f t="shared" si="84"/>
        <v>404.24900000000002</v>
      </c>
      <c r="L164" s="96">
        <f t="shared" si="84"/>
        <v>404.47199999999998</v>
      </c>
      <c r="M164" s="96">
        <f t="shared" si="84"/>
        <v>394.17099999999999</v>
      </c>
      <c r="N164" s="96">
        <f t="shared" si="84"/>
        <v>383.87</v>
      </c>
      <c r="O164" s="96">
        <f t="shared" si="84"/>
        <v>373.56899999999996</v>
      </c>
      <c r="P164" s="96">
        <f t="shared" si="84"/>
        <v>363.26799999999997</v>
      </c>
      <c r="Q164" s="96">
        <f t="shared" si="84"/>
        <v>352.96699999999998</v>
      </c>
      <c r="R164" s="96">
        <f t="shared" si="84"/>
        <v>342.66600000000005</v>
      </c>
      <c r="S164" s="96">
        <f t="shared" si="84"/>
        <v>332.36500000000001</v>
      </c>
    </row>
    <row r="165" spans="1:19" s="4" customFormat="1" x14ac:dyDescent="0.2">
      <c r="A165" s="8"/>
      <c r="B165" s="2"/>
      <c r="C165" s="10"/>
      <c r="D165" s="10"/>
      <c r="E165" s="9"/>
      <c r="F165" s="8"/>
      <c r="G165" s="95" t="s">
        <v>287</v>
      </c>
      <c r="H165" s="96">
        <f t="shared" ref="H165:S166" si="85">H19</f>
        <v>273.01100000000002</v>
      </c>
      <c r="I165" s="96">
        <f t="shared" si="85"/>
        <v>272.60500000000002</v>
      </c>
      <c r="J165" s="96">
        <f t="shared" si="85"/>
        <v>326.72500000000002</v>
      </c>
      <c r="K165" s="96">
        <f t="shared" si="85"/>
        <v>318.80399999999997</v>
      </c>
      <c r="L165" s="96">
        <f t="shared" si="85"/>
        <v>333.26600000000002</v>
      </c>
      <c r="M165" s="96">
        <f t="shared" si="85"/>
        <v>300.108</v>
      </c>
      <c r="N165" s="96">
        <f t="shared" si="85"/>
        <v>311.00600000000003</v>
      </c>
      <c r="O165" s="96">
        <f t="shared" si="85"/>
        <v>306</v>
      </c>
      <c r="P165" s="96">
        <f t="shared" si="85"/>
        <v>300</v>
      </c>
      <c r="Q165" s="96">
        <f t="shared" si="85"/>
        <v>291</v>
      </c>
      <c r="R165" s="96">
        <f t="shared" si="85"/>
        <v>282</v>
      </c>
      <c r="S165" s="96">
        <f t="shared" si="85"/>
        <v>273</v>
      </c>
    </row>
    <row r="166" spans="1:19" s="4" customFormat="1" x14ac:dyDescent="0.2">
      <c r="A166" s="8"/>
      <c r="B166" s="2"/>
      <c r="C166" s="10"/>
      <c r="D166" s="10"/>
      <c r="E166" s="9"/>
      <c r="F166" s="8"/>
      <c r="G166" s="95" t="s">
        <v>288</v>
      </c>
      <c r="H166" s="96">
        <f t="shared" si="85"/>
        <v>273.01100000000002</v>
      </c>
      <c r="I166" s="96">
        <f t="shared" si="85"/>
        <v>272.60500000000002</v>
      </c>
      <c r="J166" s="96">
        <f t="shared" si="85"/>
        <v>326.72500000000002</v>
      </c>
      <c r="K166" s="96">
        <f t="shared" si="85"/>
        <v>318.80399999999997</v>
      </c>
      <c r="L166" s="96">
        <f t="shared" si="85"/>
        <v>333.26600000000002</v>
      </c>
      <c r="M166" s="96">
        <f t="shared" si="85"/>
        <v>300.108</v>
      </c>
      <c r="N166" s="96">
        <f t="shared" si="85"/>
        <v>311.00599999999997</v>
      </c>
      <c r="O166" s="96">
        <f t="shared" si="85"/>
        <v>306</v>
      </c>
      <c r="P166" s="96">
        <f t="shared" si="85"/>
        <v>300</v>
      </c>
      <c r="Q166" s="96">
        <f t="shared" si="85"/>
        <v>291</v>
      </c>
      <c r="R166" s="96">
        <f t="shared" si="85"/>
        <v>282</v>
      </c>
      <c r="S166" s="96">
        <f t="shared" si="85"/>
        <v>273</v>
      </c>
    </row>
    <row r="167" spans="1:19" s="4" customFormat="1" x14ac:dyDescent="0.2">
      <c r="A167" s="8"/>
      <c r="B167" s="2"/>
      <c r="C167" s="10"/>
      <c r="D167" s="10"/>
      <c r="E167" s="9"/>
      <c r="F167" s="8"/>
      <c r="G167" s="95" t="s">
        <v>289</v>
      </c>
      <c r="H167" s="96">
        <f t="shared" ref="H167:S167" si="86">H24</f>
        <v>0</v>
      </c>
      <c r="I167" s="96">
        <f t="shared" si="86"/>
        <v>0</v>
      </c>
      <c r="J167" s="96">
        <f t="shared" si="86"/>
        <v>0</v>
      </c>
      <c r="K167" s="96">
        <f t="shared" si="86"/>
        <v>0</v>
      </c>
      <c r="L167" s="96">
        <f t="shared" si="86"/>
        <v>0</v>
      </c>
      <c r="M167" s="96">
        <f t="shared" si="86"/>
        <v>0</v>
      </c>
      <c r="N167" s="96">
        <f t="shared" si="86"/>
        <v>0</v>
      </c>
      <c r="O167" s="96">
        <f t="shared" si="86"/>
        <v>0</v>
      </c>
      <c r="P167" s="96">
        <f t="shared" si="86"/>
        <v>0</v>
      </c>
      <c r="Q167" s="96">
        <f t="shared" si="86"/>
        <v>0</v>
      </c>
      <c r="R167" s="96">
        <f t="shared" si="86"/>
        <v>0</v>
      </c>
      <c r="S167" s="96">
        <f t="shared" si="86"/>
        <v>0</v>
      </c>
    </row>
    <row r="168" spans="1:19" s="4" customFormat="1" x14ac:dyDescent="0.2">
      <c r="A168" s="8"/>
      <c r="B168" s="2"/>
      <c r="C168" s="10"/>
      <c r="D168" s="10"/>
      <c r="E168" s="9"/>
      <c r="F168" s="8"/>
      <c r="G168" s="95" t="s">
        <v>290</v>
      </c>
      <c r="H168" s="96">
        <f t="shared" ref="H168:S168" si="87">H27</f>
        <v>331.30200000000002</v>
      </c>
      <c r="I168" s="96">
        <f t="shared" si="87"/>
        <v>332.71100000000001</v>
      </c>
      <c r="J168" s="96">
        <f t="shared" si="87"/>
        <v>337.11400000000003</v>
      </c>
      <c r="K168" s="96">
        <f t="shared" si="87"/>
        <v>341.51900000000001</v>
      </c>
      <c r="L168" s="96">
        <f t="shared" si="87"/>
        <v>346.178</v>
      </c>
      <c r="M168" s="96">
        <f t="shared" si="87"/>
        <v>350.197</v>
      </c>
      <c r="N168" s="96">
        <f t="shared" si="87"/>
        <v>353.50099999999998</v>
      </c>
      <c r="O168" s="96">
        <f t="shared" si="87"/>
        <v>353.625</v>
      </c>
      <c r="P168" s="96">
        <f t="shared" si="87"/>
        <v>353.625</v>
      </c>
      <c r="Q168" s="96">
        <f t="shared" si="87"/>
        <v>353.625</v>
      </c>
      <c r="R168" s="96">
        <f t="shared" si="87"/>
        <v>353.625</v>
      </c>
      <c r="S168" s="96">
        <f t="shared" si="87"/>
        <v>353.625</v>
      </c>
    </row>
    <row r="169" spans="1:19" s="4" customFormat="1" x14ac:dyDescent="0.2">
      <c r="A169" s="8"/>
      <c r="B169" s="2"/>
      <c r="C169" s="119"/>
      <c r="D169" s="41"/>
      <c r="E169" s="42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</row>
    <row r="170" spans="1:19" s="4" customFormat="1" x14ac:dyDescent="0.2">
      <c r="A170" s="8"/>
      <c r="B170" s="2"/>
      <c r="C170" s="119" t="s">
        <v>463</v>
      </c>
      <c r="D170" s="41"/>
      <c r="E170" s="42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</row>
    <row r="171" spans="1:19" s="4" customFormat="1" x14ac:dyDescent="0.2">
      <c r="A171" s="8"/>
      <c r="B171" s="2"/>
      <c r="C171" s="119"/>
      <c r="D171" s="41"/>
      <c r="E171" s="42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</row>
    <row r="172" spans="1:19" s="40" customFormat="1" x14ac:dyDescent="0.2">
      <c r="A172" s="29"/>
      <c r="B172" s="2"/>
      <c r="C172" s="29" t="s">
        <v>464</v>
      </c>
      <c r="D172" s="99"/>
      <c r="E172" s="30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</row>
    <row r="173" spans="1:19" s="4" customFormat="1" x14ac:dyDescent="0.2">
      <c r="A173" s="8"/>
      <c r="B173" s="2"/>
      <c r="C173" s="8"/>
      <c r="D173" s="10"/>
      <c r="E173" s="9"/>
      <c r="F173" s="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</row>
    <row r="174" spans="1:19" s="4" customFormat="1" x14ac:dyDescent="0.2">
      <c r="A174" s="8"/>
      <c r="B174" s="2"/>
      <c r="C174" s="8" t="s">
        <v>291</v>
      </c>
      <c r="D174" s="10"/>
      <c r="E174" s="9"/>
      <c r="F174" s="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</row>
    <row r="175" spans="1:19" s="4" customFormat="1" x14ac:dyDescent="0.2">
      <c r="A175" s="8"/>
      <c r="B175" s="2"/>
      <c r="C175" s="8" t="s">
        <v>292</v>
      </c>
      <c r="D175" s="10"/>
      <c r="E175" s="9"/>
      <c r="F175" s="12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  <c r="R175" s="44"/>
    </row>
    <row r="176" spans="1:19" s="4" customFormat="1" x14ac:dyDescent="0.2">
      <c r="A176" s="8"/>
      <c r="B176" s="2"/>
      <c r="C176" s="8"/>
      <c r="D176" s="10"/>
      <c r="E176" s="9"/>
      <c r="F176" s="12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</row>
    <row r="177" spans="1:7" s="4" customFormat="1" x14ac:dyDescent="0.2">
      <c r="A177" s="8"/>
      <c r="B177" s="2"/>
      <c r="C177" s="8" t="s">
        <v>293</v>
      </c>
      <c r="D177" s="10"/>
      <c r="E177" s="9"/>
      <c r="F177" s="12"/>
      <c r="G177" s="28"/>
    </row>
    <row r="178" spans="1:7" s="4" customFormat="1" x14ac:dyDescent="0.2">
      <c r="A178" s="8"/>
      <c r="B178" s="2"/>
      <c r="C178" s="8" t="s">
        <v>294</v>
      </c>
      <c r="D178" s="10"/>
      <c r="E178" s="9"/>
      <c r="F178" s="12"/>
      <c r="G178" s="28"/>
    </row>
    <row r="179" spans="1:7" s="4" customFormat="1" x14ac:dyDescent="0.2">
      <c r="A179" s="8"/>
      <c r="B179" s="2"/>
      <c r="C179" s="10"/>
      <c r="D179" s="10"/>
      <c r="E179" s="9"/>
      <c r="F179" s="8"/>
      <c r="G179" s="28"/>
    </row>
    <row r="180" spans="1:7" s="4" customFormat="1" x14ac:dyDescent="0.2">
      <c r="A180" s="8"/>
      <c r="B180" s="2"/>
      <c r="C180" s="10"/>
      <c r="D180" s="10"/>
      <c r="E180" s="9"/>
      <c r="F180" s="8"/>
      <c r="G180" s="28"/>
    </row>
    <row r="181" spans="1:7" s="4" customFormat="1" x14ac:dyDescent="0.2">
      <c r="A181" s="8"/>
      <c r="B181" s="2"/>
      <c r="C181" s="10"/>
      <c r="D181" s="10"/>
      <c r="E181" s="9"/>
      <c r="F181" s="8"/>
      <c r="G181" s="28"/>
    </row>
    <row r="182" spans="1:7" s="4" customFormat="1" x14ac:dyDescent="0.2">
      <c r="A182" s="8"/>
      <c r="B182" s="2"/>
      <c r="C182" s="10"/>
      <c r="D182" s="10"/>
      <c r="E182" s="9"/>
      <c r="F182" s="8"/>
      <c r="G182" s="28"/>
    </row>
    <row r="183" spans="1:7" s="4" customFormat="1" x14ac:dyDescent="0.2">
      <c r="A183" s="8"/>
      <c r="B183" s="2"/>
      <c r="C183" s="10"/>
      <c r="D183" s="10"/>
      <c r="E183" s="9"/>
      <c r="F183" s="8"/>
      <c r="G183" s="28"/>
    </row>
    <row r="184" spans="1:7" s="4" customFormat="1" x14ac:dyDescent="0.2">
      <c r="A184" s="8"/>
      <c r="B184" s="2"/>
      <c r="C184" s="10"/>
      <c r="D184" s="10"/>
      <c r="E184" s="9"/>
      <c r="F184" s="8"/>
      <c r="G184" s="28"/>
    </row>
    <row r="185" spans="1:7" s="4" customFormat="1" x14ac:dyDescent="0.2">
      <c r="A185" s="8"/>
      <c r="B185" s="2"/>
      <c r="C185" s="10"/>
      <c r="D185" s="10"/>
      <c r="E185" s="9"/>
      <c r="F185" s="8"/>
      <c r="G185" s="28"/>
    </row>
    <row r="186" spans="1:7" s="4" customFormat="1" x14ac:dyDescent="0.2">
      <c r="A186" s="8"/>
      <c r="B186" s="2"/>
      <c r="C186" s="10"/>
      <c r="D186" s="10"/>
      <c r="E186" s="9"/>
      <c r="F186" s="8"/>
      <c r="G186" s="28"/>
    </row>
    <row r="187" spans="1:7" s="4" customFormat="1" x14ac:dyDescent="0.2">
      <c r="A187" s="8"/>
      <c r="B187" s="2"/>
      <c r="C187" s="10"/>
      <c r="D187" s="10"/>
      <c r="E187" s="9"/>
      <c r="F187" s="8"/>
      <c r="G187" s="28"/>
    </row>
    <row r="188" spans="1:7" s="4" customFormat="1" x14ac:dyDescent="0.2">
      <c r="A188" s="8"/>
      <c r="B188" s="2"/>
      <c r="C188" s="10"/>
      <c r="D188" s="10"/>
      <c r="E188" s="9"/>
      <c r="F188" s="8"/>
      <c r="G188" s="28"/>
    </row>
    <row r="189" spans="1:7" s="4" customFormat="1" x14ac:dyDescent="0.2">
      <c r="A189" s="8"/>
      <c r="B189" s="2"/>
      <c r="C189" s="10"/>
      <c r="D189" s="10"/>
      <c r="E189" s="9"/>
      <c r="F189" s="8"/>
      <c r="G189" s="28"/>
    </row>
    <row r="190" spans="1:7" s="4" customFormat="1" x14ac:dyDescent="0.2">
      <c r="A190" s="8"/>
      <c r="B190" s="2"/>
      <c r="C190" s="10"/>
      <c r="D190" s="10"/>
      <c r="E190" s="9"/>
      <c r="F190" s="8"/>
      <c r="G190" s="28"/>
    </row>
    <row r="191" spans="1:7" s="4" customFormat="1" x14ac:dyDescent="0.2">
      <c r="A191" s="8"/>
      <c r="B191" s="2"/>
      <c r="C191" s="10"/>
      <c r="D191" s="10"/>
      <c r="E191" s="9"/>
      <c r="F191" s="8"/>
      <c r="G191" s="28"/>
    </row>
    <row r="192" spans="1:7" s="4" customFormat="1" x14ac:dyDescent="0.2">
      <c r="A192" s="8"/>
      <c r="B192" s="2"/>
      <c r="C192" s="10"/>
      <c r="D192" s="10"/>
      <c r="E192" s="9"/>
      <c r="F192" s="8"/>
      <c r="G192" s="28"/>
    </row>
    <row r="193" spans="1:7" s="4" customFormat="1" x14ac:dyDescent="0.2">
      <c r="A193" s="8"/>
      <c r="B193" s="2"/>
      <c r="C193" s="10"/>
      <c r="D193" s="10"/>
      <c r="E193" s="9"/>
      <c r="F193" s="8"/>
      <c r="G193" s="28"/>
    </row>
    <row r="194" spans="1:7" s="4" customFormat="1" x14ac:dyDescent="0.2">
      <c r="A194" s="8"/>
      <c r="B194" s="2"/>
      <c r="C194" s="10"/>
      <c r="D194" s="10"/>
      <c r="E194" s="9"/>
      <c r="F194" s="8"/>
      <c r="G194" s="28"/>
    </row>
    <row r="195" spans="1:7" s="4" customFormat="1" x14ac:dyDescent="0.2">
      <c r="A195" s="8"/>
      <c r="B195" s="2"/>
      <c r="C195" s="10"/>
      <c r="D195" s="10"/>
      <c r="E195" s="9"/>
      <c r="F195" s="8"/>
      <c r="G195" s="28"/>
    </row>
    <row r="196" spans="1:7" s="4" customFormat="1" x14ac:dyDescent="0.2">
      <c r="A196" s="8"/>
      <c r="B196" s="2"/>
      <c r="C196" s="10"/>
      <c r="D196" s="10"/>
      <c r="E196" s="9"/>
      <c r="F196" s="8"/>
      <c r="G196" s="28"/>
    </row>
    <row r="197" spans="1:7" s="4" customFormat="1" x14ac:dyDescent="0.2">
      <c r="A197" s="8"/>
      <c r="B197" s="2"/>
      <c r="C197" s="10"/>
      <c r="D197" s="10"/>
      <c r="E197" s="9"/>
      <c r="F197" s="8"/>
      <c r="G197" s="28"/>
    </row>
    <row r="198" spans="1:7" s="4" customFormat="1" x14ac:dyDescent="0.2">
      <c r="A198" s="8"/>
      <c r="B198" s="2"/>
      <c r="C198" s="10"/>
      <c r="D198" s="10"/>
      <c r="E198" s="9"/>
      <c r="F198" s="8"/>
      <c r="G198" s="28"/>
    </row>
    <row r="199" spans="1:7" s="4" customFormat="1" x14ac:dyDescent="0.2">
      <c r="A199" s="8"/>
      <c r="B199" s="2"/>
      <c r="C199" s="10"/>
      <c r="D199" s="10"/>
      <c r="E199" s="9"/>
      <c r="F199" s="8"/>
      <c r="G199" s="28"/>
    </row>
    <row r="200" spans="1:7" s="4" customFormat="1" x14ac:dyDescent="0.2">
      <c r="A200" s="8"/>
      <c r="B200" s="2"/>
      <c r="C200" s="10"/>
      <c r="D200" s="10"/>
      <c r="E200" s="9"/>
      <c r="F200" s="8"/>
      <c r="G200" s="28"/>
    </row>
    <row r="201" spans="1:7" s="4" customFormat="1" x14ac:dyDescent="0.2">
      <c r="A201" s="8"/>
      <c r="B201" s="2"/>
      <c r="C201" s="10"/>
      <c r="D201" s="10"/>
      <c r="E201" s="9"/>
      <c r="F201" s="8"/>
      <c r="G201" s="28"/>
    </row>
    <row r="202" spans="1:7" s="4" customFormat="1" x14ac:dyDescent="0.2">
      <c r="A202" s="8"/>
      <c r="B202" s="2"/>
      <c r="C202" s="10"/>
      <c r="D202" s="10"/>
      <c r="E202" s="9"/>
      <c r="F202" s="8"/>
      <c r="G202" s="28"/>
    </row>
  </sheetData>
  <mergeCells count="1">
    <mergeCell ref="D92:E92"/>
  </mergeCells>
  <conditionalFormatting sqref="H141:Q141">
    <cfRule type="cellIs" dxfId="1041" priority="51" stopIfTrue="1" operator="greaterThan">
      <formula>$E$141</formula>
    </cfRule>
    <cfRule type="cellIs" dxfId="1040" priority="52" stopIfTrue="1" operator="lessThanOrEqual">
      <formula>$E$141</formula>
    </cfRule>
  </conditionalFormatting>
  <conditionalFormatting sqref="H143:Q143">
    <cfRule type="cellIs" dxfId="1039" priority="49" stopIfTrue="1" operator="lessThanOrEqual">
      <formula>$E$143</formula>
    </cfRule>
    <cfRule type="cellIs" dxfId="1038" priority="50" stopIfTrue="1" operator="greaterThan">
      <formula>$E$143</formula>
    </cfRule>
  </conditionalFormatting>
  <conditionalFormatting sqref="H121:Q121">
    <cfRule type="cellIs" dxfId="1037" priority="47" operator="greaterThan">
      <formula>$E$121</formula>
    </cfRule>
    <cfRule type="cellIs" dxfId="1036" priority="48" operator="lessThanOrEqual">
      <formula>$E$121</formula>
    </cfRule>
  </conditionalFormatting>
  <conditionalFormatting sqref="H124:Q124">
    <cfRule type="cellIs" dxfId="1035" priority="45" stopIfTrue="1" operator="greaterThanOrEqual">
      <formula>$E$124</formula>
    </cfRule>
    <cfRule type="cellIs" dxfId="1034" priority="46" stopIfTrue="1" operator="lessThan">
      <formula>$E$124</formula>
    </cfRule>
  </conditionalFormatting>
  <conditionalFormatting sqref="H126:Q126">
    <cfRule type="cellIs" dxfId="1033" priority="43" stopIfTrue="1" operator="lessThan">
      <formula>$E$126</formula>
    </cfRule>
    <cfRule type="cellIs" dxfId="1032" priority="44" stopIfTrue="1" operator="greaterThanOrEqual">
      <formula>$E$126</formula>
    </cfRule>
  </conditionalFormatting>
  <conditionalFormatting sqref="H125:Q125">
    <cfRule type="cellIs" dxfId="1031" priority="41" stopIfTrue="1" operator="greaterThan">
      <formula>$E$125</formula>
    </cfRule>
    <cfRule type="cellIs" dxfId="1030" priority="42" stopIfTrue="1" operator="lessThanOrEqual">
      <formula>$E$125</formula>
    </cfRule>
  </conditionalFormatting>
  <conditionalFormatting sqref="H122:Q122">
    <cfRule type="cellIs" dxfId="1029" priority="30" stopIfTrue="1" operator="between">
      <formula>$D$122</formula>
      <formula>$E$122</formula>
    </cfRule>
    <cfRule type="cellIs" dxfId="1028" priority="39" stopIfTrue="1" operator="lessThanOrEqual">
      <formula>$D$122</formula>
    </cfRule>
    <cfRule type="cellIs" dxfId="1027" priority="40" stopIfTrue="1" operator="greaterThan">
      <formula>$E$122</formula>
    </cfRule>
  </conditionalFormatting>
  <conditionalFormatting sqref="H142:Q142">
    <cfRule type="cellIs" dxfId="1026" priority="37" stopIfTrue="1" operator="greaterThan">
      <formula>$E$142</formula>
    </cfRule>
    <cfRule type="cellIs" dxfId="1025" priority="38" stopIfTrue="1" operator="lessThanOrEqual">
      <formula>$E$142</formula>
    </cfRule>
  </conditionalFormatting>
  <conditionalFormatting sqref="H130:Q130">
    <cfRule type="cellIs" dxfId="1024" priority="35" stopIfTrue="1" operator="greaterThan">
      <formula>$E$130</formula>
    </cfRule>
    <cfRule type="cellIs" dxfId="1023" priority="36" stopIfTrue="1" operator="lessThanOrEqual">
      <formula>$E$130</formula>
    </cfRule>
  </conditionalFormatting>
  <conditionalFormatting sqref="H131:Q131">
    <cfRule type="cellIs" dxfId="1022" priority="33" stopIfTrue="1" operator="lessThan">
      <formula>$E$131</formula>
    </cfRule>
    <cfRule type="cellIs" dxfId="1021" priority="34" stopIfTrue="1" operator="greaterThanOrEqual">
      <formula>$E$131</formula>
    </cfRule>
  </conditionalFormatting>
  <conditionalFormatting sqref="H114:Q114">
    <cfRule type="cellIs" dxfId="1020" priority="53" stopIfTrue="1" operator="lessThan">
      <formula>$D$114</formula>
    </cfRule>
    <cfRule type="cellIs" dxfId="1019" priority="54" stopIfTrue="1" operator="between">
      <formula>$D$114</formula>
      <formula>$E$114</formula>
    </cfRule>
    <cfRule type="cellIs" dxfId="1018" priority="55" stopIfTrue="1" operator="greaterThan">
      <formula>$E$114</formula>
    </cfRule>
  </conditionalFormatting>
  <conditionalFormatting sqref="H138:Q138">
    <cfRule type="cellIs" dxfId="1017" priority="56" stopIfTrue="1" operator="lessThan">
      <formula>$E$138</formula>
    </cfRule>
    <cfRule type="cellIs" dxfId="1016" priority="57" stopIfTrue="1" operator="between">
      <formula>$D$138</formula>
      <formula>$E$138</formula>
    </cfRule>
    <cfRule type="cellIs" dxfId="1015" priority="58" stopIfTrue="1" operator="greaterThanOrEqual">
      <formula>$D$138</formula>
    </cfRule>
  </conditionalFormatting>
  <conditionalFormatting sqref="H111:Q111">
    <cfRule type="cellIs" dxfId="1014" priority="31" stopIfTrue="1" operator="lessThan">
      <formula>$E$111</formula>
    </cfRule>
    <cfRule type="cellIs" dxfId="1013" priority="32" stopIfTrue="1" operator="greaterThan">
      <formula>$E$111</formula>
    </cfRule>
  </conditionalFormatting>
  <conditionalFormatting sqref="R141:S141">
    <cfRule type="cellIs" dxfId="1012" priority="22" stopIfTrue="1" operator="greaterThan">
      <formula>$E$141</formula>
    </cfRule>
    <cfRule type="cellIs" dxfId="1011" priority="23" stopIfTrue="1" operator="lessThanOrEqual">
      <formula>$E$141</formula>
    </cfRule>
  </conditionalFormatting>
  <conditionalFormatting sqref="R143:S143">
    <cfRule type="cellIs" dxfId="1010" priority="20" stopIfTrue="1" operator="lessThanOrEqual">
      <formula>$E$143</formula>
    </cfRule>
    <cfRule type="cellIs" dxfId="1009" priority="21" stopIfTrue="1" operator="greaterThan">
      <formula>$E$143</formula>
    </cfRule>
  </conditionalFormatting>
  <conditionalFormatting sqref="R121:S121">
    <cfRule type="cellIs" dxfId="1008" priority="18" operator="greaterThan">
      <formula>$E$121</formula>
    </cfRule>
    <cfRule type="cellIs" dxfId="1007" priority="19" operator="lessThanOrEqual">
      <formula>$E$121</formula>
    </cfRule>
  </conditionalFormatting>
  <conditionalFormatting sqref="R124:S124">
    <cfRule type="cellIs" dxfId="1006" priority="16" stopIfTrue="1" operator="greaterThanOrEqual">
      <formula>$E$124</formula>
    </cfRule>
    <cfRule type="cellIs" dxfId="1005" priority="17" stopIfTrue="1" operator="lessThan">
      <formula>$E$124</formula>
    </cfRule>
  </conditionalFormatting>
  <conditionalFormatting sqref="R126:S126">
    <cfRule type="cellIs" dxfId="1004" priority="14" stopIfTrue="1" operator="lessThan">
      <formula>$E$126</formula>
    </cfRule>
    <cfRule type="cellIs" dxfId="1003" priority="15" stopIfTrue="1" operator="greaterThanOrEqual">
      <formula>$E$126</formula>
    </cfRule>
  </conditionalFormatting>
  <conditionalFormatting sqref="R125:S125">
    <cfRule type="cellIs" dxfId="1002" priority="12" stopIfTrue="1" operator="greaterThan">
      <formula>$E$125</formula>
    </cfRule>
    <cfRule type="cellIs" dxfId="1001" priority="13" stopIfTrue="1" operator="lessThanOrEqual">
      <formula>$E$125</formula>
    </cfRule>
  </conditionalFormatting>
  <conditionalFormatting sqref="R122:S122">
    <cfRule type="cellIs" dxfId="1000" priority="1" stopIfTrue="1" operator="between">
      <formula>$D$122</formula>
      <formula>$E$122</formula>
    </cfRule>
    <cfRule type="cellIs" dxfId="999" priority="10" stopIfTrue="1" operator="lessThanOrEqual">
      <formula>$D$122</formula>
    </cfRule>
    <cfRule type="cellIs" dxfId="998" priority="11" stopIfTrue="1" operator="greaterThan">
      <formula>$E$122</formula>
    </cfRule>
  </conditionalFormatting>
  <conditionalFormatting sqref="R142:S142">
    <cfRule type="cellIs" dxfId="997" priority="8" stopIfTrue="1" operator="greaterThan">
      <formula>$E$142</formula>
    </cfRule>
    <cfRule type="cellIs" dxfId="996" priority="9" stopIfTrue="1" operator="lessThanOrEqual">
      <formula>$E$142</formula>
    </cfRule>
  </conditionalFormatting>
  <conditionalFormatting sqref="R130:S130">
    <cfRule type="cellIs" dxfId="995" priority="6" stopIfTrue="1" operator="greaterThan">
      <formula>$E$130</formula>
    </cfRule>
    <cfRule type="cellIs" dxfId="994" priority="7" stopIfTrue="1" operator="lessThanOrEqual">
      <formula>$E$130</formula>
    </cfRule>
  </conditionalFormatting>
  <conditionalFormatting sqref="R131:S131">
    <cfRule type="cellIs" dxfId="993" priority="4" stopIfTrue="1" operator="lessThan">
      <formula>$E$131</formula>
    </cfRule>
    <cfRule type="cellIs" dxfId="992" priority="5" stopIfTrue="1" operator="greaterThanOrEqual">
      <formula>$E$131</formula>
    </cfRule>
  </conditionalFormatting>
  <conditionalFormatting sqref="R114:S114">
    <cfRule type="cellIs" dxfId="991" priority="24" stopIfTrue="1" operator="lessThan">
      <formula>$D$114</formula>
    </cfRule>
    <cfRule type="cellIs" dxfId="990" priority="25" stopIfTrue="1" operator="between">
      <formula>$D$114</formula>
      <formula>$E$114</formula>
    </cfRule>
    <cfRule type="cellIs" dxfId="989" priority="26" stopIfTrue="1" operator="greaterThan">
      <formula>$E$114</formula>
    </cfRule>
  </conditionalFormatting>
  <conditionalFormatting sqref="R138:S138">
    <cfRule type="cellIs" dxfId="988" priority="27" stopIfTrue="1" operator="lessThan">
      <formula>$E$138</formula>
    </cfRule>
    <cfRule type="cellIs" dxfId="987" priority="28" stopIfTrue="1" operator="between">
      <formula>$D$138</formula>
      <formula>$E$138</formula>
    </cfRule>
    <cfRule type="cellIs" dxfId="986" priority="29" stopIfTrue="1" operator="greaterThanOrEqual">
      <formula>$D$138</formula>
    </cfRule>
  </conditionalFormatting>
  <conditionalFormatting sqref="R111:S111">
    <cfRule type="cellIs" dxfId="985" priority="2" stopIfTrue="1" operator="lessThan">
      <formula>$E$111</formula>
    </cfRule>
    <cfRule type="cellIs" dxfId="984" priority="3" stopIfTrue="1" operator="greaterThan">
      <formula>$E$111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DA2067-323F-4A50-9FE7-212A9515CBAA}">
  <dimension ref="A1:U202"/>
  <sheetViews>
    <sheetView workbookViewId="0">
      <selection activeCell="G2" sqref="G2"/>
    </sheetView>
  </sheetViews>
  <sheetFormatPr defaultRowHeight="11.25" outlineLevelCol="1" x14ac:dyDescent="0.2"/>
  <cols>
    <col min="1" max="1" width="5.140625" style="47" customWidth="1"/>
    <col min="2" max="2" width="5.42578125" style="47" customWidth="1"/>
    <col min="3" max="3" width="9.140625" style="47"/>
    <col min="4" max="5" width="6.28515625" style="47" customWidth="1"/>
    <col min="6" max="6" width="2" style="8" bestFit="1" customWidth="1"/>
    <col min="7" max="7" width="29.28515625" style="47" customWidth="1"/>
    <col min="8" max="12" width="7.85546875" style="47" hidden="1" customWidth="1" outlineLevel="1"/>
    <col min="13" max="13" width="8.5703125" style="47" customWidth="1" collapsed="1"/>
    <col min="14" max="14" width="9.85546875" style="47" customWidth="1"/>
    <col min="15" max="18" width="8.7109375" style="47" bestFit="1" customWidth="1"/>
    <col min="19" max="19" width="8.7109375" style="47" customWidth="1"/>
    <col min="20" max="20" width="2.42578125" style="47" customWidth="1"/>
    <col min="21" max="21" width="2.5703125" style="47" customWidth="1"/>
    <col min="22" max="256" width="9.140625" style="47"/>
    <col min="257" max="257" width="5.140625" style="47" customWidth="1"/>
    <col min="258" max="258" width="5.42578125" style="47" customWidth="1"/>
    <col min="259" max="259" width="9.140625" style="47"/>
    <col min="260" max="261" width="6.28515625" style="47" customWidth="1"/>
    <col min="262" max="262" width="2" style="47" bestFit="1" customWidth="1"/>
    <col min="263" max="263" width="29.28515625" style="47" customWidth="1"/>
    <col min="264" max="268" width="0" style="47" hidden="1" customWidth="1"/>
    <col min="269" max="269" width="8.5703125" style="47" customWidth="1"/>
    <col min="270" max="270" width="9.85546875" style="47" customWidth="1"/>
    <col min="271" max="274" width="8.7109375" style="47" bestFit="1" customWidth="1"/>
    <col min="275" max="275" width="8.7109375" style="47" customWidth="1"/>
    <col min="276" max="276" width="2.42578125" style="47" customWidth="1"/>
    <col min="277" max="277" width="2.5703125" style="47" customWidth="1"/>
    <col min="278" max="512" width="9.140625" style="47"/>
    <col min="513" max="513" width="5.140625" style="47" customWidth="1"/>
    <col min="514" max="514" width="5.42578125" style="47" customWidth="1"/>
    <col min="515" max="515" width="9.140625" style="47"/>
    <col min="516" max="517" width="6.28515625" style="47" customWidth="1"/>
    <col min="518" max="518" width="2" style="47" bestFit="1" customWidth="1"/>
    <col min="519" max="519" width="29.28515625" style="47" customWidth="1"/>
    <col min="520" max="524" width="0" style="47" hidden="1" customWidth="1"/>
    <col min="525" max="525" width="8.5703125" style="47" customWidth="1"/>
    <col min="526" max="526" width="9.85546875" style="47" customWidth="1"/>
    <col min="527" max="530" width="8.7109375" style="47" bestFit="1" customWidth="1"/>
    <col min="531" max="531" width="8.7109375" style="47" customWidth="1"/>
    <col min="532" max="532" width="2.42578125" style="47" customWidth="1"/>
    <col min="533" max="533" width="2.5703125" style="47" customWidth="1"/>
    <col min="534" max="768" width="9.140625" style="47"/>
    <col min="769" max="769" width="5.140625" style="47" customWidth="1"/>
    <col min="770" max="770" width="5.42578125" style="47" customWidth="1"/>
    <col min="771" max="771" width="9.140625" style="47"/>
    <col min="772" max="773" width="6.28515625" style="47" customWidth="1"/>
    <col min="774" max="774" width="2" style="47" bestFit="1" customWidth="1"/>
    <col min="775" max="775" width="29.28515625" style="47" customWidth="1"/>
    <col min="776" max="780" width="0" style="47" hidden="1" customWidth="1"/>
    <col min="781" max="781" width="8.5703125" style="47" customWidth="1"/>
    <col min="782" max="782" width="9.85546875" style="47" customWidth="1"/>
    <col min="783" max="786" width="8.7109375" style="47" bestFit="1" customWidth="1"/>
    <col min="787" max="787" width="8.7109375" style="47" customWidth="1"/>
    <col min="788" max="788" width="2.42578125" style="47" customWidth="1"/>
    <col min="789" max="789" width="2.5703125" style="47" customWidth="1"/>
    <col min="790" max="1024" width="9.140625" style="47"/>
    <col min="1025" max="1025" width="5.140625" style="47" customWidth="1"/>
    <col min="1026" max="1026" width="5.42578125" style="47" customWidth="1"/>
    <col min="1027" max="1027" width="9.140625" style="47"/>
    <col min="1028" max="1029" width="6.28515625" style="47" customWidth="1"/>
    <col min="1030" max="1030" width="2" style="47" bestFit="1" customWidth="1"/>
    <col min="1031" max="1031" width="29.28515625" style="47" customWidth="1"/>
    <col min="1032" max="1036" width="0" style="47" hidden="1" customWidth="1"/>
    <col min="1037" max="1037" width="8.5703125" style="47" customWidth="1"/>
    <col min="1038" max="1038" width="9.85546875" style="47" customWidth="1"/>
    <col min="1039" max="1042" width="8.7109375" style="47" bestFit="1" customWidth="1"/>
    <col min="1043" max="1043" width="8.7109375" style="47" customWidth="1"/>
    <col min="1044" max="1044" width="2.42578125" style="47" customWidth="1"/>
    <col min="1045" max="1045" width="2.5703125" style="47" customWidth="1"/>
    <col min="1046" max="1280" width="9.140625" style="47"/>
    <col min="1281" max="1281" width="5.140625" style="47" customWidth="1"/>
    <col min="1282" max="1282" width="5.42578125" style="47" customWidth="1"/>
    <col min="1283" max="1283" width="9.140625" style="47"/>
    <col min="1284" max="1285" width="6.28515625" style="47" customWidth="1"/>
    <col min="1286" max="1286" width="2" style="47" bestFit="1" customWidth="1"/>
    <col min="1287" max="1287" width="29.28515625" style="47" customWidth="1"/>
    <col min="1288" max="1292" width="0" style="47" hidden="1" customWidth="1"/>
    <col min="1293" max="1293" width="8.5703125" style="47" customWidth="1"/>
    <col min="1294" max="1294" width="9.85546875" style="47" customWidth="1"/>
    <col min="1295" max="1298" width="8.7109375" style="47" bestFit="1" customWidth="1"/>
    <col min="1299" max="1299" width="8.7109375" style="47" customWidth="1"/>
    <col min="1300" max="1300" width="2.42578125" style="47" customWidth="1"/>
    <col min="1301" max="1301" width="2.5703125" style="47" customWidth="1"/>
    <col min="1302" max="1536" width="9.140625" style="47"/>
    <col min="1537" max="1537" width="5.140625" style="47" customWidth="1"/>
    <col min="1538" max="1538" width="5.42578125" style="47" customWidth="1"/>
    <col min="1539" max="1539" width="9.140625" style="47"/>
    <col min="1540" max="1541" width="6.28515625" style="47" customWidth="1"/>
    <col min="1542" max="1542" width="2" style="47" bestFit="1" customWidth="1"/>
    <col min="1543" max="1543" width="29.28515625" style="47" customWidth="1"/>
    <col min="1544" max="1548" width="0" style="47" hidden="1" customWidth="1"/>
    <col min="1549" max="1549" width="8.5703125" style="47" customWidth="1"/>
    <col min="1550" max="1550" width="9.85546875" style="47" customWidth="1"/>
    <col min="1551" max="1554" width="8.7109375" style="47" bestFit="1" customWidth="1"/>
    <col min="1555" max="1555" width="8.7109375" style="47" customWidth="1"/>
    <col min="1556" max="1556" width="2.42578125" style="47" customWidth="1"/>
    <col min="1557" max="1557" width="2.5703125" style="47" customWidth="1"/>
    <col min="1558" max="1792" width="9.140625" style="47"/>
    <col min="1793" max="1793" width="5.140625" style="47" customWidth="1"/>
    <col min="1794" max="1794" width="5.42578125" style="47" customWidth="1"/>
    <col min="1795" max="1795" width="9.140625" style="47"/>
    <col min="1796" max="1797" width="6.28515625" style="47" customWidth="1"/>
    <col min="1798" max="1798" width="2" style="47" bestFit="1" customWidth="1"/>
    <col min="1799" max="1799" width="29.28515625" style="47" customWidth="1"/>
    <col min="1800" max="1804" width="0" style="47" hidden="1" customWidth="1"/>
    <col min="1805" max="1805" width="8.5703125" style="47" customWidth="1"/>
    <col min="1806" max="1806" width="9.85546875" style="47" customWidth="1"/>
    <col min="1807" max="1810" width="8.7109375" style="47" bestFit="1" customWidth="1"/>
    <col min="1811" max="1811" width="8.7109375" style="47" customWidth="1"/>
    <col min="1812" max="1812" width="2.42578125" style="47" customWidth="1"/>
    <col min="1813" max="1813" width="2.5703125" style="47" customWidth="1"/>
    <col min="1814" max="2048" width="9.140625" style="47"/>
    <col min="2049" max="2049" width="5.140625" style="47" customWidth="1"/>
    <col min="2050" max="2050" width="5.42578125" style="47" customWidth="1"/>
    <col min="2051" max="2051" width="9.140625" style="47"/>
    <col min="2052" max="2053" width="6.28515625" style="47" customWidth="1"/>
    <col min="2054" max="2054" width="2" style="47" bestFit="1" customWidth="1"/>
    <col min="2055" max="2055" width="29.28515625" style="47" customWidth="1"/>
    <col min="2056" max="2060" width="0" style="47" hidden="1" customWidth="1"/>
    <col min="2061" max="2061" width="8.5703125" style="47" customWidth="1"/>
    <col min="2062" max="2062" width="9.85546875" style="47" customWidth="1"/>
    <col min="2063" max="2066" width="8.7109375" style="47" bestFit="1" customWidth="1"/>
    <col min="2067" max="2067" width="8.7109375" style="47" customWidth="1"/>
    <col min="2068" max="2068" width="2.42578125" style="47" customWidth="1"/>
    <col min="2069" max="2069" width="2.5703125" style="47" customWidth="1"/>
    <col min="2070" max="2304" width="9.140625" style="47"/>
    <col min="2305" max="2305" width="5.140625" style="47" customWidth="1"/>
    <col min="2306" max="2306" width="5.42578125" style="47" customWidth="1"/>
    <col min="2307" max="2307" width="9.140625" style="47"/>
    <col min="2308" max="2309" width="6.28515625" style="47" customWidth="1"/>
    <col min="2310" max="2310" width="2" style="47" bestFit="1" customWidth="1"/>
    <col min="2311" max="2311" width="29.28515625" style="47" customWidth="1"/>
    <col min="2312" max="2316" width="0" style="47" hidden="1" customWidth="1"/>
    <col min="2317" max="2317" width="8.5703125" style="47" customWidth="1"/>
    <col min="2318" max="2318" width="9.85546875" style="47" customWidth="1"/>
    <col min="2319" max="2322" width="8.7109375" style="47" bestFit="1" customWidth="1"/>
    <col min="2323" max="2323" width="8.7109375" style="47" customWidth="1"/>
    <col min="2324" max="2324" width="2.42578125" style="47" customWidth="1"/>
    <col min="2325" max="2325" width="2.5703125" style="47" customWidth="1"/>
    <col min="2326" max="2560" width="9.140625" style="47"/>
    <col min="2561" max="2561" width="5.140625" style="47" customWidth="1"/>
    <col min="2562" max="2562" width="5.42578125" style="47" customWidth="1"/>
    <col min="2563" max="2563" width="9.140625" style="47"/>
    <col min="2564" max="2565" width="6.28515625" style="47" customWidth="1"/>
    <col min="2566" max="2566" width="2" style="47" bestFit="1" customWidth="1"/>
    <col min="2567" max="2567" width="29.28515625" style="47" customWidth="1"/>
    <col min="2568" max="2572" width="0" style="47" hidden="1" customWidth="1"/>
    <col min="2573" max="2573" width="8.5703125" style="47" customWidth="1"/>
    <col min="2574" max="2574" width="9.85546875" style="47" customWidth="1"/>
    <col min="2575" max="2578" width="8.7109375" style="47" bestFit="1" customWidth="1"/>
    <col min="2579" max="2579" width="8.7109375" style="47" customWidth="1"/>
    <col min="2580" max="2580" width="2.42578125" style="47" customWidth="1"/>
    <col min="2581" max="2581" width="2.5703125" style="47" customWidth="1"/>
    <col min="2582" max="2816" width="9.140625" style="47"/>
    <col min="2817" max="2817" width="5.140625" style="47" customWidth="1"/>
    <col min="2818" max="2818" width="5.42578125" style="47" customWidth="1"/>
    <col min="2819" max="2819" width="9.140625" style="47"/>
    <col min="2820" max="2821" width="6.28515625" style="47" customWidth="1"/>
    <col min="2822" max="2822" width="2" style="47" bestFit="1" customWidth="1"/>
    <col min="2823" max="2823" width="29.28515625" style="47" customWidth="1"/>
    <col min="2824" max="2828" width="0" style="47" hidden="1" customWidth="1"/>
    <col min="2829" max="2829" width="8.5703125" style="47" customWidth="1"/>
    <col min="2830" max="2830" width="9.85546875" style="47" customWidth="1"/>
    <col min="2831" max="2834" width="8.7109375" style="47" bestFit="1" customWidth="1"/>
    <col min="2835" max="2835" width="8.7109375" style="47" customWidth="1"/>
    <col min="2836" max="2836" width="2.42578125" style="47" customWidth="1"/>
    <col min="2837" max="2837" width="2.5703125" style="47" customWidth="1"/>
    <col min="2838" max="3072" width="9.140625" style="47"/>
    <col min="3073" max="3073" width="5.140625" style="47" customWidth="1"/>
    <col min="3074" max="3074" width="5.42578125" style="47" customWidth="1"/>
    <col min="3075" max="3075" width="9.140625" style="47"/>
    <col min="3076" max="3077" width="6.28515625" style="47" customWidth="1"/>
    <col min="3078" max="3078" width="2" style="47" bestFit="1" customWidth="1"/>
    <col min="3079" max="3079" width="29.28515625" style="47" customWidth="1"/>
    <col min="3080" max="3084" width="0" style="47" hidden="1" customWidth="1"/>
    <col min="3085" max="3085" width="8.5703125" style="47" customWidth="1"/>
    <col min="3086" max="3086" width="9.85546875" style="47" customWidth="1"/>
    <col min="3087" max="3090" width="8.7109375" style="47" bestFit="1" customWidth="1"/>
    <col min="3091" max="3091" width="8.7109375" style="47" customWidth="1"/>
    <col min="3092" max="3092" width="2.42578125" style="47" customWidth="1"/>
    <col min="3093" max="3093" width="2.5703125" style="47" customWidth="1"/>
    <col min="3094" max="3328" width="9.140625" style="47"/>
    <col min="3329" max="3329" width="5.140625" style="47" customWidth="1"/>
    <col min="3330" max="3330" width="5.42578125" style="47" customWidth="1"/>
    <col min="3331" max="3331" width="9.140625" style="47"/>
    <col min="3332" max="3333" width="6.28515625" style="47" customWidth="1"/>
    <col min="3334" max="3334" width="2" style="47" bestFit="1" customWidth="1"/>
    <col min="3335" max="3335" width="29.28515625" style="47" customWidth="1"/>
    <col min="3336" max="3340" width="0" style="47" hidden="1" customWidth="1"/>
    <col min="3341" max="3341" width="8.5703125" style="47" customWidth="1"/>
    <col min="3342" max="3342" width="9.85546875" style="47" customWidth="1"/>
    <col min="3343" max="3346" width="8.7109375" style="47" bestFit="1" customWidth="1"/>
    <col min="3347" max="3347" width="8.7109375" style="47" customWidth="1"/>
    <col min="3348" max="3348" width="2.42578125" style="47" customWidth="1"/>
    <col min="3349" max="3349" width="2.5703125" style="47" customWidth="1"/>
    <col min="3350" max="3584" width="9.140625" style="47"/>
    <col min="3585" max="3585" width="5.140625" style="47" customWidth="1"/>
    <col min="3586" max="3586" width="5.42578125" style="47" customWidth="1"/>
    <col min="3587" max="3587" width="9.140625" style="47"/>
    <col min="3588" max="3589" width="6.28515625" style="47" customWidth="1"/>
    <col min="3590" max="3590" width="2" style="47" bestFit="1" customWidth="1"/>
    <col min="3591" max="3591" width="29.28515625" style="47" customWidth="1"/>
    <col min="3592" max="3596" width="0" style="47" hidden="1" customWidth="1"/>
    <col min="3597" max="3597" width="8.5703125" style="47" customWidth="1"/>
    <col min="3598" max="3598" width="9.85546875" style="47" customWidth="1"/>
    <col min="3599" max="3602" width="8.7109375" style="47" bestFit="1" customWidth="1"/>
    <col min="3603" max="3603" width="8.7109375" style="47" customWidth="1"/>
    <col min="3604" max="3604" width="2.42578125" style="47" customWidth="1"/>
    <col min="3605" max="3605" width="2.5703125" style="47" customWidth="1"/>
    <col min="3606" max="3840" width="9.140625" style="47"/>
    <col min="3841" max="3841" width="5.140625" style="47" customWidth="1"/>
    <col min="3842" max="3842" width="5.42578125" style="47" customWidth="1"/>
    <col min="3843" max="3843" width="9.140625" style="47"/>
    <col min="3844" max="3845" width="6.28515625" style="47" customWidth="1"/>
    <col min="3846" max="3846" width="2" style="47" bestFit="1" customWidth="1"/>
    <col min="3847" max="3847" width="29.28515625" style="47" customWidth="1"/>
    <col min="3848" max="3852" width="0" style="47" hidden="1" customWidth="1"/>
    <col min="3853" max="3853" width="8.5703125" style="47" customWidth="1"/>
    <col min="3854" max="3854" width="9.85546875" style="47" customWidth="1"/>
    <col min="3855" max="3858" width="8.7109375" style="47" bestFit="1" customWidth="1"/>
    <col min="3859" max="3859" width="8.7109375" style="47" customWidth="1"/>
    <col min="3860" max="3860" width="2.42578125" style="47" customWidth="1"/>
    <col min="3861" max="3861" width="2.5703125" style="47" customWidth="1"/>
    <col min="3862" max="4096" width="9.140625" style="47"/>
    <col min="4097" max="4097" width="5.140625" style="47" customWidth="1"/>
    <col min="4098" max="4098" width="5.42578125" style="47" customWidth="1"/>
    <col min="4099" max="4099" width="9.140625" style="47"/>
    <col min="4100" max="4101" width="6.28515625" style="47" customWidth="1"/>
    <col min="4102" max="4102" width="2" style="47" bestFit="1" customWidth="1"/>
    <col min="4103" max="4103" width="29.28515625" style="47" customWidth="1"/>
    <col min="4104" max="4108" width="0" style="47" hidden="1" customWidth="1"/>
    <col min="4109" max="4109" width="8.5703125" style="47" customWidth="1"/>
    <col min="4110" max="4110" width="9.85546875" style="47" customWidth="1"/>
    <col min="4111" max="4114" width="8.7109375" style="47" bestFit="1" customWidth="1"/>
    <col min="4115" max="4115" width="8.7109375" style="47" customWidth="1"/>
    <col min="4116" max="4116" width="2.42578125" style="47" customWidth="1"/>
    <col min="4117" max="4117" width="2.5703125" style="47" customWidth="1"/>
    <col min="4118" max="4352" width="9.140625" style="47"/>
    <col min="4353" max="4353" width="5.140625" style="47" customWidth="1"/>
    <col min="4354" max="4354" width="5.42578125" style="47" customWidth="1"/>
    <col min="4355" max="4355" width="9.140625" style="47"/>
    <col min="4356" max="4357" width="6.28515625" style="47" customWidth="1"/>
    <col min="4358" max="4358" width="2" style="47" bestFit="1" customWidth="1"/>
    <col min="4359" max="4359" width="29.28515625" style="47" customWidth="1"/>
    <col min="4360" max="4364" width="0" style="47" hidden="1" customWidth="1"/>
    <col min="4365" max="4365" width="8.5703125" style="47" customWidth="1"/>
    <col min="4366" max="4366" width="9.85546875" style="47" customWidth="1"/>
    <col min="4367" max="4370" width="8.7109375" style="47" bestFit="1" customWidth="1"/>
    <col min="4371" max="4371" width="8.7109375" style="47" customWidth="1"/>
    <col min="4372" max="4372" width="2.42578125" style="47" customWidth="1"/>
    <col min="4373" max="4373" width="2.5703125" style="47" customWidth="1"/>
    <col min="4374" max="4608" width="9.140625" style="47"/>
    <col min="4609" max="4609" width="5.140625" style="47" customWidth="1"/>
    <col min="4610" max="4610" width="5.42578125" style="47" customWidth="1"/>
    <col min="4611" max="4611" width="9.140625" style="47"/>
    <col min="4612" max="4613" width="6.28515625" style="47" customWidth="1"/>
    <col min="4614" max="4614" width="2" style="47" bestFit="1" customWidth="1"/>
    <col min="4615" max="4615" width="29.28515625" style="47" customWidth="1"/>
    <col min="4616" max="4620" width="0" style="47" hidden="1" customWidth="1"/>
    <col min="4621" max="4621" width="8.5703125" style="47" customWidth="1"/>
    <col min="4622" max="4622" width="9.85546875" style="47" customWidth="1"/>
    <col min="4623" max="4626" width="8.7109375" style="47" bestFit="1" customWidth="1"/>
    <col min="4627" max="4627" width="8.7109375" style="47" customWidth="1"/>
    <col min="4628" max="4628" width="2.42578125" style="47" customWidth="1"/>
    <col min="4629" max="4629" width="2.5703125" style="47" customWidth="1"/>
    <col min="4630" max="4864" width="9.140625" style="47"/>
    <col min="4865" max="4865" width="5.140625" style="47" customWidth="1"/>
    <col min="4866" max="4866" width="5.42578125" style="47" customWidth="1"/>
    <col min="4867" max="4867" width="9.140625" style="47"/>
    <col min="4868" max="4869" width="6.28515625" style="47" customWidth="1"/>
    <col min="4870" max="4870" width="2" style="47" bestFit="1" customWidth="1"/>
    <col min="4871" max="4871" width="29.28515625" style="47" customWidth="1"/>
    <col min="4872" max="4876" width="0" style="47" hidden="1" customWidth="1"/>
    <col min="4877" max="4877" width="8.5703125" style="47" customWidth="1"/>
    <col min="4878" max="4878" width="9.85546875" style="47" customWidth="1"/>
    <col min="4879" max="4882" width="8.7109375" style="47" bestFit="1" customWidth="1"/>
    <col min="4883" max="4883" width="8.7109375" style="47" customWidth="1"/>
    <col min="4884" max="4884" width="2.42578125" style="47" customWidth="1"/>
    <col min="4885" max="4885" width="2.5703125" style="47" customWidth="1"/>
    <col min="4886" max="5120" width="9.140625" style="47"/>
    <col min="5121" max="5121" width="5.140625" style="47" customWidth="1"/>
    <col min="5122" max="5122" width="5.42578125" style="47" customWidth="1"/>
    <col min="5123" max="5123" width="9.140625" style="47"/>
    <col min="5124" max="5125" width="6.28515625" style="47" customWidth="1"/>
    <col min="5126" max="5126" width="2" style="47" bestFit="1" customWidth="1"/>
    <col min="5127" max="5127" width="29.28515625" style="47" customWidth="1"/>
    <col min="5128" max="5132" width="0" style="47" hidden="1" customWidth="1"/>
    <col min="5133" max="5133" width="8.5703125" style="47" customWidth="1"/>
    <col min="5134" max="5134" width="9.85546875" style="47" customWidth="1"/>
    <col min="5135" max="5138" width="8.7109375" style="47" bestFit="1" customWidth="1"/>
    <col min="5139" max="5139" width="8.7109375" style="47" customWidth="1"/>
    <col min="5140" max="5140" width="2.42578125" style="47" customWidth="1"/>
    <col min="5141" max="5141" width="2.5703125" style="47" customWidth="1"/>
    <col min="5142" max="5376" width="9.140625" style="47"/>
    <col min="5377" max="5377" width="5.140625" style="47" customWidth="1"/>
    <col min="5378" max="5378" width="5.42578125" style="47" customWidth="1"/>
    <col min="5379" max="5379" width="9.140625" style="47"/>
    <col min="5380" max="5381" width="6.28515625" style="47" customWidth="1"/>
    <col min="5382" max="5382" width="2" style="47" bestFit="1" customWidth="1"/>
    <col min="5383" max="5383" width="29.28515625" style="47" customWidth="1"/>
    <col min="5384" max="5388" width="0" style="47" hidden="1" customWidth="1"/>
    <col min="5389" max="5389" width="8.5703125" style="47" customWidth="1"/>
    <col min="5390" max="5390" width="9.85546875" style="47" customWidth="1"/>
    <col min="5391" max="5394" width="8.7109375" style="47" bestFit="1" customWidth="1"/>
    <col min="5395" max="5395" width="8.7109375" style="47" customWidth="1"/>
    <col min="5396" max="5396" width="2.42578125" style="47" customWidth="1"/>
    <col min="5397" max="5397" width="2.5703125" style="47" customWidth="1"/>
    <col min="5398" max="5632" width="9.140625" style="47"/>
    <col min="5633" max="5633" width="5.140625" style="47" customWidth="1"/>
    <col min="5634" max="5634" width="5.42578125" style="47" customWidth="1"/>
    <col min="5635" max="5635" width="9.140625" style="47"/>
    <col min="5636" max="5637" width="6.28515625" style="47" customWidth="1"/>
    <col min="5638" max="5638" width="2" style="47" bestFit="1" customWidth="1"/>
    <col min="5639" max="5639" width="29.28515625" style="47" customWidth="1"/>
    <col min="5640" max="5644" width="0" style="47" hidden="1" customWidth="1"/>
    <col min="5645" max="5645" width="8.5703125" style="47" customWidth="1"/>
    <col min="5646" max="5646" width="9.85546875" style="47" customWidth="1"/>
    <col min="5647" max="5650" width="8.7109375" style="47" bestFit="1" customWidth="1"/>
    <col min="5651" max="5651" width="8.7109375" style="47" customWidth="1"/>
    <col min="5652" max="5652" width="2.42578125" style="47" customWidth="1"/>
    <col min="5653" max="5653" width="2.5703125" style="47" customWidth="1"/>
    <col min="5654" max="5888" width="9.140625" style="47"/>
    <col min="5889" max="5889" width="5.140625" style="47" customWidth="1"/>
    <col min="5890" max="5890" width="5.42578125" style="47" customWidth="1"/>
    <col min="5891" max="5891" width="9.140625" style="47"/>
    <col min="5892" max="5893" width="6.28515625" style="47" customWidth="1"/>
    <col min="5894" max="5894" width="2" style="47" bestFit="1" customWidth="1"/>
    <col min="5895" max="5895" width="29.28515625" style="47" customWidth="1"/>
    <col min="5896" max="5900" width="0" style="47" hidden="1" customWidth="1"/>
    <col min="5901" max="5901" width="8.5703125" style="47" customWidth="1"/>
    <col min="5902" max="5902" width="9.85546875" style="47" customWidth="1"/>
    <col min="5903" max="5906" width="8.7109375" style="47" bestFit="1" customWidth="1"/>
    <col min="5907" max="5907" width="8.7109375" style="47" customWidth="1"/>
    <col min="5908" max="5908" width="2.42578125" style="47" customWidth="1"/>
    <col min="5909" max="5909" width="2.5703125" style="47" customWidth="1"/>
    <col min="5910" max="6144" width="9.140625" style="47"/>
    <col min="6145" max="6145" width="5.140625" style="47" customWidth="1"/>
    <col min="6146" max="6146" width="5.42578125" style="47" customWidth="1"/>
    <col min="6147" max="6147" width="9.140625" style="47"/>
    <col min="6148" max="6149" width="6.28515625" style="47" customWidth="1"/>
    <col min="6150" max="6150" width="2" style="47" bestFit="1" customWidth="1"/>
    <col min="6151" max="6151" width="29.28515625" style="47" customWidth="1"/>
    <col min="6152" max="6156" width="0" style="47" hidden="1" customWidth="1"/>
    <col min="6157" max="6157" width="8.5703125" style="47" customWidth="1"/>
    <col min="6158" max="6158" width="9.85546875" style="47" customWidth="1"/>
    <col min="6159" max="6162" width="8.7109375" style="47" bestFit="1" customWidth="1"/>
    <col min="6163" max="6163" width="8.7109375" style="47" customWidth="1"/>
    <col min="6164" max="6164" width="2.42578125" style="47" customWidth="1"/>
    <col min="6165" max="6165" width="2.5703125" style="47" customWidth="1"/>
    <col min="6166" max="6400" width="9.140625" style="47"/>
    <col min="6401" max="6401" width="5.140625" style="47" customWidth="1"/>
    <col min="6402" max="6402" width="5.42578125" style="47" customWidth="1"/>
    <col min="6403" max="6403" width="9.140625" style="47"/>
    <col min="6404" max="6405" width="6.28515625" style="47" customWidth="1"/>
    <col min="6406" max="6406" width="2" style="47" bestFit="1" customWidth="1"/>
    <col min="6407" max="6407" width="29.28515625" style="47" customWidth="1"/>
    <col min="6408" max="6412" width="0" style="47" hidden="1" customWidth="1"/>
    <col min="6413" max="6413" width="8.5703125" style="47" customWidth="1"/>
    <col min="6414" max="6414" width="9.85546875" style="47" customWidth="1"/>
    <col min="6415" max="6418" width="8.7109375" style="47" bestFit="1" customWidth="1"/>
    <col min="6419" max="6419" width="8.7109375" style="47" customWidth="1"/>
    <col min="6420" max="6420" width="2.42578125" style="47" customWidth="1"/>
    <col min="6421" max="6421" width="2.5703125" style="47" customWidth="1"/>
    <col min="6422" max="6656" width="9.140625" style="47"/>
    <col min="6657" max="6657" width="5.140625" style="47" customWidth="1"/>
    <col min="6658" max="6658" width="5.42578125" style="47" customWidth="1"/>
    <col min="6659" max="6659" width="9.140625" style="47"/>
    <col min="6660" max="6661" width="6.28515625" style="47" customWidth="1"/>
    <col min="6662" max="6662" width="2" style="47" bestFit="1" customWidth="1"/>
    <col min="6663" max="6663" width="29.28515625" style="47" customWidth="1"/>
    <col min="6664" max="6668" width="0" style="47" hidden="1" customWidth="1"/>
    <col min="6669" max="6669" width="8.5703125" style="47" customWidth="1"/>
    <col min="6670" max="6670" width="9.85546875" style="47" customWidth="1"/>
    <col min="6671" max="6674" width="8.7109375" style="47" bestFit="1" customWidth="1"/>
    <col min="6675" max="6675" width="8.7109375" style="47" customWidth="1"/>
    <col min="6676" max="6676" width="2.42578125" style="47" customWidth="1"/>
    <col min="6677" max="6677" width="2.5703125" style="47" customWidth="1"/>
    <col min="6678" max="6912" width="9.140625" style="47"/>
    <col min="6913" max="6913" width="5.140625" style="47" customWidth="1"/>
    <col min="6914" max="6914" width="5.42578125" style="47" customWidth="1"/>
    <col min="6915" max="6915" width="9.140625" style="47"/>
    <col min="6916" max="6917" width="6.28515625" style="47" customWidth="1"/>
    <col min="6918" max="6918" width="2" style="47" bestFit="1" customWidth="1"/>
    <col min="6919" max="6919" width="29.28515625" style="47" customWidth="1"/>
    <col min="6920" max="6924" width="0" style="47" hidden="1" customWidth="1"/>
    <col min="6925" max="6925" width="8.5703125" style="47" customWidth="1"/>
    <col min="6926" max="6926" width="9.85546875" style="47" customWidth="1"/>
    <col min="6927" max="6930" width="8.7109375" style="47" bestFit="1" customWidth="1"/>
    <col min="6931" max="6931" width="8.7109375" style="47" customWidth="1"/>
    <col min="6932" max="6932" width="2.42578125" style="47" customWidth="1"/>
    <col min="6933" max="6933" width="2.5703125" style="47" customWidth="1"/>
    <col min="6934" max="7168" width="9.140625" style="47"/>
    <col min="7169" max="7169" width="5.140625" style="47" customWidth="1"/>
    <col min="7170" max="7170" width="5.42578125" style="47" customWidth="1"/>
    <col min="7171" max="7171" width="9.140625" style="47"/>
    <col min="7172" max="7173" width="6.28515625" style="47" customWidth="1"/>
    <col min="7174" max="7174" width="2" style="47" bestFit="1" customWidth="1"/>
    <col min="7175" max="7175" width="29.28515625" style="47" customWidth="1"/>
    <col min="7176" max="7180" width="0" style="47" hidden="1" customWidth="1"/>
    <col min="7181" max="7181" width="8.5703125" style="47" customWidth="1"/>
    <col min="7182" max="7182" width="9.85546875" style="47" customWidth="1"/>
    <col min="7183" max="7186" width="8.7109375" style="47" bestFit="1" customWidth="1"/>
    <col min="7187" max="7187" width="8.7109375" style="47" customWidth="1"/>
    <col min="7188" max="7188" width="2.42578125" style="47" customWidth="1"/>
    <col min="7189" max="7189" width="2.5703125" style="47" customWidth="1"/>
    <col min="7190" max="7424" width="9.140625" style="47"/>
    <col min="7425" max="7425" width="5.140625" style="47" customWidth="1"/>
    <col min="7426" max="7426" width="5.42578125" style="47" customWidth="1"/>
    <col min="7427" max="7427" width="9.140625" style="47"/>
    <col min="7428" max="7429" width="6.28515625" style="47" customWidth="1"/>
    <col min="7430" max="7430" width="2" style="47" bestFit="1" customWidth="1"/>
    <col min="7431" max="7431" width="29.28515625" style="47" customWidth="1"/>
    <col min="7432" max="7436" width="0" style="47" hidden="1" customWidth="1"/>
    <col min="7437" max="7437" width="8.5703125" style="47" customWidth="1"/>
    <col min="7438" max="7438" width="9.85546875" style="47" customWidth="1"/>
    <col min="7439" max="7442" width="8.7109375" style="47" bestFit="1" customWidth="1"/>
    <col min="7443" max="7443" width="8.7109375" style="47" customWidth="1"/>
    <col min="7444" max="7444" width="2.42578125" style="47" customWidth="1"/>
    <col min="7445" max="7445" width="2.5703125" style="47" customWidth="1"/>
    <col min="7446" max="7680" width="9.140625" style="47"/>
    <col min="7681" max="7681" width="5.140625" style="47" customWidth="1"/>
    <col min="7682" max="7682" width="5.42578125" style="47" customWidth="1"/>
    <col min="7683" max="7683" width="9.140625" style="47"/>
    <col min="7684" max="7685" width="6.28515625" style="47" customWidth="1"/>
    <col min="7686" max="7686" width="2" style="47" bestFit="1" customWidth="1"/>
    <col min="7687" max="7687" width="29.28515625" style="47" customWidth="1"/>
    <col min="7688" max="7692" width="0" style="47" hidden="1" customWidth="1"/>
    <col min="7693" max="7693" width="8.5703125" style="47" customWidth="1"/>
    <col min="7694" max="7694" width="9.85546875" style="47" customWidth="1"/>
    <col min="7695" max="7698" width="8.7109375" style="47" bestFit="1" customWidth="1"/>
    <col min="7699" max="7699" width="8.7109375" style="47" customWidth="1"/>
    <col min="7700" max="7700" width="2.42578125" style="47" customWidth="1"/>
    <col min="7701" max="7701" width="2.5703125" style="47" customWidth="1"/>
    <col min="7702" max="7936" width="9.140625" style="47"/>
    <col min="7937" max="7937" width="5.140625" style="47" customWidth="1"/>
    <col min="7938" max="7938" width="5.42578125" style="47" customWidth="1"/>
    <col min="7939" max="7939" width="9.140625" style="47"/>
    <col min="7940" max="7941" width="6.28515625" style="47" customWidth="1"/>
    <col min="7942" max="7942" width="2" style="47" bestFit="1" customWidth="1"/>
    <col min="7943" max="7943" width="29.28515625" style="47" customWidth="1"/>
    <col min="7944" max="7948" width="0" style="47" hidden="1" customWidth="1"/>
    <col min="7949" max="7949" width="8.5703125" style="47" customWidth="1"/>
    <col min="7950" max="7950" width="9.85546875" style="47" customWidth="1"/>
    <col min="7951" max="7954" width="8.7109375" style="47" bestFit="1" customWidth="1"/>
    <col min="7955" max="7955" width="8.7109375" style="47" customWidth="1"/>
    <col min="7956" max="7956" width="2.42578125" style="47" customWidth="1"/>
    <col min="7957" max="7957" width="2.5703125" style="47" customWidth="1"/>
    <col min="7958" max="8192" width="9.140625" style="47"/>
    <col min="8193" max="8193" width="5.140625" style="47" customWidth="1"/>
    <col min="8194" max="8194" width="5.42578125" style="47" customWidth="1"/>
    <col min="8195" max="8195" width="9.140625" style="47"/>
    <col min="8196" max="8197" width="6.28515625" style="47" customWidth="1"/>
    <col min="8198" max="8198" width="2" style="47" bestFit="1" customWidth="1"/>
    <col min="8199" max="8199" width="29.28515625" style="47" customWidth="1"/>
    <col min="8200" max="8204" width="0" style="47" hidden="1" customWidth="1"/>
    <col min="8205" max="8205" width="8.5703125" style="47" customWidth="1"/>
    <col min="8206" max="8206" width="9.85546875" style="47" customWidth="1"/>
    <col min="8207" max="8210" width="8.7109375" style="47" bestFit="1" customWidth="1"/>
    <col min="8211" max="8211" width="8.7109375" style="47" customWidth="1"/>
    <col min="8212" max="8212" width="2.42578125" style="47" customWidth="1"/>
    <col min="8213" max="8213" width="2.5703125" style="47" customWidth="1"/>
    <col min="8214" max="8448" width="9.140625" style="47"/>
    <col min="8449" max="8449" width="5.140625" style="47" customWidth="1"/>
    <col min="8450" max="8450" width="5.42578125" style="47" customWidth="1"/>
    <col min="8451" max="8451" width="9.140625" style="47"/>
    <col min="8452" max="8453" width="6.28515625" style="47" customWidth="1"/>
    <col min="8454" max="8454" width="2" style="47" bestFit="1" customWidth="1"/>
    <col min="8455" max="8455" width="29.28515625" style="47" customWidth="1"/>
    <col min="8456" max="8460" width="0" style="47" hidden="1" customWidth="1"/>
    <col min="8461" max="8461" width="8.5703125" style="47" customWidth="1"/>
    <col min="8462" max="8462" width="9.85546875" style="47" customWidth="1"/>
    <col min="8463" max="8466" width="8.7109375" style="47" bestFit="1" customWidth="1"/>
    <col min="8467" max="8467" width="8.7109375" style="47" customWidth="1"/>
    <col min="8468" max="8468" width="2.42578125" style="47" customWidth="1"/>
    <col min="8469" max="8469" width="2.5703125" style="47" customWidth="1"/>
    <col min="8470" max="8704" width="9.140625" style="47"/>
    <col min="8705" max="8705" width="5.140625" style="47" customWidth="1"/>
    <col min="8706" max="8706" width="5.42578125" style="47" customWidth="1"/>
    <col min="8707" max="8707" width="9.140625" style="47"/>
    <col min="8708" max="8709" width="6.28515625" style="47" customWidth="1"/>
    <col min="8710" max="8710" width="2" style="47" bestFit="1" customWidth="1"/>
    <col min="8711" max="8711" width="29.28515625" style="47" customWidth="1"/>
    <col min="8712" max="8716" width="0" style="47" hidden="1" customWidth="1"/>
    <col min="8717" max="8717" width="8.5703125" style="47" customWidth="1"/>
    <col min="8718" max="8718" width="9.85546875" style="47" customWidth="1"/>
    <col min="8719" max="8722" width="8.7109375" style="47" bestFit="1" customWidth="1"/>
    <col min="8723" max="8723" width="8.7109375" style="47" customWidth="1"/>
    <col min="8724" max="8724" width="2.42578125" style="47" customWidth="1"/>
    <col min="8725" max="8725" width="2.5703125" style="47" customWidth="1"/>
    <col min="8726" max="8960" width="9.140625" style="47"/>
    <col min="8961" max="8961" width="5.140625" style="47" customWidth="1"/>
    <col min="8962" max="8962" width="5.42578125" style="47" customWidth="1"/>
    <col min="8963" max="8963" width="9.140625" style="47"/>
    <col min="8964" max="8965" width="6.28515625" style="47" customWidth="1"/>
    <col min="8966" max="8966" width="2" style="47" bestFit="1" customWidth="1"/>
    <col min="8967" max="8967" width="29.28515625" style="47" customWidth="1"/>
    <col min="8968" max="8972" width="0" style="47" hidden="1" customWidth="1"/>
    <col min="8973" max="8973" width="8.5703125" style="47" customWidth="1"/>
    <col min="8974" max="8974" width="9.85546875" style="47" customWidth="1"/>
    <col min="8975" max="8978" width="8.7109375" style="47" bestFit="1" customWidth="1"/>
    <col min="8979" max="8979" width="8.7109375" style="47" customWidth="1"/>
    <col min="8980" max="8980" width="2.42578125" style="47" customWidth="1"/>
    <col min="8981" max="8981" width="2.5703125" style="47" customWidth="1"/>
    <col min="8982" max="9216" width="9.140625" style="47"/>
    <col min="9217" max="9217" width="5.140625" style="47" customWidth="1"/>
    <col min="9218" max="9218" width="5.42578125" style="47" customWidth="1"/>
    <col min="9219" max="9219" width="9.140625" style="47"/>
    <col min="9220" max="9221" width="6.28515625" style="47" customWidth="1"/>
    <col min="9222" max="9222" width="2" style="47" bestFit="1" customWidth="1"/>
    <col min="9223" max="9223" width="29.28515625" style="47" customWidth="1"/>
    <col min="9224" max="9228" width="0" style="47" hidden="1" customWidth="1"/>
    <col min="9229" max="9229" width="8.5703125" style="47" customWidth="1"/>
    <col min="9230" max="9230" width="9.85546875" style="47" customWidth="1"/>
    <col min="9231" max="9234" width="8.7109375" style="47" bestFit="1" customWidth="1"/>
    <col min="9235" max="9235" width="8.7109375" style="47" customWidth="1"/>
    <col min="9236" max="9236" width="2.42578125" style="47" customWidth="1"/>
    <col min="9237" max="9237" width="2.5703125" style="47" customWidth="1"/>
    <col min="9238" max="9472" width="9.140625" style="47"/>
    <col min="9473" max="9473" width="5.140625" style="47" customWidth="1"/>
    <col min="9474" max="9474" width="5.42578125" style="47" customWidth="1"/>
    <col min="9475" max="9475" width="9.140625" style="47"/>
    <col min="9476" max="9477" width="6.28515625" style="47" customWidth="1"/>
    <col min="9478" max="9478" width="2" style="47" bestFit="1" customWidth="1"/>
    <col min="9479" max="9479" width="29.28515625" style="47" customWidth="1"/>
    <col min="9480" max="9484" width="0" style="47" hidden="1" customWidth="1"/>
    <col min="9485" max="9485" width="8.5703125" style="47" customWidth="1"/>
    <col min="9486" max="9486" width="9.85546875" style="47" customWidth="1"/>
    <col min="9487" max="9490" width="8.7109375" style="47" bestFit="1" customWidth="1"/>
    <col min="9491" max="9491" width="8.7109375" style="47" customWidth="1"/>
    <col min="9492" max="9492" width="2.42578125" style="47" customWidth="1"/>
    <col min="9493" max="9493" width="2.5703125" style="47" customWidth="1"/>
    <col min="9494" max="9728" width="9.140625" style="47"/>
    <col min="9729" max="9729" width="5.140625" style="47" customWidth="1"/>
    <col min="9730" max="9730" width="5.42578125" style="47" customWidth="1"/>
    <col min="9731" max="9731" width="9.140625" style="47"/>
    <col min="9732" max="9733" width="6.28515625" style="47" customWidth="1"/>
    <col min="9734" max="9734" width="2" style="47" bestFit="1" customWidth="1"/>
    <col min="9735" max="9735" width="29.28515625" style="47" customWidth="1"/>
    <col min="9736" max="9740" width="0" style="47" hidden="1" customWidth="1"/>
    <col min="9741" max="9741" width="8.5703125" style="47" customWidth="1"/>
    <col min="9742" max="9742" width="9.85546875" style="47" customWidth="1"/>
    <col min="9743" max="9746" width="8.7109375" style="47" bestFit="1" customWidth="1"/>
    <col min="9747" max="9747" width="8.7109375" style="47" customWidth="1"/>
    <col min="9748" max="9748" width="2.42578125" style="47" customWidth="1"/>
    <col min="9749" max="9749" width="2.5703125" style="47" customWidth="1"/>
    <col min="9750" max="9984" width="9.140625" style="47"/>
    <col min="9985" max="9985" width="5.140625" style="47" customWidth="1"/>
    <col min="9986" max="9986" width="5.42578125" style="47" customWidth="1"/>
    <col min="9987" max="9987" width="9.140625" style="47"/>
    <col min="9988" max="9989" width="6.28515625" style="47" customWidth="1"/>
    <col min="9990" max="9990" width="2" style="47" bestFit="1" customWidth="1"/>
    <col min="9991" max="9991" width="29.28515625" style="47" customWidth="1"/>
    <col min="9992" max="9996" width="0" style="47" hidden="1" customWidth="1"/>
    <col min="9997" max="9997" width="8.5703125" style="47" customWidth="1"/>
    <col min="9998" max="9998" width="9.85546875" style="47" customWidth="1"/>
    <col min="9999" max="10002" width="8.7109375" style="47" bestFit="1" customWidth="1"/>
    <col min="10003" max="10003" width="8.7109375" style="47" customWidth="1"/>
    <col min="10004" max="10004" width="2.42578125" style="47" customWidth="1"/>
    <col min="10005" max="10005" width="2.5703125" style="47" customWidth="1"/>
    <col min="10006" max="10240" width="9.140625" style="47"/>
    <col min="10241" max="10241" width="5.140625" style="47" customWidth="1"/>
    <col min="10242" max="10242" width="5.42578125" style="47" customWidth="1"/>
    <col min="10243" max="10243" width="9.140625" style="47"/>
    <col min="10244" max="10245" width="6.28515625" style="47" customWidth="1"/>
    <col min="10246" max="10246" width="2" style="47" bestFit="1" customWidth="1"/>
    <col min="10247" max="10247" width="29.28515625" style="47" customWidth="1"/>
    <col min="10248" max="10252" width="0" style="47" hidden="1" customWidth="1"/>
    <col min="10253" max="10253" width="8.5703125" style="47" customWidth="1"/>
    <col min="10254" max="10254" width="9.85546875" style="47" customWidth="1"/>
    <col min="10255" max="10258" width="8.7109375" style="47" bestFit="1" customWidth="1"/>
    <col min="10259" max="10259" width="8.7109375" style="47" customWidth="1"/>
    <col min="10260" max="10260" width="2.42578125" style="47" customWidth="1"/>
    <col min="10261" max="10261" width="2.5703125" style="47" customWidth="1"/>
    <col min="10262" max="10496" width="9.140625" style="47"/>
    <col min="10497" max="10497" width="5.140625" style="47" customWidth="1"/>
    <col min="10498" max="10498" width="5.42578125" style="47" customWidth="1"/>
    <col min="10499" max="10499" width="9.140625" style="47"/>
    <col min="10500" max="10501" width="6.28515625" style="47" customWidth="1"/>
    <col min="10502" max="10502" width="2" style="47" bestFit="1" customWidth="1"/>
    <col min="10503" max="10503" width="29.28515625" style="47" customWidth="1"/>
    <col min="10504" max="10508" width="0" style="47" hidden="1" customWidth="1"/>
    <col min="10509" max="10509" width="8.5703125" style="47" customWidth="1"/>
    <col min="10510" max="10510" width="9.85546875" style="47" customWidth="1"/>
    <col min="10511" max="10514" width="8.7109375" style="47" bestFit="1" customWidth="1"/>
    <col min="10515" max="10515" width="8.7109375" style="47" customWidth="1"/>
    <col min="10516" max="10516" width="2.42578125" style="47" customWidth="1"/>
    <col min="10517" max="10517" width="2.5703125" style="47" customWidth="1"/>
    <col min="10518" max="10752" width="9.140625" style="47"/>
    <col min="10753" max="10753" width="5.140625" style="47" customWidth="1"/>
    <col min="10754" max="10754" width="5.42578125" style="47" customWidth="1"/>
    <col min="10755" max="10755" width="9.140625" style="47"/>
    <col min="10756" max="10757" width="6.28515625" style="47" customWidth="1"/>
    <col min="10758" max="10758" width="2" style="47" bestFit="1" customWidth="1"/>
    <col min="10759" max="10759" width="29.28515625" style="47" customWidth="1"/>
    <col min="10760" max="10764" width="0" style="47" hidden="1" customWidth="1"/>
    <col min="10765" max="10765" width="8.5703125" style="47" customWidth="1"/>
    <col min="10766" max="10766" width="9.85546875" style="47" customWidth="1"/>
    <col min="10767" max="10770" width="8.7109375" style="47" bestFit="1" customWidth="1"/>
    <col min="10771" max="10771" width="8.7109375" style="47" customWidth="1"/>
    <col min="10772" max="10772" width="2.42578125" style="47" customWidth="1"/>
    <col min="10773" max="10773" width="2.5703125" style="47" customWidth="1"/>
    <col min="10774" max="11008" width="9.140625" style="47"/>
    <col min="11009" max="11009" width="5.140625" style="47" customWidth="1"/>
    <col min="11010" max="11010" width="5.42578125" style="47" customWidth="1"/>
    <col min="11011" max="11011" width="9.140625" style="47"/>
    <col min="11012" max="11013" width="6.28515625" style="47" customWidth="1"/>
    <col min="11014" max="11014" width="2" style="47" bestFit="1" customWidth="1"/>
    <col min="11015" max="11015" width="29.28515625" style="47" customWidth="1"/>
    <col min="11016" max="11020" width="0" style="47" hidden="1" customWidth="1"/>
    <col min="11021" max="11021" width="8.5703125" style="47" customWidth="1"/>
    <col min="11022" max="11022" width="9.85546875" style="47" customWidth="1"/>
    <col min="11023" max="11026" width="8.7109375" style="47" bestFit="1" customWidth="1"/>
    <col min="11027" max="11027" width="8.7109375" style="47" customWidth="1"/>
    <col min="11028" max="11028" width="2.42578125" style="47" customWidth="1"/>
    <col min="11029" max="11029" width="2.5703125" style="47" customWidth="1"/>
    <col min="11030" max="11264" width="9.140625" style="47"/>
    <col min="11265" max="11265" width="5.140625" style="47" customWidth="1"/>
    <col min="11266" max="11266" width="5.42578125" style="47" customWidth="1"/>
    <col min="11267" max="11267" width="9.140625" style="47"/>
    <col min="11268" max="11269" width="6.28515625" style="47" customWidth="1"/>
    <col min="11270" max="11270" width="2" style="47" bestFit="1" customWidth="1"/>
    <col min="11271" max="11271" width="29.28515625" style="47" customWidth="1"/>
    <col min="11272" max="11276" width="0" style="47" hidden="1" customWidth="1"/>
    <col min="11277" max="11277" width="8.5703125" style="47" customWidth="1"/>
    <col min="11278" max="11278" width="9.85546875" style="47" customWidth="1"/>
    <col min="11279" max="11282" width="8.7109375" style="47" bestFit="1" customWidth="1"/>
    <col min="11283" max="11283" width="8.7109375" style="47" customWidth="1"/>
    <col min="11284" max="11284" width="2.42578125" style="47" customWidth="1"/>
    <col min="11285" max="11285" width="2.5703125" style="47" customWidth="1"/>
    <col min="11286" max="11520" width="9.140625" style="47"/>
    <col min="11521" max="11521" width="5.140625" style="47" customWidth="1"/>
    <col min="11522" max="11522" width="5.42578125" style="47" customWidth="1"/>
    <col min="11523" max="11523" width="9.140625" style="47"/>
    <col min="11524" max="11525" width="6.28515625" style="47" customWidth="1"/>
    <col min="11526" max="11526" width="2" style="47" bestFit="1" customWidth="1"/>
    <col min="11527" max="11527" width="29.28515625" style="47" customWidth="1"/>
    <col min="11528" max="11532" width="0" style="47" hidden="1" customWidth="1"/>
    <col min="11533" max="11533" width="8.5703125" style="47" customWidth="1"/>
    <col min="11534" max="11534" width="9.85546875" style="47" customWidth="1"/>
    <col min="11535" max="11538" width="8.7109375" style="47" bestFit="1" customWidth="1"/>
    <col min="11539" max="11539" width="8.7109375" style="47" customWidth="1"/>
    <col min="11540" max="11540" width="2.42578125" style="47" customWidth="1"/>
    <col min="11541" max="11541" width="2.5703125" style="47" customWidth="1"/>
    <col min="11542" max="11776" width="9.140625" style="47"/>
    <col min="11777" max="11777" width="5.140625" style="47" customWidth="1"/>
    <col min="11778" max="11778" width="5.42578125" style="47" customWidth="1"/>
    <col min="11779" max="11779" width="9.140625" style="47"/>
    <col min="11780" max="11781" width="6.28515625" style="47" customWidth="1"/>
    <col min="11782" max="11782" width="2" style="47" bestFit="1" customWidth="1"/>
    <col min="11783" max="11783" width="29.28515625" style="47" customWidth="1"/>
    <col min="11784" max="11788" width="0" style="47" hidden="1" customWidth="1"/>
    <col min="11789" max="11789" width="8.5703125" style="47" customWidth="1"/>
    <col min="11790" max="11790" width="9.85546875" style="47" customWidth="1"/>
    <col min="11791" max="11794" width="8.7109375" style="47" bestFit="1" customWidth="1"/>
    <col min="11795" max="11795" width="8.7109375" style="47" customWidth="1"/>
    <col min="11796" max="11796" width="2.42578125" style="47" customWidth="1"/>
    <col min="11797" max="11797" width="2.5703125" style="47" customWidth="1"/>
    <col min="11798" max="12032" width="9.140625" style="47"/>
    <col min="12033" max="12033" width="5.140625" style="47" customWidth="1"/>
    <col min="12034" max="12034" width="5.42578125" style="47" customWidth="1"/>
    <col min="12035" max="12035" width="9.140625" style="47"/>
    <col min="12036" max="12037" width="6.28515625" style="47" customWidth="1"/>
    <col min="12038" max="12038" width="2" style="47" bestFit="1" customWidth="1"/>
    <col min="12039" max="12039" width="29.28515625" style="47" customWidth="1"/>
    <col min="12040" max="12044" width="0" style="47" hidden="1" customWidth="1"/>
    <col min="12045" max="12045" width="8.5703125" style="47" customWidth="1"/>
    <col min="12046" max="12046" width="9.85546875" style="47" customWidth="1"/>
    <col min="12047" max="12050" width="8.7109375" style="47" bestFit="1" customWidth="1"/>
    <col min="12051" max="12051" width="8.7109375" style="47" customWidth="1"/>
    <col min="12052" max="12052" width="2.42578125" style="47" customWidth="1"/>
    <col min="12053" max="12053" width="2.5703125" style="47" customWidth="1"/>
    <col min="12054" max="12288" width="9.140625" style="47"/>
    <col min="12289" max="12289" width="5.140625" style="47" customWidth="1"/>
    <col min="12290" max="12290" width="5.42578125" style="47" customWidth="1"/>
    <col min="12291" max="12291" width="9.140625" style="47"/>
    <col min="12292" max="12293" width="6.28515625" style="47" customWidth="1"/>
    <col min="12294" max="12294" width="2" style="47" bestFit="1" customWidth="1"/>
    <col min="12295" max="12295" width="29.28515625" style="47" customWidth="1"/>
    <col min="12296" max="12300" width="0" style="47" hidden="1" customWidth="1"/>
    <col min="12301" max="12301" width="8.5703125" style="47" customWidth="1"/>
    <col min="12302" max="12302" width="9.85546875" style="47" customWidth="1"/>
    <col min="12303" max="12306" width="8.7109375" style="47" bestFit="1" customWidth="1"/>
    <col min="12307" max="12307" width="8.7109375" style="47" customWidth="1"/>
    <col min="12308" max="12308" width="2.42578125" style="47" customWidth="1"/>
    <col min="12309" max="12309" width="2.5703125" style="47" customWidth="1"/>
    <col min="12310" max="12544" width="9.140625" style="47"/>
    <col min="12545" max="12545" width="5.140625" style="47" customWidth="1"/>
    <col min="12546" max="12546" width="5.42578125" style="47" customWidth="1"/>
    <col min="12547" max="12547" width="9.140625" style="47"/>
    <col min="12548" max="12549" width="6.28515625" style="47" customWidth="1"/>
    <col min="12550" max="12550" width="2" style="47" bestFit="1" customWidth="1"/>
    <col min="12551" max="12551" width="29.28515625" style="47" customWidth="1"/>
    <col min="12552" max="12556" width="0" style="47" hidden="1" customWidth="1"/>
    <col min="12557" max="12557" width="8.5703125" style="47" customWidth="1"/>
    <col min="12558" max="12558" width="9.85546875" style="47" customWidth="1"/>
    <col min="12559" max="12562" width="8.7109375" style="47" bestFit="1" customWidth="1"/>
    <col min="12563" max="12563" width="8.7109375" style="47" customWidth="1"/>
    <col min="12564" max="12564" width="2.42578125" style="47" customWidth="1"/>
    <col min="12565" max="12565" width="2.5703125" style="47" customWidth="1"/>
    <col min="12566" max="12800" width="9.140625" style="47"/>
    <col min="12801" max="12801" width="5.140625" style="47" customWidth="1"/>
    <col min="12802" max="12802" width="5.42578125" style="47" customWidth="1"/>
    <col min="12803" max="12803" width="9.140625" style="47"/>
    <col min="12804" max="12805" width="6.28515625" style="47" customWidth="1"/>
    <col min="12806" max="12806" width="2" style="47" bestFit="1" customWidth="1"/>
    <col min="12807" max="12807" width="29.28515625" style="47" customWidth="1"/>
    <col min="12808" max="12812" width="0" style="47" hidden="1" customWidth="1"/>
    <col min="12813" max="12813" width="8.5703125" style="47" customWidth="1"/>
    <col min="12814" max="12814" width="9.85546875" style="47" customWidth="1"/>
    <col min="12815" max="12818" width="8.7109375" style="47" bestFit="1" customWidth="1"/>
    <col min="12819" max="12819" width="8.7109375" style="47" customWidth="1"/>
    <col min="12820" max="12820" width="2.42578125" style="47" customWidth="1"/>
    <col min="12821" max="12821" width="2.5703125" style="47" customWidth="1"/>
    <col min="12822" max="13056" width="9.140625" style="47"/>
    <col min="13057" max="13057" width="5.140625" style="47" customWidth="1"/>
    <col min="13058" max="13058" width="5.42578125" style="47" customWidth="1"/>
    <col min="13059" max="13059" width="9.140625" style="47"/>
    <col min="13060" max="13061" width="6.28515625" style="47" customWidth="1"/>
    <col min="13062" max="13062" width="2" style="47" bestFit="1" customWidth="1"/>
    <col min="13063" max="13063" width="29.28515625" style="47" customWidth="1"/>
    <col min="13064" max="13068" width="0" style="47" hidden="1" customWidth="1"/>
    <col min="13069" max="13069" width="8.5703125" style="47" customWidth="1"/>
    <col min="13070" max="13070" width="9.85546875" style="47" customWidth="1"/>
    <col min="13071" max="13074" width="8.7109375" style="47" bestFit="1" customWidth="1"/>
    <col min="13075" max="13075" width="8.7109375" style="47" customWidth="1"/>
    <col min="13076" max="13076" width="2.42578125" style="47" customWidth="1"/>
    <col min="13077" max="13077" width="2.5703125" style="47" customWidth="1"/>
    <col min="13078" max="13312" width="9.140625" style="47"/>
    <col min="13313" max="13313" width="5.140625" style="47" customWidth="1"/>
    <col min="13314" max="13314" width="5.42578125" style="47" customWidth="1"/>
    <col min="13315" max="13315" width="9.140625" style="47"/>
    <col min="13316" max="13317" width="6.28515625" style="47" customWidth="1"/>
    <col min="13318" max="13318" width="2" style="47" bestFit="1" customWidth="1"/>
    <col min="13319" max="13319" width="29.28515625" style="47" customWidth="1"/>
    <col min="13320" max="13324" width="0" style="47" hidden="1" customWidth="1"/>
    <col min="13325" max="13325" width="8.5703125" style="47" customWidth="1"/>
    <col min="13326" max="13326" width="9.85546875" style="47" customWidth="1"/>
    <col min="13327" max="13330" width="8.7109375" style="47" bestFit="1" customWidth="1"/>
    <col min="13331" max="13331" width="8.7109375" style="47" customWidth="1"/>
    <col min="13332" max="13332" width="2.42578125" style="47" customWidth="1"/>
    <col min="13333" max="13333" width="2.5703125" style="47" customWidth="1"/>
    <col min="13334" max="13568" width="9.140625" style="47"/>
    <col min="13569" max="13569" width="5.140625" style="47" customWidth="1"/>
    <col min="13570" max="13570" width="5.42578125" style="47" customWidth="1"/>
    <col min="13571" max="13571" width="9.140625" style="47"/>
    <col min="13572" max="13573" width="6.28515625" style="47" customWidth="1"/>
    <col min="13574" max="13574" width="2" style="47" bestFit="1" customWidth="1"/>
    <col min="13575" max="13575" width="29.28515625" style="47" customWidth="1"/>
    <col min="13576" max="13580" width="0" style="47" hidden="1" customWidth="1"/>
    <col min="13581" max="13581" width="8.5703125" style="47" customWidth="1"/>
    <col min="13582" max="13582" width="9.85546875" style="47" customWidth="1"/>
    <col min="13583" max="13586" width="8.7109375" style="47" bestFit="1" customWidth="1"/>
    <col min="13587" max="13587" width="8.7109375" style="47" customWidth="1"/>
    <col min="13588" max="13588" width="2.42578125" style="47" customWidth="1"/>
    <col min="13589" max="13589" width="2.5703125" style="47" customWidth="1"/>
    <col min="13590" max="13824" width="9.140625" style="47"/>
    <col min="13825" max="13825" width="5.140625" style="47" customWidth="1"/>
    <col min="13826" max="13826" width="5.42578125" style="47" customWidth="1"/>
    <col min="13827" max="13827" width="9.140625" style="47"/>
    <col min="13828" max="13829" width="6.28515625" style="47" customWidth="1"/>
    <col min="13830" max="13830" width="2" style="47" bestFit="1" customWidth="1"/>
    <col min="13831" max="13831" width="29.28515625" style="47" customWidth="1"/>
    <col min="13832" max="13836" width="0" style="47" hidden="1" customWidth="1"/>
    <col min="13837" max="13837" width="8.5703125" style="47" customWidth="1"/>
    <col min="13838" max="13838" width="9.85546875" style="47" customWidth="1"/>
    <col min="13839" max="13842" width="8.7109375" style="47" bestFit="1" customWidth="1"/>
    <col min="13843" max="13843" width="8.7109375" style="47" customWidth="1"/>
    <col min="13844" max="13844" width="2.42578125" style="47" customWidth="1"/>
    <col min="13845" max="13845" width="2.5703125" style="47" customWidth="1"/>
    <col min="13846" max="14080" width="9.140625" style="47"/>
    <col min="14081" max="14081" width="5.140625" style="47" customWidth="1"/>
    <col min="14082" max="14082" width="5.42578125" style="47" customWidth="1"/>
    <col min="14083" max="14083" width="9.140625" style="47"/>
    <col min="14084" max="14085" width="6.28515625" style="47" customWidth="1"/>
    <col min="14086" max="14086" width="2" style="47" bestFit="1" customWidth="1"/>
    <col min="14087" max="14087" width="29.28515625" style="47" customWidth="1"/>
    <col min="14088" max="14092" width="0" style="47" hidden="1" customWidth="1"/>
    <col min="14093" max="14093" width="8.5703125" style="47" customWidth="1"/>
    <col min="14094" max="14094" width="9.85546875" style="47" customWidth="1"/>
    <col min="14095" max="14098" width="8.7109375" style="47" bestFit="1" customWidth="1"/>
    <col min="14099" max="14099" width="8.7109375" style="47" customWidth="1"/>
    <col min="14100" max="14100" width="2.42578125" style="47" customWidth="1"/>
    <col min="14101" max="14101" width="2.5703125" style="47" customWidth="1"/>
    <col min="14102" max="14336" width="9.140625" style="47"/>
    <col min="14337" max="14337" width="5.140625" style="47" customWidth="1"/>
    <col min="14338" max="14338" width="5.42578125" style="47" customWidth="1"/>
    <col min="14339" max="14339" width="9.140625" style="47"/>
    <col min="14340" max="14341" width="6.28515625" style="47" customWidth="1"/>
    <col min="14342" max="14342" width="2" style="47" bestFit="1" customWidth="1"/>
    <col min="14343" max="14343" width="29.28515625" style="47" customWidth="1"/>
    <col min="14344" max="14348" width="0" style="47" hidden="1" customWidth="1"/>
    <col min="14349" max="14349" width="8.5703125" style="47" customWidth="1"/>
    <col min="14350" max="14350" width="9.85546875" style="47" customWidth="1"/>
    <col min="14351" max="14354" width="8.7109375" style="47" bestFit="1" customWidth="1"/>
    <col min="14355" max="14355" width="8.7109375" style="47" customWidth="1"/>
    <col min="14356" max="14356" width="2.42578125" style="47" customWidth="1"/>
    <col min="14357" max="14357" width="2.5703125" style="47" customWidth="1"/>
    <col min="14358" max="14592" width="9.140625" style="47"/>
    <col min="14593" max="14593" width="5.140625" style="47" customWidth="1"/>
    <col min="14594" max="14594" width="5.42578125" style="47" customWidth="1"/>
    <col min="14595" max="14595" width="9.140625" style="47"/>
    <col min="14596" max="14597" width="6.28515625" style="47" customWidth="1"/>
    <col min="14598" max="14598" width="2" style="47" bestFit="1" customWidth="1"/>
    <col min="14599" max="14599" width="29.28515625" style="47" customWidth="1"/>
    <col min="14600" max="14604" width="0" style="47" hidden="1" customWidth="1"/>
    <col min="14605" max="14605" width="8.5703125" style="47" customWidth="1"/>
    <col min="14606" max="14606" width="9.85546875" style="47" customWidth="1"/>
    <col min="14607" max="14610" width="8.7109375" style="47" bestFit="1" customWidth="1"/>
    <col min="14611" max="14611" width="8.7109375" style="47" customWidth="1"/>
    <col min="14612" max="14612" width="2.42578125" style="47" customWidth="1"/>
    <col min="14613" max="14613" width="2.5703125" style="47" customWidth="1"/>
    <col min="14614" max="14848" width="9.140625" style="47"/>
    <col min="14849" max="14849" width="5.140625" style="47" customWidth="1"/>
    <col min="14850" max="14850" width="5.42578125" style="47" customWidth="1"/>
    <col min="14851" max="14851" width="9.140625" style="47"/>
    <col min="14852" max="14853" width="6.28515625" style="47" customWidth="1"/>
    <col min="14854" max="14854" width="2" style="47" bestFit="1" customWidth="1"/>
    <col min="14855" max="14855" width="29.28515625" style="47" customWidth="1"/>
    <col min="14856" max="14860" width="0" style="47" hidden="1" customWidth="1"/>
    <col min="14861" max="14861" width="8.5703125" style="47" customWidth="1"/>
    <col min="14862" max="14862" width="9.85546875" style="47" customWidth="1"/>
    <col min="14863" max="14866" width="8.7109375" style="47" bestFit="1" customWidth="1"/>
    <col min="14867" max="14867" width="8.7109375" style="47" customWidth="1"/>
    <col min="14868" max="14868" width="2.42578125" style="47" customWidth="1"/>
    <col min="14869" max="14869" width="2.5703125" style="47" customWidth="1"/>
    <col min="14870" max="15104" width="9.140625" style="47"/>
    <col min="15105" max="15105" width="5.140625" style="47" customWidth="1"/>
    <col min="15106" max="15106" width="5.42578125" style="47" customWidth="1"/>
    <col min="15107" max="15107" width="9.140625" style="47"/>
    <col min="15108" max="15109" width="6.28515625" style="47" customWidth="1"/>
    <col min="15110" max="15110" width="2" style="47" bestFit="1" customWidth="1"/>
    <col min="15111" max="15111" width="29.28515625" style="47" customWidth="1"/>
    <col min="15112" max="15116" width="0" style="47" hidden="1" customWidth="1"/>
    <col min="15117" max="15117" width="8.5703125" style="47" customWidth="1"/>
    <col min="15118" max="15118" width="9.85546875" style="47" customWidth="1"/>
    <col min="15119" max="15122" width="8.7109375" style="47" bestFit="1" customWidth="1"/>
    <col min="15123" max="15123" width="8.7109375" style="47" customWidth="1"/>
    <col min="15124" max="15124" width="2.42578125" style="47" customWidth="1"/>
    <col min="15125" max="15125" width="2.5703125" style="47" customWidth="1"/>
    <col min="15126" max="15360" width="9.140625" style="47"/>
    <col min="15361" max="15361" width="5.140625" style="47" customWidth="1"/>
    <col min="15362" max="15362" width="5.42578125" style="47" customWidth="1"/>
    <col min="15363" max="15363" width="9.140625" style="47"/>
    <col min="15364" max="15365" width="6.28515625" style="47" customWidth="1"/>
    <col min="15366" max="15366" width="2" style="47" bestFit="1" customWidth="1"/>
    <col min="15367" max="15367" width="29.28515625" style="47" customWidth="1"/>
    <col min="15368" max="15372" width="0" style="47" hidden="1" customWidth="1"/>
    <col min="15373" max="15373" width="8.5703125" style="47" customWidth="1"/>
    <col min="15374" max="15374" width="9.85546875" style="47" customWidth="1"/>
    <col min="15375" max="15378" width="8.7109375" style="47" bestFit="1" customWidth="1"/>
    <col min="15379" max="15379" width="8.7109375" style="47" customWidth="1"/>
    <col min="15380" max="15380" width="2.42578125" style="47" customWidth="1"/>
    <col min="15381" max="15381" width="2.5703125" style="47" customWidth="1"/>
    <col min="15382" max="15616" width="9.140625" style="47"/>
    <col min="15617" max="15617" width="5.140625" style="47" customWidth="1"/>
    <col min="15618" max="15618" width="5.42578125" style="47" customWidth="1"/>
    <col min="15619" max="15619" width="9.140625" style="47"/>
    <col min="15620" max="15621" width="6.28515625" style="47" customWidth="1"/>
    <col min="15622" max="15622" width="2" style="47" bestFit="1" customWidth="1"/>
    <col min="15623" max="15623" width="29.28515625" style="47" customWidth="1"/>
    <col min="15624" max="15628" width="0" style="47" hidden="1" customWidth="1"/>
    <col min="15629" max="15629" width="8.5703125" style="47" customWidth="1"/>
    <col min="15630" max="15630" width="9.85546875" style="47" customWidth="1"/>
    <col min="15631" max="15634" width="8.7109375" style="47" bestFit="1" customWidth="1"/>
    <col min="15635" max="15635" width="8.7109375" style="47" customWidth="1"/>
    <col min="15636" max="15636" width="2.42578125" style="47" customWidth="1"/>
    <col min="15637" max="15637" width="2.5703125" style="47" customWidth="1"/>
    <col min="15638" max="15872" width="9.140625" style="47"/>
    <col min="15873" max="15873" width="5.140625" style="47" customWidth="1"/>
    <col min="15874" max="15874" width="5.42578125" style="47" customWidth="1"/>
    <col min="15875" max="15875" width="9.140625" style="47"/>
    <col min="15876" max="15877" width="6.28515625" style="47" customWidth="1"/>
    <col min="15878" max="15878" width="2" style="47" bestFit="1" customWidth="1"/>
    <col min="15879" max="15879" width="29.28515625" style="47" customWidth="1"/>
    <col min="15880" max="15884" width="0" style="47" hidden="1" customWidth="1"/>
    <col min="15885" max="15885" width="8.5703125" style="47" customWidth="1"/>
    <col min="15886" max="15886" width="9.85546875" style="47" customWidth="1"/>
    <col min="15887" max="15890" width="8.7109375" style="47" bestFit="1" customWidth="1"/>
    <col min="15891" max="15891" width="8.7109375" style="47" customWidth="1"/>
    <col min="15892" max="15892" width="2.42578125" style="47" customWidth="1"/>
    <col min="15893" max="15893" width="2.5703125" style="47" customWidth="1"/>
    <col min="15894" max="16128" width="9.140625" style="47"/>
    <col min="16129" max="16129" width="5.140625" style="47" customWidth="1"/>
    <col min="16130" max="16130" width="5.42578125" style="47" customWidth="1"/>
    <col min="16131" max="16131" width="9.140625" style="47"/>
    <col min="16132" max="16133" width="6.28515625" style="47" customWidth="1"/>
    <col min="16134" max="16134" width="2" style="47" bestFit="1" customWidth="1"/>
    <col min="16135" max="16135" width="29.28515625" style="47" customWidth="1"/>
    <col min="16136" max="16140" width="0" style="47" hidden="1" customWidth="1"/>
    <col min="16141" max="16141" width="8.5703125" style="47" customWidth="1"/>
    <col min="16142" max="16142" width="9.85546875" style="47" customWidth="1"/>
    <col min="16143" max="16146" width="8.7109375" style="47" bestFit="1" customWidth="1"/>
    <col min="16147" max="16147" width="8.7109375" style="47" customWidth="1"/>
    <col min="16148" max="16148" width="2.42578125" style="47" customWidth="1"/>
    <col min="16149" max="16149" width="2.5703125" style="47" customWidth="1"/>
    <col min="16150" max="16384" width="9.140625" style="47"/>
  </cols>
  <sheetData>
    <row r="1" spans="1:19" x14ac:dyDescent="0.2">
      <c r="A1" s="1"/>
      <c r="B1" s="2"/>
      <c r="C1" s="3"/>
      <c r="D1" s="3"/>
      <c r="E1" s="1"/>
      <c r="F1" s="1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</row>
    <row r="2" spans="1:19" x14ac:dyDescent="0.2">
      <c r="A2" s="3" t="s">
        <v>0</v>
      </c>
      <c r="B2" s="5" t="s">
        <v>1</v>
      </c>
      <c r="C2" s="3" t="s">
        <v>2</v>
      </c>
      <c r="D2" s="3"/>
      <c r="E2" s="1" t="s">
        <v>3</v>
      </c>
      <c r="F2" s="1"/>
      <c r="G2" s="49" t="s">
        <v>549</v>
      </c>
      <c r="H2" s="50"/>
      <c r="I2" s="51"/>
      <c r="J2" s="52"/>
      <c r="K2" s="50"/>
      <c r="L2" s="52"/>
      <c r="M2" s="71" t="s">
        <v>366</v>
      </c>
      <c r="N2" s="122" t="s">
        <v>550</v>
      </c>
      <c r="O2" s="72"/>
      <c r="P2" s="72"/>
      <c r="Q2" s="72"/>
      <c r="R2" s="73"/>
    </row>
    <row r="3" spans="1:19" x14ac:dyDescent="0.2">
      <c r="A3" s="1"/>
      <c r="B3" s="6"/>
      <c r="C3" s="3"/>
      <c r="D3" s="3"/>
      <c r="E3" s="1"/>
      <c r="F3" s="1"/>
      <c r="G3" s="53" t="s">
        <v>4</v>
      </c>
      <c r="H3" s="54">
        <v>40908</v>
      </c>
      <c r="I3" s="54">
        <v>41274</v>
      </c>
      <c r="J3" s="54">
        <v>41639</v>
      </c>
      <c r="K3" s="54">
        <v>42004</v>
      </c>
      <c r="L3" s="54">
        <v>42369</v>
      </c>
      <c r="M3" s="54">
        <v>42735</v>
      </c>
      <c r="N3" s="54">
        <v>43100</v>
      </c>
      <c r="O3" s="54">
        <v>43465</v>
      </c>
      <c r="P3" s="54">
        <v>43830</v>
      </c>
      <c r="Q3" s="54">
        <v>44196</v>
      </c>
      <c r="R3" s="54">
        <v>44561</v>
      </c>
      <c r="S3" s="54">
        <v>44926</v>
      </c>
    </row>
    <row r="4" spans="1:19" x14ac:dyDescent="0.2">
      <c r="A4" s="7"/>
      <c r="B4" s="2" t="s">
        <v>5</v>
      </c>
      <c r="C4" s="3">
        <v>1</v>
      </c>
      <c r="D4" s="3"/>
      <c r="E4" s="5"/>
      <c r="F4" s="7"/>
      <c r="G4" s="55" t="s">
        <v>6</v>
      </c>
      <c r="H4" s="56">
        <f t="shared" ref="H4:S4" si="0">H5+H10</f>
        <v>841.47900000000004</v>
      </c>
      <c r="I4" s="56">
        <f t="shared" si="0"/>
        <v>1003.076</v>
      </c>
      <c r="J4" s="56">
        <f t="shared" si="0"/>
        <v>1104.001</v>
      </c>
      <c r="K4" s="56">
        <f t="shared" si="0"/>
        <v>1278.9359999999999</v>
      </c>
      <c r="L4" s="56">
        <f t="shared" si="0"/>
        <v>1195.4939999999999</v>
      </c>
      <c r="M4" s="56">
        <f t="shared" si="0"/>
        <v>1138.5239999999999</v>
      </c>
      <c r="N4" s="56">
        <f t="shared" si="0"/>
        <v>874.01</v>
      </c>
      <c r="O4" s="56">
        <f t="shared" si="0"/>
        <v>739</v>
      </c>
      <c r="P4" s="56">
        <f t="shared" si="0"/>
        <v>569</v>
      </c>
      <c r="Q4" s="56">
        <f t="shared" si="0"/>
        <v>469</v>
      </c>
      <c r="R4" s="56">
        <f t="shared" si="0"/>
        <v>469</v>
      </c>
      <c r="S4" s="56">
        <f t="shared" si="0"/>
        <v>469</v>
      </c>
    </row>
    <row r="5" spans="1:19" x14ac:dyDescent="0.2">
      <c r="A5" s="8"/>
      <c r="B5" s="2" t="s">
        <v>7</v>
      </c>
      <c r="C5" s="3">
        <v>10</v>
      </c>
      <c r="D5" s="3"/>
      <c r="E5" s="9"/>
      <c r="G5" s="57" t="s">
        <v>8</v>
      </c>
      <c r="H5" s="56">
        <f t="shared" ref="H5:R5" si="1">SUM(H6:H9)</f>
        <v>830.30900000000008</v>
      </c>
      <c r="I5" s="56">
        <f t="shared" si="1"/>
        <v>1002.33</v>
      </c>
      <c r="J5" s="56">
        <f t="shared" si="1"/>
        <v>1104.001</v>
      </c>
      <c r="K5" s="56">
        <f t="shared" si="1"/>
        <v>1278.9359999999999</v>
      </c>
      <c r="L5" s="56">
        <f t="shared" si="1"/>
        <v>1195.4939999999999</v>
      </c>
      <c r="M5" s="56">
        <f t="shared" si="1"/>
        <v>1138.5239999999999</v>
      </c>
      <c r="N5" s="56">
        <f t="shared" si="1"/>
        <v>874.01</v>
      </c>
      <c r="O5" s="56">
        <f t="shared" si="1"/>
        <v>739</v>
      </c>
      <c r="P5" s="56">
        <f t="shared" si="1"/>
        <v>569</v>
      </c>
      <c r="Q5" s="56">
        <f t="shared" si="1"/>
        <v>469</v>
      </c>
      <c r="R5" s="56">
        <f t="shared" si="1"/>
        <v>469</v>
      </c>
      <c r="S5" s="56">
        <f>SUM(S6:S9)</f>
        <v>469</v>
      </c>
    </row>
    <row r="6" spans="1:19" ht="12" x14ac:dyDescent="0.2">
      <c r="A6" s="8"/>
      <c r="B6" s="2" t="s">
        <v>9</v>
      </c>
      <c r="C6" s="10" t="s">
        <v>10</v>
      </c>
      <c r="D6" s="10"/>
      <c r="E6" s="11" t="s">
        <v>11</v>
      </c>
      <c r="G6" s="57" t="s">
        <v>12</v>
      </c>
      <c r="H6" s="58">
        <v>819.69100000000003</v>
      </c>
      <c r="I6" s="58">
        <v>986.06100000000004</v>
      </c>
      <c r="J6" s="58">
        <v>1095.6310000000001</v>
      </c>
      <c r="K6" s="58">
        <v>1271.308</v>
      </c>
      <c r="L6" s="58">
        <v>1172.318</v>
      </c>
      <c r="M6" s="58">
        <v>1120.81</v>
      </c>
      <c r="N6" s="76">
        <v>848.25</v>
      </c>
      <c r="O6" s="76">
        <v>713</v>
      </c>
      <c r="P6" s="76">
        <v>543</v>
      </c>
      <c r="Q6" s="76">
        <v>443</v>
      </c>
      <c r="R6" s="76">
        <v>443</v>
      </c>
      <c r="S6" s="58">
        <v>443</v>
      </c>
    </row>
    <row r="7" spans="1:19" ht="12" x14ac:dyDescent="0.2">
      <c r="A7" s="8"/>
      <c r="B7" s="2" t="s">
        <v>13</v>
      </c>
      <c r="C7" s="10" t="s">
        <v>14</v>
      </c>
      <c r="D7" s="10"/>
      <c r="E7" s="11" t="s">
        <v>11</v>
      </c>
      <c r="G7" s="57" t="s">
        <v>15</v>
      </c>
      <c r="H7" s="58">
        <v>10.618</v>
      </c>
      <c r="I7" s="58">
        <v>16.268999999999998</v>
      </c>
      <c r="J7" s="58">
        <v>8.3699999999999992</v>
      </c>
      <c r="K7" s="58">
        <v>7.6280000000000001</v>
      </c>
      <c r="L7" s="58">
        <v>23.175999999999998</v>
      </c>
      <c r="M7" s="58">
        <v>17.713999999999999</v>
      </c>
      <c r="N7" s="76">
        <v>25.76</v>
      </c>
      <c r="O7" s="76">
        <v>26</v>
      </c>
      <c r="P7" s="76">
        <v>26</v>
      </c>
      <c r="Q7" s="76">
        <v>26</v>
      </c>
      <c r="R7" s="76">
        <v>26</v>
      </c>
      <c r="S7" s="58">
        <v>26</v>
      </c>
    </row>
    <row r="8" spans="1:19" ht="12" x14ac:dyDescent="0.2">
      <c r="A8" s="8"/>
      <c r="B8" s="2" t="s">
        <v>16</v>
      </c>
      <c r="C8" s="10" t="s">
        <v>17</v>
      </c>
      <c r="D8" s="10"/>
      <c r="E8" s="11" t="s">
        <v>11</v>
      </c>
      <c r="G8" s="57" t="s">
        <v>18</v>
      </c>
      <c r="H8" s="58">
        <v>0</v>
      </c>
      <c r="I8" s="58">
        <v>0</v>
      </c>
      <c r="J8" s="58">
        <v>0</v>
      </c>
      <c r="K8" s="58">
        <v>0</v>
      </c>
      <c r="L8" s="58">
        <v>0</v>
      </c>
      <c r="M8" s="58">
        <v>0</v>
      </c>
      <c r="N8" s="76">
        <v>0</v>
      </c>
      <c r="O8" s="76">
        <v>0</v>
      </c>
      <c r="P8" s="76">
        <v>0</v>
      </c>
      <c r="Q8" s="76">
        <v>0</v>
      </c>
      <c r="R8" s="76">
        <v>0</v>
      </c>
      <c r="S8" s="58">
        <v>0</v>
      </c>
    </row>
    <row r="9" spans="1:19" x14ac:dyDescent="0.2">
      <c r="A9" s="8"/>
      <c r="B9" s="2" t="s">
        <v>19</v>
      </c>
      <c r="C9" s="10">
        <v>108</v>
      </c>
      <c r="D9" s="10"/>
      <c r="E9" s="12"/>
      <c r="G9" s="57" t="s">
        <v>20</v>
      </c>
      <c r="H9" s="58">
        <v>0</v>
      </c>
      <c r="I9" s="58">
        <v>0</v>
      </c>
      <c r="J9" s="58">
        <v>0</v>
      </c>
      <c r="K9" s="58">
        <v>0</v>
      </c>
      <c r="L9" s="58">
        <v>0</v>
      </c>
      <c r="M9" s="58">
        <v>0</v>
      </c>
      <c r="N9" s="76">
        <v>0</v>
      </c>
      <c r="O9" s="76">
        <v>0</v>
      </c>
      <c r="P9" s="76">
        <v>0</v>
      </c>
      <c r="Q9" s="76">
        <v>0</v>
      </c>
      <c r="R9" s="76">
        <v>0</v>
      </c>
      <c r="S9" s="58">
        <v>0</v>
      </c>
    </row>
    <row r="10" spans="1:19" x14ac:dyDescent="0.2">
      <c r="A10" s="13"/>
      <c r="B10" s="2" t="s">
        <v>21</v>
      </c>
      <c r="C10" s="14">
        <v>15</v>
      </c>
      <c r="D10" s="14"/>
      <c r="E10" s="12"/>
      <c r="F10" s="13"/>
      <c r="G10" s="57" t="s">
        <v>22</v>
      </c>
      <c r="H10" s="56">
        <f>SUM(H11:H16)</f>
        <v>11.17</v>
      </c>
      <c r="I10" s="56">
        <f>SUM(I11:I16)</f>
        <v>0.746</v>
      </c>
      <c r="J10" s="56">
        <f>SUM(J11:J16)</f>
        <v>0</v>
      </c>
      <c r="K10" s="56">
        <f>SUM(K11:K16)</f>
        <v>0</v>
      </c>
      <c r="L10" s="56">
        <f>SUM(L11:L16)</f>
        <v>0</v>
      </c>
      <c r="M10" s="56">
        <v>0</v>
      </c>
      <c r="N10" s="77">
        <f t="shared" ref="N10:S10" si="2">SUM(N11:N16)</f>
        <v>0</v>
      </c>
      <c r="O10" s="77">
        <f t="shared" si="2"/>
        <v>0</v>
      </c>
      <c r="P10" s="77">
        <f t="shared" si="2"/>
        <v>0</v>
      </c>
      <c r="Q10" s="77">
        <f t="shared" si="2"/>
        <v>0</v>
      </c>
      <c r="R10" s="77">
        <f t="shared" si="2"/>
        <v>0</v>
      </c>
      <c r="S10" s="56">
        <f t="shared" si="2"/>
        <v>0</v>
      </c>
    </row>
    <row r="11" spans="1:19" ht="12" x14ac:dyDescent="0.2">
      <c r="A11" s="13"/>
      <c r="B11" s="2" t="s">
        <v>23</v>
      </c>
      <c r="C11" s="14">
        <v>150</v>
      </c>
      <c r="D11" s="14"/>
      <c r="E11" s="11" t="s">
        <v>11</v>
      </c>
      <c r="F11" s="13"/>
      <c r="G11" s="57" t="s">
        <v>24</v>
      </c>
      <c r="H11" s="58">
        <v>0</v>
      </c>
      <c r="I11" s="58">
        <v>0</v>
      </c>
      <c r="J11" s="58">
        <v>0</v>
      </c>
      <c r="K11" s="58">
        <v>0</v>
      </c>
      <c r="L11" s="58">
        <v>0</v>
      </c>
      <c r="M11" s="58">
        <v>0</v>
      </c>
      <c r="N11" s="76">
        <v>0</v>
      </c>
      <c r="O11" s="76">
        <v>0</v>
      </c>
      <c r="P11" s="76">
        <v>0</v>
      </c>
      <c r="Q11" s="76">
        <v>0</v>
      </c>
      <c r="R11" s="76">
        <v>0</v>
      </c>
      <c r="S11" s="58">
        <v>0</v>
      </c>
    </row>
    <row r="12" spans="1:19" ht="12" x14ac:dyDescent="0.2">
      <c r="A12" s="13"/>
      <c r="B12" s="2" t="s">
        <v>25</v>
      </c>
      <c r="C12" s="14">
        <v>151</v>
      </c>
      <c r="D12" s="14"/>
      <c r="E12" s="11" t="s">
        <v>11</v>
      </c>
      <c r="F12" s="13"/>
      <c r="G12" s="57" t="s">
        <v>26</v>
      </c>
      <c r="H12" s="58">
        <v>0</v>
      </c>
      <c r="I12" s="58">
        <v>0</v>
      </c>
      <c r="J12" s="58">
        <v>0</v>
      </c>
      <c r="K12" s="58">
        <v>0</v>
      </c>
      <c r="L12" s="58">
        <v>0</v>
      </c>
      <c r="M12" s="58">
        <v>0</v>
      </c>
      <c r="N12" s="76">
        <v>0</v>
      </c>
      <c r="O12" s="76">
        <v>0</v>
      </c>
      <c r="P12" s="76">
        <v>0</v>
      </c>
      <c r="Q12" s="76">
        <v>0</v>
      </c>
      <c r="R12" s="76">
        <v>0</v>
      </c>
      <c r="S12" s="58">
        <v>0</v>
      </c>
    </row>
    <row r="13" spans="1:19" ht="12" x14ac:dyDescent="0.2">
      <c r="A13" s="8"/>
      <c r="B13" s="2" t="s">
        <v>27</v>
      </c>
      <c r="C13" s="10" t="s">
        <v>28</v>
      </c>
      <c r="D13" s="10"/>
      <c r="E13" s="11" t="s">
        <v>11</v>
      </c>
      <c r="G13" s="57" t="s">
        <v>29</v>
      </c>
      <c r="H13" s="58">
        <v>0</v>
      </c>
      <c r="I13" s="58">
        <v>0</v>
      </c>
      <c r="J13" s="58">
        <v>0</v>
      </c>
      <c r="K13" s="58">
        <v>0</v>
      </c>
      <c r="L13" s="58">
        <v>0</v>
      </c>
      <c r="M13" s="58">
        <v>0</v>
      </c>
      <c r="N13" s="76">
        <v>0</v>
      </c>
      <c r="O13" s="76">
        <v>0</v>
      </c>
      <c r="P13" s="76">
        <v>0</v>
      </c>
      <c r="Q13" s="76">
        <v>0</v>
      </c>
      <c r="R13" s="76">
        <v>0</v>
      </c>
      <c r="S13" s="58">
        <v>0</v>
      </c>
    </row>
    <row r="14" spans="1:19" ht="12" x14ac:dyDescent="0.2">
      <c r="A14" s="8"/>
      <c r="B14" s="2" t="s">
        <v>30</v>
      </c>
      <c r="C14" s="10">
        <v>154</v>
      </c>
      <c r="D14" s="10"/>
      <c r="E14" s="11" t="s">
        <v>11</v>
      </c>
      <c r="G14" s="57" t="s">
        <v>31</v>
      </c>
      <c r="H14" s="58">
        <v>0</v>
      </c>
      <c r="I14" s="58">
        <v>0</v>
      </c>
      <c r="J14" s="58">
        <v>0</v>
      </c>
      <c r="K14" s="58">
        <v>0</v>
      </c>
      <c r="L14" s="58">
        <v>0</v>
      </c>
      <c r="M14" s="58">
        <v>0</v>
      </c>
      <c r="N14" s="76">
        <v>0</v>
      </c>
      <c r="O14" s="76">
        <v>0</v>
      </c>
      <c r="P14" s="76">
        <v>0</v>
      </c>
      <c r="Q14" s="76">
        <v>0</v>
      </c>
      <c r="R14" s="76">
        <v>0</v>
      </c>
      <c r="S14" s="58">
        <v>0</v>
      </c>
    </row>
    <row r="15" spans="1:19" ht="12" x14ac:dyDescent="0.2">
      <c r="A15" s="8"/>
      <c r="B15" s="2" t="s">
        <v>32</v>
      </c>
      <c r="C15" s="10" t="s">
        <v>33</v>
      </c>
      <c r="D15" s="10"/>
      <c r="E15" s="11" t="s">
        <v>11</v>
      </c>
      <c r="G15" s="57" t="s">
        <v>34</v>
      </c>
      <c r="H15" s="58">
        <v>11.17</v>
      </c>
      <c r="I15" s="58">
        <v>0.746</v>
      </c>
      <c r="J15" s="58">
        <v>0</v>
      </c>
      <c r="K15" s="58">
        <v>0</v>
      </c>
      <c r="L15" s="58">
        <v>0</v>
      </c>
      <c r="M15" s="58">
        <v>0</v>
      </c>
      <c r="N15" s="76">
        <v>0</v>
      </c>
      <c r="O15" s="76">
        <v>0</v>
      </c>
      <c r="P15" s="76">
        <v>0</v>
      </c>
      <c r="Q15" s="76">
        <v>0</v>
      </c>
      <c r="R15" s="76">
        <v>0</v>
      </c>
      <c r="S15" s="58">
        <v>0</v>
      </c>
    </row>
    <row r="16" spans="1:19" ht="12" x14ac:dyDescent="0.2">
      <c r="A16" s="8"/>
      <c r="B16" s="2" t="s">
        <v>35</v>
      </c>
      <c r="C16" s="10">
        <v>157</v>
      </c>
      <c r="D16" s="10"/>
      <c r="E16" s="11" t="s">
        <v>11</v>
      </c>
      <c r="G16" s="57" t="s">
        <v>36</v>
      </c>
      <c r="H16" s="58">
        <v>0</v>
      </c>
      <c r="I16" s="58">
        <v>0</v>
      </c>
      <c r="J16" s="58">
        <v>0</v>
      </c>
      <c r="K16" s="58">
        <v>0</v>
      </c>
      <c r="L16" s="58">
        <v>0</v>
      </c>
      <c r="M16" s="58">
        <v>0</v>
      </c>
      <c r="N16" s="76">
        <v>0</v>
      </c>
      <c r="O16" s="76">
        <v>0</v>
      </c>
      <c r="P16" s="76">
        <v>0</v>
      </c>
      <c r="Q16" s="76">
        <v>0</v>
      </c>
      <c r="R16" s="76">
        <v>0</v>
      </c>
      <c r="S16" s="58">
        <v>0</v>
      </c>
    </row>
    <row r="17" spans="1:19" ht="12" x14ac:dyDescent="0.2">
      <c r="A17" s="15"/>
      <c r="B17" s="2" t="s">
        <v>37</v>
      </c>
      <c r="C17" s="78" t="s">
        <v>38</v>
      </c>
      <c r="D17" s="15"/>
      <c r="E17" s="11" t="s">
        <v>11</v>
      </c>
      <c r="F17" s="16"/>
      <c r="G17" s="59" t="s">
        <v>39</v>
      </c>
      <c r="H17" s="60">
        <v>0</v>
      </c>
      <c r="I17" s="60">
        <v>0</v>
      </c>
      <c r="J17" s="60">
        <v>0</v>
      </c>
      <c r="K17" s="60">
        <v>0</v>
      </c>
      <c r="L17" s="60">
        <v>0</v>
      </c>
      <c r="M17" s="60">
        <v>0</v>
      </c>
      <c r="N17" s="80">
        <v>0</v>
      </c>
      <c r="O17" s="80">
        <v>0</v>
      </c>
      <c r="P17" s="80">
        <v>0</v>
      </c>
      <c r="Q17" s="80">
        <v>0</v>
      </c>
      <c r="R17" s="80">
        <v>0</v>
      </c>
      <c r="S17" s="60">
        <v>0</v>
      </c>
    </row>
    <row r="18" spans="1:19" x14ac:dyDescent="0.2">
      <c r="A18" s="8"/>
      <c r="B18" s="2" t="s">
        <v>40</v>
      </c>
      <c r="C18" s="10">
        <v>2</v>
      </c>
      <c r="D18" s="10"/>
      <c r="E18" s="12"/>
      <c r="G18" s="57" t="s">
        <v>41</v>
      </c>
      <c r="H18" s="56">
        <f t="shared" ref="H18:S18" si="3">H19+H27</f>
        <v>841.47899999999993</v>
      </c>
      <c r="I18" s="56">
        <f t="shared" si="3"/>
        <v>1003.0769999999999</v>
      </c>
      <c r="J18" s="56">
        <f t="shared" si="3"/>
        <v>1104.001</v>
      </c>
      <c r="K18" s="56">
        <f t="shared" si="3"/>
        <v>1278.9370000000001</v>
      </c>
      <c r="L18" s="56">
        <f t="shared" si="3"/>
        <v>1195.4940000000001</v>
      </c>
      <c r="M18" s="56">
        <f t="shared" si="3"/>
        <v>1138.5240000000001</v>
      </c>
      <c r="N18" s="77">
        <f t="shared" si="3"/>
        <v>874</v>
      </c>
      <c r="O18" s="77">
        <f t="shared" si="3"/>
        <v>739</v>
      </c>
      <c r="P18" s="77">
        <f t="shared" si="3"/>
        <v>569</v>
      </c>
      <c r="Q18" s="77">
        <f t="shared" si="3"/>
        <v>469</v>
      </c>
      <c r="R18" s="77">
        <f t="shared" si="3"/>
        <v>469</v>
      </c>
      <c r="S18" s="56">
        <f t="shared" si="3"/>
        <v>469</v>
      </c>
    </row>
    <row r="19" spans="1:19" x14ac:dyDescent="0.2">
      <c r="A19" s="8"/>
      <c r="B19" s="2" t="s">
        <v>42</v>
      </c>
      <c r="C19" s="10" t="s">
        <v>43</v>
      </c>
      <c r="D19" s="10"/>
      <c r="E19" s="12"/>
      <c r="G19" s="57" t="s">
        <v>44</v>
      </c>
      <c r="H19" s="56">
        <f t="shared" ref="H19:S19" si="4">SUM(H21:H26)</f>
        <v>43.356999999999999</v>
      </c>
      <c r="I19" s="56">
        <f t="shared" si="4"/>
        <v>58.079000000000001</v>
      </c>
      <c r="J19" s="56">
        <f t="shared" si="4"/>
        <v>62.375999999999998</v>
      </c>
      <c r="K19" s="56">
        <f t="shared" si="4"/>
        <v>37.851999999999997</v>
      </c>
      <c r="L19" s="56">
        <f t="shared" si="4"/>
        <v>60.747999999999998</v>
      </c>
      <c r="M19" s="56">
        <f t="shared" si="4"/>
        <v>30.013000000000002</v>
      </c>
      <c r="N19" s="77">
        <f t="shared" si="4"/>
        <v>42.25</v>
      </c>
      <c r="O19" s="77">
        <f t="shared" si="4"/>
        <v>42</v>
      </c>
      <c r="P19" s="77">
        <f t="shared" si="4"/>
        <v>42</v>
      </c>
      <c r="Q19" s="77">
        <f t="shared" si="4"/>
        <v>42</v>
      </c>
      <c r="R19" s="77">
        <f t="shared" si="4"/>
        <v>42</v>
      </c>
      <c r="S19" s="56">
        <f t="shared" si="4"/>
        <v>42</v>
      </c>
    </row>
    <row r="20" spans="1:19" ht="12" x14ac:dyDescent="0.2">
      <c r="A20" s="17"/>
      <c r="B20" s="2" t="s">
        <v>45</v>
      </c>
      <c r="C20" s="78" t="s">
        <v>46</v>
      </c>
      <c r="D20" s="15"/>
      <c r="E20" s="11" t="s">
        <v>11</v>
      </c>
      <c r="F20" s="17"/>
      <c r="G20" s="59" t="s">
        <v>47</v>
      </c>
      <c r="H20" s="61">
        <v>43.356999999999999</v>
      </c>
      <c r="I20" s="61">
        <v>58.079000000000001</v>
      </c>
      <c r="J20" s="61">
        <v>62.375999999999998</v>
      </c>
      <c r="K20" s="61">
        <v>37.851999999999997</v>
      </c>
      <c r="L20" s="61">
        <v>60.747999999999998</v>
      </c>
      <c r="M20" s="61">
        <v>30.013000000000002</v>
      </c>
      <c r="N20" s="82">
        <v>42.25</v>
      </c>
      <c r="O20" s="82">
        <v>42</v>
      </c>
      <c r="P20" s="82">
        <v>42</v>
      </c>
      <c r="Q20" s="82">
        <v>42</v>
      </c>
      <c r="R20" s="82">
        <v>42</v>
      </c>
      <c r="S20" s="61">
        <v>42</v>
      </c>
    </row>
    <row r="21" spans="1:19" ht="12" x14ac:dyDescent="0.2">
      <c r="A21" s="8"/>
      <c r="B21" s="2" t="s">
        <v>48</v>
      </c>
      <c r="C21" s="18" t="s">
        <v>49</v>
      </c>
      <c r="D21" s="18"/>
      <c r="E21" s="11" t="s">
        <v>11</v>
      </c>
      <c r="G21" s="57" t="s">
        <v>50</v>
      </c>
      <c r="H21" s="58">
        <v>43.356999999999999</v>
      </c>
      <c r="I21" s="58">
        <v>58.079000000000001</v>
      </c>
      <c r="J21" s="58">
        <v>62.375999999999998</v>
      </c>
      <c r="K21" s="58">
        <v>37.851999999999997</v>
      </c>
      <c r="L21" s="58">
        <v>60.747999999999998</v>
      </c>
      <c r="M21" s="58">
        <v>30.013000000000002</v>
      </c>
      <c r="N21" s="76">
        <v>42.25</v>
      </c>
      <c r="O21" s="76">
        <v>42</v>
      </c>
      <c r="P21" s="76">
        <v>42</v>
      </c>
      <c r="Q21" s="76">
        <v>42</v>
      </c>
      <c r="R21" s="76">
        <v>42</v>
      </c>
      <c r="S21" s="58">
        <v>42</v>
      </c>
    </row>
    <row r="22" spans="1:19" ht="12" x14ac:dyDescent="0.2">
      <c r="A22" s="8"/>
      <c r="B22" s="2" t="s">
        <v>51</v>
      </c>
      <c r="C22" s="10" t="s">
        <v>52</v>
      </c>
      <c r="D22" s="10"/>
      <c r="E22" s="11" t="s">
        <v>11</v>
      </c>
      <c r="G22" s="57" t="s">
        <v>53</v>
      </c>
      <c r="H22" s="58">
        <v>0</v>
      </c>
      <c r="I22" s="58">
        <v>0</v>
      </c>
      <c r="J22" s="58">
        <v>0</v>
      </c>
      <c r="K22" s="58">
        <v>0</v>
      </c>
      <c r="L22" s="58">
        <v>0</v>
      </c>
      <c r="M22" s="58">
        <v>0</v>
      </c>
      <c r="N22" s="76">
        <v>0</v>
      </c>
      <c r="O22" s="76">
        <v>0</v>
      </c>
      <c r="P22" s="76">
        <v>0</v>
      </c>
      <c r="Q22" s="76">
        <v>0</v>
      </c>
      <c r="R22" s="76">
        <v>0</v>
      </c>
      <c r="S22" s="58">
        <v>0</v>
      </c>
    </row>
    <row r="23" spans="1:19" ht="12" x14ac:dyDescent="0.2">
      <c r="A23" s="8"/>
      <c r="B23" s="2" t="s">
        <v>54</v>
      </c>
      <c r="C23" s="10">
        <v>257</v>
      </c>
      <c r="D23" s="10"/>
      <c r="E23" s="11" t="s">
        <v>11</v>
      </c>
      <c r="G23" s="57" t="s">
        <v>55</v>
      </c>
      <c r="H23" s="58">
        <v>0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76">
        <v>0</v>
      </c>
      <c r="O23" s="76">
        <v>0</v>
      </c>
      <c r="P23" s="76">
        <v>0</v>
      </c>
      <c r="Q23" s="76">
        <v>0</v>
      </c>
      <c r="R23" s="76">
        <v>0</v>
      </c>
      <c r="S23" s="58">
        <v>0</v>
      </c>
    </row>
    <row r="24" spans="1:19" ht="12" x14ac:dyDescent="0.2">
      <c r="A24" s="19"/>
      <c r="B24" s="2" t="s">
        <v>56</v>
      </c>
      <c r="C24" s="10" t="s">
        <v>57</v>
      </c>
      <c r="D24" s="10"/>
      <c r="E24" s="11" t="s">
        <v>11</v>
      </c>
      <c r="F24" s="19"/>
      <c r="G24" s="57" t="s">
        <v>58</v>
      </c>
      <c r="H24" s="58">
        <v>0</v>
      </c>
      <c r="I24" s="58">
        <v>0</v>
      </c>
      <c r="J24" s="58">
        <v>0</v>
      </c>
      <c r="K24" s="58">
        <v>0</v>
      </c>
      <c r="L24" s="58">
        <v>0</v>
      </c>
      <c r="M24" s="58">
        <v>0</v>
      </c>
      <c r="N24" s="76">
        <v>0</v>
      </c>
      <c r="O24" s="76">
        <v>0</v>
      </c>
      <c r="P24" s="76">
        <v>0</v>
      </c>
      <c r="Q24" s="76">
        <v>0</v>
      </c>
      <c r="R24" s="76">
        <v>0</v>
      </c>
      <c r="S24" s="58">
        <v>0</v>
      </c>
    </row>
    <row r="25" spans="1:19" ht="12" x14ac:dyDescent="0.2">
      <c r="A25" s="19"/>
      <c r="B25" s="2" t="s">
        <v>59</v>
      </c>
      <c r="C25" s="10" t="s">
        <v>60</v>
      </c>
      <c r="D25" s="10"/>
      <c r="E25" s="11" t="s">
        <v>11</v>
      </c>
      <c r="F25" s="19"/>
      <c r="G25" s="57" t="s">
        <v>61</v>
      </c>
      <c r="H25" s="58">
        <v>0</v>
      </c>
      <c r="I25" s="58">
        <v>0</v>
      </c>
      <c r="J25" s="58">
        <v>0</v>
      </c>
      <c r="K25" s="58">
        <v>0</v>
      </c>
      <c r="L25" s="58">
        <v>0</v>
      </c>
      <c r="M25" s="58">
        <v>0</v>
      </c>
      <c r="N25" s="76">
        <v>0</v>
      </c>
      <c r="O25" s="76">
        <v>0</v>
      </c>
      <c r="P25" s="76">
        <v>0</v>
      </c>
      <c r="Q25" s="76">
        <v>0</v>
      </c>
      <c r="R25" s="76">
        <v>0</v>
      </c>
      <c r="S25" s="58">
        <v>0</v>
      </c>
    </row>
    <row r="26" spans="1:19" ht="12" x14ac:dyDescent="0.2">
      <c r="A26" s="8"/>
      <c r="B26" s="2" t="s">
        <v>62</v>
      </c>
      <c r="C26" s="10">
        <v>28</v>
      </c>
      <c r="D26" s="10"/>
      <c r="E26" s="11" t="s">
        <v>11</v>
      </c>
      <c r="G26" s="57" t="s">
        <v>63</v>
      </c>
      <c r="H26" s="58">
        <v>0</v>
      </c>
      <c r="I26" s="58">
        <v>0</v>
      </c>
      <c r="J26" s="58">
        <v>0</v>
      </c>
      <c r="K26" s="58">
        <v>0</v>
      </c>
      <c r="L26" s="58">
        <v>0</v>
      </c>
      <c r="M26" s="58">
        <v>0</v>
      </c>
      <c r="N26" s="76">
        <v>0</v>
      </c>
      <c r="O26" s="76">
        <v>0</v>
      </c>
      <c r="P26" s="76">
        <v>0</v>
      </c>
      <c r="Q26" s="76">
        <v>0</v>
      </c>
      <c r="R26" s="76">
        <v>0</v>
      </c>
      <c r="S26" s="58">
        <v>0</v>
      </c>
    </row>
    <row r="27" spans="1:19" x14ac:dyDescent="0.2">
      <c r="A27" s="8"/>
      <c r="B27" s="2" t="s">
        <v>64</v>
      </c>
      <c r="C27" s="10">
        <v>29</v>
      </c>
      <c r="D27" s="10"/>
      <c r="E27" s="12"/>
      <c r="G27" s="57" t="s">
        <v>65</v>
      </c>
      <c r="H27" s="56">
        <f t="shared" ref="H27:S27" si="5">SUM(H28:H30)</f>
        <v>798.12199999999996</v>
      </c>
      <c r="I27" s="56">
        <f t="shared" si="5"/>
        <v>944.99799999999993</v>
      </c>
      <c r="J27" s="56">
        <f t="shared" si="5"/>
        <v>1041.625</v>
      </c>
      <c r="K27" s="56">
        <f t="shared" si="5"/>
        <v>1241.085</v>
      </c>
      <c r="L27" s="56">
        <f t="shared" si="5"/>
        <v>1134.7460000000001</v>
      </c>
      <c r="M27" s="56">
        <f t="shared" si="5"/>
        <v>1108.5110000000002</v>
      </c>
      <c r="N27" s="77">
        <f t="shared" si="5"/>
        <v>831.75</v>
      </c>
      <c r="O27" s="77">
        <f t="shared" si="5"/>
        <v>697</v>
      </c>
      <c r="P27" s="77">
        <f t="shared" si="5"/>
        <v>527</v>
      </c>
      <c r="Q27" s="77">
        <f t="shared" si="5"/>
        <v>427</v>
      </c>
      <c r="R27" s="77">
        <f t="shared" si="5"/>
        <v>427</v>
      </c>
      <c r="S27" s="56">
        <f t="shared" si="5"/>
        <v>427</v>
      </c>
    </row>
    <row r="28" spans="1:19" ht="12" x14ac:dyDescent="0.2">
      <c r="A28" s="8"/>
      <c r="B28" s="2" t="s">
        <v>66</v>
      </c>
      <c r="C28" s="8" t="s">
        <v>67</v>
      </c>
      <c r="D28" s="8"/>
      <c r="E28" s="11" t="s">
        <v>11</v>
      </c>
      <c r="G28" s="57" t="s">
        <v>68</v>
      </c>
      <c r="H28" s="58">
        <v>0</v>
      </c>
      <c r="I28" s="58">
        <v>0</v>
      </c>
      <c r="J28" s="58">
        <v>0</v>
      </c>
      <c r="K28" s="58">
        <v>0</v>
      </c>
      <c r="L28" s="58">
        <v>0</v>
      </c>
      <c r="M28" s="58">
        <v>0</v>
      </c>
      <c r="N28" s="76">
        <v>0</v>
      </c>
      <c r="O28" s="76">
        <v>0</v>
      </c>
      <c r="P28" s="76">
        <v>0</v>
      </c>
      <c r="Q28" s="76">
        <v>0</v>
      </c>
      <c r="R28" s="76">
        <v>0</v>
      </c>
      <c r="S28" s="58">
        <v>0</v>
      </c>
    </row>
    <row r="29" spans="1:19" ht="12" x14ac:dyDescent="0.2">
      <c r="A29" s="8"/>
      <c r="B29" s="2" t="s">
        <v>69</v>
      </c>
      <c r="C29" s="10">
        <v>298</v>
      </c>
      <c r="D29" s="10"/>
      <c r="E29" s="11" t="s">
        <v>11</v>
      </c>
      <c r="G29" s="57" t="s">
        <v>70</v>
      </c>
      <c r="H29" s="58">
        <v>812.75099999999998</v>
      </c>
      <c r="I29" s="58">
        <v>798.12199999999996</v>
      </c>
      <c r="J29" s="58">
        <v>944.99800000000005</v>
      </c>
      <c r="K29" s="58">
        <v>1041.626</v>
      </c>
      <c r="L29" s="58">
        <v>1241.0840000000001</v>
      </c>
      <c r="M29" s="58">
        <v>1134.7460000000001</v>
      </c>
      <c r="N29" s="76">
        <v>1108.5</v>
      </c>
      <c r="O29" s="76">
        <v>832</v>
      </c>
      <c r="P29" s="76">
        <v>697</v>
      </c>
      <c r="Q29" s="76">
        <v>527</v>
      </c>
      <c r="R29" s="76">
        <v>427</v>
      </c>
      <c r="S29" s="58">
        <v>427</v>
      </c>
    </row>
    <row r="30" spans="1:19" ht="12" x14ac:dyDescent="0.2">
      <c r="A30" s="8"/>
      <c r="B30" s="2" t="s">
        <v>71</v>
      </c>
      <c r="C30" s="10">
        <v>299</v>
      </c>
      <c r="D30" s="10"/>
      <c r="E30" s="11" t="s">
        <v>72</v>
      </c>
      <c r="G30" s="57" t="s">
        <v>73</v>
      </c>
      <c r="H30" s="58">
        <v>-14.629</v>
      </c>
      <c r="I30" s="58">
        <v>146.876</v>
      </c>
      <c r="J30" s="58">
        <v>96.626999999999995</v>
      </c>
      <c r="K30" s="58">
        <v>199.459</v>
      </c>
      <c r="L30" s="58">
        <v>-106.33799999999999</v>
      </c>
      <c r="M30" s="58">
        <v>-26.234999999999999</v>
      </c>
      <c r="N30" s="76">
        <v>-276.75</v>
      </c>
      <c r="O30" s="76">
        <v>-135</v>
      </c>
      <c r="P30" s="76">
        <v>-170</v>
      </c>
      <c r="Q30" s="76">
        <v>-100</v>
      </c>
      <c r="R30" s="76">
        <v>0</v>
      </c>
      <c r="S30" s="58">
        <v>0</v>
      </c>
    </row>
    <row r="31" spans="1:19" x14ac:dyDescent="0.2">
      <c r="A31" s="20"/>
      <c r="B31" s="2" t="s">
        <v>368</v>
      </c>
      <c r="C31" s="83" t="s">
        <v>369</v>
      </c>
      <c r="D31" s="21"/>
      <c r="E31" s="22"/>
      <c r="F31" s="20"/>
      <c r="G31" s="62" t="s">
        <v>74</v>
      </c>
      <c r="H31" s="63">
        <f t="shared" ref="H31:S31" si="6">H4-H18</f>
        <v>0</v>
      </c>
      <c r="I31" s="63">
        <f t="shared" si="6"/>
        <v>-9.999999998626663E-4</v>
      </c>
      <c r="J31" s="63">
        <f t="shared" si="6"/>
        <v>0</v>
      </c>
      <c r="K31" s="63">
        <f t="shared" si="6"/>
        <v>-1.0000000002037268E-3</v>
      </c>
      <c r="L31" s="63">
        <f t="shared" si="6"/>
        <v>0</v>
      </c>
      <c r="M31" s="63">
        <f t="shared" si="6"/>
        <v>0</v>
      </c>
      <c r="N31" s="85">
        <f t="shared" si="6"/>
        <v>9.9999999999909051E-3</v>
      </c>
      <c r="O31" s="85">
        <f t="shared" si="6"/>
        <v>0</v>
      </c>
      <c r="P31" s="85">
        <f t="shared" si="6"/>
        <v>0</v>
      </c>
      <c r="Q31" s="85">
        <f t="shared" si="6"/>
        <v>0</v>
      </c>
      <c r="R31" s="85">
        <f t="shared" si="6"/>
        <v>0</v>
      </c>
      <c r="S31" s="63">
        <f t="shared" si="6"/>
        <v>0</v>
      </c>
    </row>
    <row r="32" spans="1:19" x14ac:dyDescent="0.2">
      <c r="A32" s="8"/>
      <c r="B32" s="2"/>
      <c r="C32" s="10"/>
      <c r="D32" s="10"/>
      <c r="E32" s="9"/>
      <c r="G32" s="53" t="s">
        <v>75</v>
      </c>
      <c r="H32" s="64">
        <v>2011</v>
      </c>
      <c r="I32" s="64">
        <f t="shared" ref="I32:S32" si="7">H32+1</f>
        <v>2012</v>
      </c>
      <c r="J32" s="64">
        <f t="shared" si="7"/>
        <v>2013</v>
      </c>
      <c r="K32" s="64">
        <f t="shared" si="7"/>
        <v>2014</v>
      </c>
      <c r="L32" s="64">
        <f t="shared" si="7"/>
        <v>2015</v>
      </c>
      <c r="M32" s="64">
        <f t="shared" si="7"/>
        <v>2016</v>
      </c>
      <c r="N32" s="87">
        <f t="shared" si="7"/>
        <v>2017</v>
      </c>
      <c r="O32" s="87">
        <f t="shared" si="7"/>
        <v>2018</v>
      </c>
      <c r="P32" s="87">
        <f t="shared" si="7"/>
        <v>2019</v>
      </c>
      <c r="Q32" s="87">
        <f t="shared" si="7"/>
        <v>2020</v>
      </c>
      <c r="R32" s="87">
        <f t="shared" si="7"/>
        <v>2021</v>
      </c>
      <c r="S32" s="64">
        <f t="shared" si="7"/>
        <v>2022</v>
      </c>
    </row>
    <row r="33" spans="1:19" x14ac:dyDescent="0.2">
      <c r="A33" s="8"/>
      <c r="B33" s="2" t="s">
        <v>76</v>
      </c>
      <c r="C33" s="10">
        <v>3</v>
      </c>
      <c r="D33" s="10"/>
      <c r="E33" s="9"/>
      <c r="G33" s="55" t="s">
        <v>77</v>
      </c>
      <c r="H33" s="56">
        <f t="shared" ref="H33:S33" si="8">SUM(H34:H37)</f>
        <v>2863.3019999999997</v>
      </c>
      <c r="I33" s="56">
        <f t="shared" si="8"/>
        <v>1466.192</v>
      </c>
      <c r="J33" s="56">
        <f t="shared" si="8"/>
        <v>1720.318</v>
      </c>
      <c r="K33" s="56">
        <f t="shared" si="8"/>
        <v>4382.3010000000004</v>
      </c>
      <c r="L33" s="56">
        <f t="shared" si="8"/>
        <v>1480.028</v>
      </c>
      <c r="M33" s="56">
        <f t="shared" si="8"/>
        <v>1661.558</v>
      </c>
      <c r="N33" s="77">
        <f t="shared" si="8"/>
        <v>3397.97</v>
      </c>
      <c r="O33" s="77">
        <f t="shared" si="8"/>
        <v>1730.37</v>
      </c>
      <c r="P33" s="77">
        <f t="shared" si="8"/>
        <v>4590.3600000000006</v>
      </c>
      <c r="Q33" s="77">
        <f t="shared" si="8"/>
        <v>1600.37</v>
      </c>
      <c r="R33" s="77">
        <f t="shared" si="8"/>
        <v>1900.36</v>
      </c>
      <c r="S33" s="56">
        <f t="shared" si="8"/>
        <v>4280</v>
      </c>
    </row>
    <row r="34" spans="1:19" ht="12" x14ac:dyDescent="0.2">
      <c r="A34" s="8"/>
      <c r="B34" s="2" t="s">
        <v>78</v>
      </c>
      <c r="C34" s="10">
        <v>30</v>
      </c>
      <c r="D34" s="10"/>
      <c r="E34" s="11" t="s">
        <v>11</v>
      </c>
      <c r="G34" s="57" t="s">
        <v>79</v>
      </c>
      <c r="H34" s="58">
        <v>0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76">
        <v>0</v>
      </c>
      <c r="O34" s="76">
        <v>0</v>
      </c>
      <c r="P34" s="76">
        <v>0</v>
      </c>
      <c r="Q34" s="76">
        <v>0</v>
      </c>
      <c r="R34" s="76">
        <v>0</v>
      </c>
      <c r="S34" s="58">
        <v>0</v>
      </c>
    </row>
    <row r="35" spans="1:19" ht="12" x14ac:dyDescent="0.2">
      <c r="A35" s="8"/>
      <c r="B35" s="2" t="s">
        <v>80</v>
      </c>
      <c r="C35" s="10">
        <v>32</v>
      </c>
      <c r="D35" s="10"/>
      <c r="E35" s="11" t="s">
        <v>11</v>
      </c>
      <c r="G35" s="57" t="s">
        <v>81</v>
      </c>
      <c r="H35" s="58">
        <v>594.18700000000001</v>
      </c>
      <c r="I35" s="58">
        <v>30.536999999999999</v>
      </c>
      <c r="J35" s="58">
        <v>253.5</v>
      </c>
      <c r="K35" s="58">
        <v>1458.048</v>
      </c>
      <c r="L35" s="58">
        <v>0.86799999999999999</v>
      </c>
      <c r="M35" s="58">
        <v>174.155</v>
      </c>
      <c r="N35" s="76">
        <v>622.64</v>
      </c>
      <c r="O35" s="76">
        <v>240</v>
      </c>
      <c r="P35" s="76">
        <v>1300</v>
      </c>
      <c r="Q35" s="76">
        <v>10</v>
      </c>
      <c r="R35" s="76">
        <v>210</v>
      </c>
      <c r="S35" s="58">
        <v>580</v>
      </c>
    </row>
    <row r="36" spans="1:19" ht="12" x14ac:dyDescent="0.2">
      <c r="A36" s="13"/>
      <c r="B36" s="2" t="s">
        <v>82</v>
      </c>
      <c r="C36" s="10">
        <v>35</v>
      </c>
      <c r="D36" s="10"/>
      <c r="E36" s="11" t="s">
        <v>11</v>
      </c>
      <c r="F36" s="13"/>
      <c r="G36" s="57" t="s">
        <v>83</v>
      </c>
      <c r="H36" s="58">
        <v>2269.1149999999998</v>
      </c>
      <c r="I36" s="58">
        <v>1439.825</v>
      </c>
      <c r="J36" s="58">
        <v>1466.818</v>
      </c>
      <c r="K36" s="58">
        <v>2924.2530000000002</v>
      </c>
      <c r="L36" s="58">
        <v>1479.16</v>
      </c>
      <c r="M36" s="58">
        <v>1487.403</v>
      </c>
      <c r="N36" s="76">
        <v>2775.33</v>
      </c>
      <c r="O36" s="76">
        <v>1490.37</v>
      </c>
      <c r="P36" s="76">
        <v>3290.36</v>
      </c>
      <c r="Q36" s="76">
        <v>1590.37</v>
      </c>
      <c r="R36" s="76">
        <v>1690.36</v>
      </c>
      <c r="S36" s="58">
        <v>3700</v>
      </c>
    </row>
    <row r="37" spans="1:19" ht="12" x14ac:dyDescent="0.2">
      <c r="A37" s="8"/>
      <c r="B37" s="2" t="s">
        <v>84</v>
      </c>
      <c r="C37" s="10">
        <v>38</v>
      </c>
      <c r="D37" s="10"/>
      <c r="E37" s="11" t="s">
        <v>72</v>
      </c>
      <c r="G37" s="57" t="s">
        <v>85</v>
      </c>
      <c r="H37" s="58">
        <v>0</v>
      </c>
      <c r="I37" s="58">
        <v>-4.17</v>
      </c>
      <c r="J37" s="58">
        <v>0</v>
      </c>
      <c r="K37" s="58">
        <v>0</v>
      </c>
      <c r="L37" s="58">
        <v>0</v>
      </c>
      <c r="M37" s="58">
        <v>0</v>
      </c>
      <c r="N37" s="76">
        <v>0</v>
      </c>
      <c r="O37" s="462">
        <v>0</v>
      </c>
      <c r="P37" s="76">
        <v>0</v>
      </c>
      <c r="Q37" s="76">
        <v>0</v>
      </c>
      <c r="R37" s="76">
        <v>0</v>
      </c>
      <c r="S37" s="58">
        <v>0</v>
      </c>
    </row>
    <row r="38" spans="1:19" x14ac:dyDescent="0.2">
      <c r="A38" s="8"/>
      <c r="B38" s="2" t="s">
        <v>86</v>
      </c>
      <c r="C38" s="10">
        <v>4</v>
      </c>
      <c r="D38" s="10"/>
      <c r="E38" s="23"/>
      <c r="G38" s="57" t="s">
        <v>87</v>
      </c>
      <c r="H38" s="56">
        <f t="shared" ref="H38:S38" si="9">H39+H40</f>
        <v>-163.34200000000001</v>
      </c>
      <c r="I38" s="56">
        <f t="shared" si="9"/>
        <v>0</v>
      </c>
      <c r="J38" s="56">
        <f t="shared" si="9"/>
        <v>0</v>
      </c>
      <c r="K38" s="56">
        <f t="shared" si="9"/>
        <v>-178.35</v>
      </c>
      <c r="L38" s="56">
        <f t="shared" si="9"/>
        <v>0</v>
      </c>
      <c r="M38" s="56">
        <f t="shared" si="9"/>
        <v>-816.08</v>
      </c>
      <c r="N38" s="77">
        <f t="shared" si="9"/>
        <v>-941.75</v>
      </c>
      <c r="O38" s="77">
        <f t="shared" si="9"/>
        <v>-880</v>
      </c>
      <c r="P38" s="77">
        <f t="shared" si="9"/>
        <v>-840</v>
      </c>
      <c r="Q38" s="77">
        <f t="shared" si="9"/>
        <v>-1000</v>
      </c>
      <c r="R38" s="77">
        <f t="shared" si="9"/>
        <v>-1000</v>
      </c>
      <c r="S38" s="56">
        <f t="shared" si="9"/>
        <v>-1000</v>
      </c>
    </row>
    <row r="39" spans="1:19" ht="12" x14ac:dyDescent="0.2">
      <c r="A39" s="8"/>
      <c r="B39" s="2" t="s">
        <v>88</v>
      </c>
      <c r="C39" s="10">
        <v>41</v>
      </c>
      <c r="D39" s="10"/>
      <c r="E39" s="11" t="s">
        <v>89</v>
      </c>
      <c r="G39" s="57" t="s">
        <v>90</v>
      </c>
      <c r="H39" s="58">
        <v>0</v>
      </c>
      <c r="I39" s="58">
        <v>0</v>
      </c>
      <c r="J39" s="58">
        <v>0</v>
      </c>
      <c r="K39" s="58">
        <v>0</v>
      </c>
      <c r="L39" s="58">
        <v>0</v>
      </c>
      <c r="M39" s="58">
        <v>0</v>
      </c>
      <c r="N39" s="76">
        <v>0</v>
      </c>
      <c r="O39" s="76">
        <v>0</v>
      </c>
      <c r="P39" s="76">
        <v>0</v>
      </c>
      <c r="Q39" s="76">
        <v>0</v>
      </c>
      <c r="R39" s="76">
        <v>0</v>
      </c>
      <c r="S39" s="58">
        <v>0</v>
      </c>
    </row>
    <row r="40" spans="1:19" ht="12" x14ac:dyDescent="0.2">
      <c r="A40" s="8"/>
      <c r="B40" s="2" t="s">
        <v>91</v>
      </c>
      <c r="C40" s="10">
        <v>45</v>
      </c>
      <c r="D40" s="10"/>
      <c r="E40" s="11" t="s">
        <v>89</v>
      </c>
      <c r="G40" s="57" t="s">
        <v>92</v>
      </c>
      <c r="H40" s="58">
        <v>-163.34200000000001</v>
      </c>
      <c r="I40" s="58">
        <v>0</v>
      </c>
      <c r="J40" s="58">
        <v>0</v>
      </c>
      <c r="K40" s="58">
        <v>-178.35</v>
      </c>
      <c r="L40" s="58">
        <v>0</v>
      </c>
      <c r="M40" s="58">
        <v>-816.08</v>
      </c>
      <c r="N40" s="76">
        <v>-941.75</v>
      </c>
      <c r="O40" s="76">
        <v>-880</v>
      </c>
      <c r="P40" s="76">
        <v>-840</v>
      </c>
      <c r="Q40" s="76">
        <v>-1000</v>
      </c>
      <c r="R40" s="76">
        <v>-1000</v>
      </c>
      <c r="S40" s="58">
        <v>-1000</v>
      </c>
    </row>
    <row r="41" spans="1:19" x14ac:dyDescent="0.2">
      <c r="A41" s="13"/>
      <c r="B41" s="2" t="s">
        <v>93</v>
      </c>
      <c r="C41" s="10" t="s">
        <v>94</v>
      </c>
      <c r="D41" s="10"/>
      <c r="E41" s="23"/>
      <c r="F41" s="13"/>
      <c r="G41" s="57" t="s">
        <v>95</v>
      </c>
      <c r="H41" s="56">
        <f t="shared" ref="H41:S41" si="10">SUM(H42:H45)</f>
        <v>-2718.6990000000001</v>
      </c>
      <c r="I41" s="56">
        <f t="shared" si="10"/>
        <v>-1320.6</v>
      </c>
      <c r="J41" s="56">
        <f t="shared" si="10"/>
        <v>-1623.69</v>
      </c>
      <c r="K41" s="56">
        <f t="shared" si="10"/>
        <v>-4004.4919999999997</v>
      </c>
      <c r="L41" s="56">
        <f t="shared" si="10"/>
        <v>-1589.0409999999999</v>
      </c>
      <c r="M41" s="56">
        <f t="shared" si="10"/>
        <v>-873.11599999999999</v>
      </c>
      <c r="N41" s="77">
        <f t="shared" si="10"/>
        <v>-2732.9700000000003</v>
      </c>
      <c r="O41" s="77">
        <f t="shared" si="10"/>
        <v>-985.48</v>
      </c>
      <c r="P41" s="77">
        <f t="shared" si="10"/>
        <v>-3920</v>
      </c>
      <c r="Q41" s="77">
        <f t="shared" si="10"/>
        <v>-700</v>
      </c>
      <c r="R41" s="77">
        <f t="shared" si="10"/>
        <v>-900</v>
      </c>
      <c r="S41" s="56">
        <f t="shared" si="10"/>
        <v>-3280</v>
      </c>
    </row>
    <row r="42" spans="1:19" ht="12" x14ac:dyDescent="0.2">
      <c r="A42" s="8"/>
      <c r="B42" s="2" t="s">
        <v>96</v>
      </c>
      <c r="C42" s="10">
        <v>50</v>
      </c>
      <c r="D42" s="10"/>
      <c r="E42" s="11" t="s">
        <v>89</v>
      </c>
      <c r="G42" s="57" t="s">
        <v>97</v>
      </c>
      <c r="H42" s="58">
        <v>-154.268</v>
      </c>
      <c r="I42" s="58">
        <v>-151.755</v>
      </c>
      <c r="J42" s="58">
        <v>-170.63200000000001</v>
      </c>
      <c r="K42" s="58">
        <v>-196.959</v>
      </c>
      <c r="L42" s="58">
        <v>-229.92599999999999</v>
      </c>
      <c r="M42" s="58">
        <v>-254.78</v>
      </c>
      <c r="N42" s="76">
        <v>-840.78</v>
      </c>
      <c r="O42" s="76">
        <v>-448.66</v>
      </c>
      <c r="P42" s="76">
        <v>-900</v>
      </c>
      <c r="Q42" s="76">
        <v>-350</v>
      </c>
      <c r="R42" s="76">
        <v>-400</v>
      </c>
      <c r="S42" s="58">
        <v>-800</v>
      </c>
    </row>
    <row r="43" spans="1:19" ht="12" x14ac:dyDescent="0.2">
      <c r="A43" s="8"/>
      <c r="B43" s="2" t="s">
        <v>98</v>
      </c>
      <c r="C43" s="10">
        <v>55</v>
      </c>
      <c r="D43" s="10"/>
      <c r="E43" s="11" t="s">
        <v>89</v>
      </c>
      <c r="G43" s="57" t="s">
        <v>99</v>
      </c>
      <c r="H43" s="58">
        <v>-2562.1990000000001</v>
      </c>
      <c r="I43" s="58">
        <v>-1168.425</v>
      </c>
      <c r="J43" s="58">
        <v>-1452.3119999999999</v>
      </c>
      <c r="K43" s="58">
        <v>-3807.527</v>
      </c>
      <c r="L43" s="58">
        <v>-1359.115</v>
      </c>
      <c r="M43" s="58">
        <v>-618.33600000000001</v>
      </c>
      <c r="N43" s="76">
        <v>-1892.19</v>
      </c>
      <c r="O43" s="76">
        <v>-536.82000000000005</v>
      </c>
      <c r="P43" s="76">
        <v>-3020</v>
      </c>
      <c r="Q43" s="76">
        <v>-350</v>
      </c>
      <c r="R43" s="76">
        <v>-500</v>
      </c>
      <c r="S43" s="58">
        <v>-2480</v>
      </c>
    </row>
    <row r="44" spans="1:19" ht="12" x14ac:dyDescent="0.2">
      <c r="A44" s="13"/>
      <c r="B44" s="2" t="s">
        <v>100</v>
      </c>
      <c r="C44" s="10">
        <v>60</v>
      </c>
      <c r="D44" s="10"/>
      <c r="E44" s="11" t="s">
        <v>89</v>
      </c>
      <c r="F44" s="13"/>
      <c r="G44" s="57" t="s">
        <v>101</v>
      </c>
      <c r="H44" s="58">
        <v>0</v>
      </c>
      <c r="I44" s="58">
        <v>0</v>
      </c>
      <c r="J44" s="58">
        <v>0</v>
      </c>
      <c r="K44" s="58">
        <v>-6.0000000000000001E-3</v>
      </c>
      <c r="L44" s="58">
        <v>0</v>
      </c>
      <c r="M44" s="58">
        <v>0</v>
      </c>
      <c r="N44" s="76">
        <v>0</v>
      </c>
      <c r="O44" s="76">
        <v>0</v>
      </c>
      <c r="P44" s="76">
        <v>0</v>
      </c>
      <c r="Q44" s="76">
        <v>0</v>
      </c>
      <c r="R44" s="76">
        <v>0</v>
      </c>
      <c r="S44" s="58">
        <v>0</v>
      </c>
    </row>
    <row r="45" spans="1:19" ht="12" x14ac:dyDescent="0.2">
      <c r="A45" s="8"/>
      <c r="B45" s="2" t="s">
        <v>102</v>
      </c>
      <c r="C45" s="10">
        <v>61</v>
      </c>
      <c r="D45" s="10"/>
      <c r="E45" s="11" t="s">
        <v>89</v>
      </c>
      <c r="G45" s="57" t="s">
        <v>103</v>
      </c>
      <c r="H45" s="58">
        <v>-2.2320000000000002</v>
      </c>
      <c r="I45" s="58">
        <v>-0.42</v>
      </c>
      <c r="J45" s="58">
        <v>-0.746</v>
      </c>
      <c r="K45" s="58">
        <v>0</v>
      </c>
      <c r="L45" s="58">
        <v>0</v>
      </c>
      <c r="M45" s="58">
        <v>0</v>
      </c>
      <c r="N45" s="76">
        <v>0</v>
      </c>
      <c r="O45" s="76">
        <v>0</v>
      </c>
      <c r="P45" s="76">
        <v>0</v>
      </c>
      <c r="Q45" s="76">
        <v>0</v>
      </c>
      <c r="R45" s="76">
        <v>0</v>
      </c>
      <c r="S45" s="58">
        <v>0</v>
      </c>
    </row>
    <row r="46" spans="1:19" x14ac:dyDescent="0.2">
      <c r="A46" s="8"/>
      <c r="B46" s="2" t="s">
        <v>104</v>
      </c>
      <c r="C46" s="10"/>
      <c r="D46" s="10"/>
      <c r="E46" s="9"/>
      <c r="G46" s="57" t="s">
        <v>105</v>
      </c>
      <c r="H46" s="56">
        <f t="shared" ref="H46:S46" si="11">H33+H38+H41</f>
        <v>-18.739000000000487</v>
      </c>
      <c r="I46" s="56">
        <f t="shared" si="11"/>
        <v>145.5920000000001</v>
      </c>
      <c r="J46" s="56">
        <f t="shared" si="11"/>
        <v>96.627999999999929</v>
      </c>
      <c r="K46" s="56">
        <f t="shared" si="11"/>
        <v>199.45900000000029</v>
      </c>
      <c r="L46" s="56">
        <f t="shared" si="11"/>
        <v>-109.01299999999992</v>
      </c>
      <c r="M46" s="56">
        <f t="shared" si="11"/>
        <v>-27.638000000000034</v>
      </c>
      <c r="N46" s="77">
        <f t="shared" si="11"/>
        <v>-276.75000000000045</v>
      </c>
      <c r="O46" s="77">
        <f t="shared" si="11"/>
        <v>-135.11000000000013</v>
      </c>
      <c r="P46" s="77">
        <f t="shared" si="11"/>
        <v>-169.63999999999942</v>
      </c>
      <c r="Q46" s="77">
        <f t="shared" si="11"/>
        <v>-99.630000000000109</v>
      </c>
      <c r="R46" s="77">
        <f t="shared" si="11"/>
        <v>0.35999999999989996</v>
      </c>
      <c r="S46" s="56">
        <f t="shared" si="11"/>
        <v>0</v>
      </c>
    </row>
    <row r="47" spans="1:19" ht="12" x14ac:dyDescent="0.2">
      <c r="A47" s="8"/>
      <c r="B47" s="2" t="s">
        <v>106</v>
      </c>
      <c r="C47" s="10">
        <v>65</v>
      </c>
      <c r="D47" s="10"/>
      <c r="E47" s="11" t="s">
        <v>72</v>
      </c>
      <c r="G47" s="57" t="s">
        <v>107</v>
      </c>
      <c r="H47" s="58">
        <v>4.1100000000000003</v>
      </c>
      <c r="I47" s="58">
        <v>1.284</v>
      </c>
      <c r="J47" s="58">
        <v>0</v>
      </c>
      <c r="K47" s="58">
        <v>-5.0000000000000001E-3</v>
      </c>
      <c r="L47" s="58">
        <v>2.6779999999999999</v>
      </c>
      <c r="M47" s="58">
        <v>1.403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</row>
    <row r="48" spans="1:19" x14ac:dyDescent="0.2">
      <c r="A48" s="8"/>
      <c r="B48" s="2" t="s">
        <v>108</v>
      </c>
      <c r="C48" s="10"/>
      <c r="D48" s="10"/>
      <c r="E48" s="9"/>
      <c r="G48" s="57" t="s">
        <v>109</v>
      </c>
      <c r="H48" s="56">
        <f t="shared" ref="H48:S48" si="12">H46+H47</f>
        <v>-14.629000000000488</v>
      </c>
      <c r="I48" s="56">
        <f t="shared" si="12"/>
        <v>146.87600000000009</v>
      </c>
      <c r="J48" s="56">
        <f t="shared" si="12"/>
        <v>96.627999999999929</v>
      </c>
      <c r="K48" s="56">
        <f t="shared" si="12"/>
        <v>199.45400000000029</v>
      </c>
      <c r="L48" s="56">
        <f t="shared" si="12"/>
        <v>-106.33499999999992</v>
      </c>
      <c r="M48" s="56">
        <f t="shared" si="12"/>
        <v>-26.235000000000035</v>
      </c>
      <c r="N48" s="77">
        <f t="shared" si="12"/>
        <v>-276.75000000000045</v>
      </c>
      <c r="O48" s="77">
        <f t="shared" si="12"/>
        <v>-135.11000000000013</v>
      </c>
      <c r="P48" s="77">
        <f t="shared" si="12"/>
        <v>-169.63999999999942</v>
      </c>
      <c r="Q48" s="77">
        <f t="shared" si="12"/>
        <v>-99.630000000000109</v>
      </c>
      <c r="R48" s="77">
        <f t="shared" si="12"/>
        <v>0.35999999999989996</v>
      </c>
      <c r="S48" s="56">
        <f t="shared" si="12"/>
        <v>0</v>
      </c>
    </row>
    <row r="49" spans="1:19" ht="12" x14ac:dyDescent="0.2">
      <c r="A49" s="8"/>
      <c r="B49" s="2" t="s">
        <v>110</v>
      </c>
      <c r="C49" s="10">
        <v>68</v>
      </c>
      <c r="D49" s="10"/>
      <c r="E49" s="11" t="s">
        <v>89</v>
      </c>
      <c r="G49" s="57" t="s">
        <v>111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76">
        <v>0</v>
      </c>
      <c r="O49" s="76">
        <v>0</v>
      </c>
      <c r="P49" s="76">
        <v>0</v>
      </c>
      <c r="Q49" s="76">
        <v>0</v>
      </c>
      <c r="R49" s="76">
        <v>0</v>
      </c>
      <c r="S49" s="58">
        <v>0</v>
      </c>
    </row>
    <row r="50" spans="1:19" ht="12" x14ac:dyDescent="0.2">
      <c r="A50" s="8"/>
      <c r="B50" s="2" t="s">
        <v>112</v>
      </c>
      <c r="C50" s="10">
        <v>69</v>
      </c>
      <c r="D50" s="10"/>
      <c r="E50" s="11" t="s">
        <v>11</v>
      </c>
      <c r="G50" s="57" t="s">
        <v>113</v>
      </c>
      <c r="H50" s="58">
        <v>0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76">
        <v>0</v>
      </c>
      <c r="O50" s="76">
        <v>0</v>
      </c>
      <c r="P50" s="76">
        <v>0</v>
      </c>
      <c r="Q50" s="76">
        <v>0</v>
      </c>
      <c r="R50" s="76">
        <v>0</v>
      </c>
      <c r="S50" s="58">
        <v>0</v>
      </c>
    </row>
    <row r="51" spans="1:19" x14ac:dyDescent="0.2">
      <c r="A51" s="8"/>
      <c r="B51" s="2" t="s">
        <v>114</v>
      </c>
      <c r="C51" s="10"/>
      <c r="D51" s="10"/>
      <c r="E51" s="9"/>
      <c r="G51" s="57" t="s">
        <v>115</v>
      </c>
      <c r="H51" s="56">
        <f t="shared" ref="H51:S51" si="13">H48+H49+H50</f>
        <v>-14.629000000000488</v>
      </c>
      <c r="I51" s="56">
        <f t="shared" si="13"/>
        <v>146.87600000000009</v>
      </c>
      <c r="J51" s="56">
        <f t="shared" si="13"/>
        <v>96.627999999999929</v>
      </c>
      <c r="K51" s="56">
        <f t="shared" si="13"/>
        <v>199.45400000000029</v>
      </c>
      <c r="L51" s="56">
        <f t="shared" si="13"/>
        <v>-106.33499999999992</v>
      </c>
      <c r="M51" s="56">
        <f t="shared" si="13"/>
        <v>-26.235000000000035</v>
      </c>
      <c r="N51" s="77">
        <f t="shared" si="13"/>
        <v>-276.75000000000045</v>
      </c>
      <c r="O51" s="77">
        <f t="shared" si="13"/>
        <v>-135.11000000000013</v>
      </c>
      <c r="P51" s="77">
        <f t="shared" si="13"/>
        <v>-169.63999999999942</v>
      </c>
      <c r="Q51" s="77">
        <f t="shared" si="13"/>
        <v>-99.630000000000109</v>
      </c>
      <c r="R51" s="77">
        <f t="shared" si="13"/>
        <v>0.35999999999989996</v>
      </c>
      <c r="S51" s="56">
        <f t="shared" si="13"/>
        <v>0</v>
      </c>
    </row>
    <row r="52" spans="1:19" x14ac:dyDescent="0.2">
      <c r="A52" s="24"/>
      <c r="B52" s="2" t="s">
        <v>370</v>
      </c>
      <c r="C52" s="83" t="s">
        <v>371</v>
      </c>
      <c r="D52" s="25"/>
      <c r="E52" s="26"/>
      <c r="F52" s="24"/>
      <c r="G52" s="62" t="s">
        <v>116</v>
      </c>
      <c r="H52" s="63">
        <f t="shared" ref="H52:S52" si="14">H30-H51</f>
        <v>4.8849813083506888E-13</v>
      </c>
      <c r="I52" s="63">
        <f t="shared" si="14"/>
        <v>0</v>
      </c>
      <c r="J52" s="63">
        <f t="shared" si="14"/>
        <v>-9.9999999993372057E-4</v>
      </c>
      <c r="K52" s="63">
        <f t="shared" si="14"/>
        <v>4.9999999997112354E-3</v>
      </c>
      <c r="L52" s="63">
        <f t="shared" si="14"/>
        <v>-3.000000000071168E-3</v>
      </c>
      <c r="M52" s="63">
        <f t="shared" si="14"/>
        <v>3.5527136788005009E-14</v>
      </c>
      <c r="N52" s="85">
        <f t="shared" si="14"/>
        <v>4.5474735088646412E-13</v>
      </c>
      <c r="O52" s="85">
        <f t="shared" si="14"/>
        <v>0.11000000000012733</v>
      </c>
      <c r="P52" s="85">
        <f t="shared" si="14"/>
        <v>-0.36000000000058208</v>
      </c>
      <c r="Q52" s="85">
        <f t="shared" si="14"/>
        <v>-0.36999999999989086</v>
      </c>
      <c r="R52" s="85">
        <f t="shared" si="14"/>
        <v>-0.35999999999989996</v>
      </c>
      <c r="S52" s="63">
        <f t="shared" si="14"/>
        <v>0</v>
      </c>
    </row>
    <row r="53" spans="1:19" x14ac:dyDescent="0.2">
      <c r="A53" s="8"/>
      <c r="B53" s="2"/>
      <c r="C53" s="10"/>
      <c r="D53" s="10"/>
      <c r="E53" s="9"/>
      <c r="G53" s="65" t="s">
        <v>117</v>
      </c>
      <c r="H53" s="48"/>
      <c r="I53" s="48"/>
      <c r="J53" s="48"/>
      <c r="K53" s="48"/>
      <c r="L53" s="48"/>
      <c r="M53" s="48"/>
      <c r="N53" s="4"/>
      <c r="O53" s="4"/>
      <c r="P53" s="4"/>
      <c r="Q53" s="4"/>
      <c r="R53" s="4"/>
      <c r="S53" s="48"/>
    </row>
    <row r="54" spans="1:19" ht="12" x14ac:dyDescent="0.2">
      <c r="A54" s="8"/>
      <c r="B54" s="2"/>
      <c r="C54" s="10">
        <v>90</v>
      </c>
      <c r="D54" s="10"/>
      <c r="E54" s="11" t="s">
        <v>11</v>
      </c>
      <c r="G54" s="65" t="s">
        <v>118</v>
      </c>
      <c r="H54" s="58">
        <v>7</v>
      </c>
      <c r="I54" s="58">
        <v>7</v>
      </c>
      <c r="J54" s="58">
        <v>8</v>
      </c>
      <c r="K54" s="58">
        <v>9</v>
      </c>
      <c r="L54" s="58">
        <v>9</v>
      </c>
      <c r="M54" s="58">
        <v>9</v>
      </c>
      <c r="N54" s="76">
        <v>9</v>
      </c>
      <c r="O54" s="76">
        <v>9</v>
      </c>
      <c r="P54" s="76">
        <v>9</v>
      </c>
      <c r="Q54" s="76">
        <v>9</v>
      </c>
      <c r="R54" s="76">
        <v>9</v>
      </c>
      <c r="S54" s="58">
        <v>9</v>
      </c>
    </row>
    <row r="55" spans="1:19" ht="12" x14ac:dyDescent="0.2">
      <c r="A55" s="8"/>
      <c r="B55" s="2"/>
      <c r="C55" s="10"/>
      <c r="D55" s="10"/>
      <c r="E55" s="11" t="s">
        <v>11</v>
      </c>
      <c r="G55" s="65" t="s">
        <v>119</v>
      </c>
      <c r="H55" s="58"/>
      <c r="I55" s="58"/>
      <c r="J55" s="58"/>
      <c r="K55" s="58"/>
      <c r="L55" s="66"/>
      <c r="M55" s="66"/>
      <c r="N55" s="88"/>
      <c r="O55" s="88"/>
      <c r="P55" s="88"/>
      <c r="Q55" s="88"/>
      <c r="R55" s="88"/>
      <c r="S55" s="66"/>
    </row>
    <row r="56" spans="1:19" x14ac:dyDescent="0.2">
      <c r="A56" s="8"/>
      <c r="B56" s="2"/>
      <c r="C56" s="10"/>
      <c r="D56" s="10"/>
      <c r="E56" s="9"/>
      <c r="G56" s="67"/>
      <c r="H56" s="48"/>
      <c r="I56" s="48"/>
      <c r="J56" s="48"/>
      <c r="K56" s="48"/>
      <c r="L56" s="48"/>
      <c r="M56" s="48"/>
      <c r="N56" s="4"/>
      <c r="O56" s="4"/>
      <c r="P56" s="4"/>
      <c r="Q56" s="4"/>
      <c r="R56" s="4"/>
      <c r="S56" s="48"/>
    </row>
    <row r="57" spans="1:19" x14ac:dyDescent="0.2">
      <c r="A57" s="8"/>
      <c r="B57" s="2"/>
      <c r="C57" s="10"/>
      <c r="D57" s="29" t="s">
        <v>120</v>
      </c>
      <c r="E57" s="30" t="s">
        <v>3</v>
      </c>
      <c r="F57" s="9"/>
      <c r="G57" s="53" t="s">
        <v>121</v>
      </c>
      <c r="H57" s="64">
        <f t="shared" ref="H57:S57" si="15">H32</f>
        <v>2011</v>
      </c>
      <c r="I57" s="64">
        <f t="shared" si="15"/>
        <v>2012</v>
      </c>
      <c r="J57" s="64">
        <f t="shared" si="15"/>
        <v>2013</v>
      </c>
      <c r="K57" s="64">
        <f t="shared" si="15"/>
        <v>2014</v>
      </c>
      <c r="L57" s="64">
        <f t="shared" si="15"/>
        <v>2015</v>
      </c>
      <c r="M57" s="64">
        <f t="shared" si="15"/>
        <v>2016</v>
      </c>
      <c r="N57" s="87">
        <f t="shared" si="15"/>
        <v>2017</v>
      </c>
      <c r="O57" s="87">
        <f t="shared" si="15"/>
        <v>2018</v>
      </c>
      <c r="P57" s="87">
        <f t="shared" si="15"/>
        <v>2019</v>
      </c>
      <c r="Q57" s="87">
        <f t="shared" si="15"/>
        <v>2020</v>
      </c>
      <c r="R57" s="87">
        <f t="shared" si="15"/>
        <v>2021</v>
      </c>
      <c r="S57" s="64">
        <f t="shared" si="15"/>
        <v>2022</v>
      </c>
    </row>
    <row r="58" spans="1:19" ht="12" x14ac:dyDescent="0.2">
      <c r="A58" s="8"/>
      <c r="B58" s="31" t="s">
        <v>122</v>
      </c>
      <c r="C58" s="8" t="s">
        <v>123</v>
      </c>
      <c r="D58" s="32" t="s">
        <v>124</v>
      </c>
      <c r="E58" s="11" t="s">
        <v>89</v>
      </c>
      <c r="F58" s="12"/>
      <c r="G58" s="55" t="s">
        <v>125</v>
      </c>
      <c r="H58" s="58">
        <v>0</v>
      </c>
      <c r="I58" s="58">
        <v>0</v>
      </c>
      <c r="J58" s="58">
        <v>0</v>
      </c>
      <c r="K58" s="58">
        <v>0</v>
      </c>
      <c r="L58" s="58">
        <v>0</v>
      </c>
      <c r="M58" s="58">
        <v>0</v>
      </c>
      <c r="N58" s="76">
        <v>0</v>
      </c>
      <c r="O58" s="76">
        <v>0</v>
      </c>
      <c r="P58" s="76">
        <v>0</v>
      </c>
      <c r="Q58" s="76">
        <v>0</v>
      </c>
      <c r="R58" s="76">
        <v>0</v>
      </c>
      <c r="S58" s="58">
        <v>0</v>
      </c>
    </row>
    <row r="59" spans="1:19" ht="12" x14ac:dyDescent="0.2">
      <c r="A59" s="8"/>
      <c r="B59" s="31" t="s">
        <v>126</v>
      </c>
      <c r="C59" s="33" t="s">
        <v>127</v>
      </c>
      <c r="D59" s="32" t="s">
        <v>128</v>
      </c>
      <c r="E59" s="11" t="s">
        <v>11</v>
      </c>
      <c r="F59" s="12"/>
      <c r="G59" s="68" t="s">
        <v>129</v>
      </c>
      <c r="H59" s="58">
        <v>0</v>
      </c>
      <c r="I59" s="58">
        <v>5.8330000000000002</v>
      </c>
      <c r="J59" s="58">
        <v>0</v>
      </c>
      <c r="K59" s="58">
        <v>0</v>
      </c>
      <c r="L59" s="58">
        <v>0</v>
      </c>
      <c r="M59" s="58">
        <v>0</v>
      </c>
      <c r="N59" s="76">
        <v>0</v>
      </c>
      <c r="O59" s="76">
        <v>0</v>
      </c>
      <c r="P59" s="76">
        <v>0</v>
      </c>
      <c r="Q59" s="76">
        <v>0</v>
      </c>
      <c r="R59" s="76">
        <v>0</v>
      </c>
      <c r="S59" s="58">
        <v>0</v>
      </c>
    </row>
    <row r="60" spans="1:19" ht="12" x14ac:dyDescent="0.2">
      <c r="A60" s="8"/>
      <c r="B60" s="31" t="s">
        <v>130</v>
      </c>
      <c r="C60" s="34" t="s">
        <v>372</v>
      </c>
      <c r="D60" s="32" t="s">
        <v>131</v>
      </c>
      <c r="E60" s="11" t="s">
        <v>11</v>
      </c>
      <c r="F60" s="12"/>
      <c r="G60" s="57" t="s">
        <v>132</v>
      </c>
      <c r="H60" s="58">
        <v>63.911999999999999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76">
        <v>0</v>
      </c>
      <c r="O60" s="76">
        <v>0</v>
      </c>
      <c r="P60" s="76">
        <v>0</v>
      </c>
      <c r="Q60" s="76">
        <v>0</v>
      </c>
      <c r="R60" s="76">
        <v>0</v>
      </c>
      <c r="S60" s="58">
        <v>0</v>
      </c>
    </row>
    <row r="61" spans="1:19" ht="12" x14ac:dyDescent="0.2">
      <c r="A61" s="8"/>
      <c r="B61" s="31" t="s">
        <v>133</v>
      </c>
      <c r="C61" s="34" t="s">
        <v>134</v>
      </c>
      <c r="D61" s="34" t="s">
        <v>135</v>
      </c>
      <c r="E61" s="11" t="s">
        <v>89</v>
      </c>
      <c r="F61" s="12"/>
      <c r="G61" s="57" t="s">
        <v>136</v>
      </c>
      <c r="H61" s="58">
        <v>-63.911999999999999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76">
        <v>0</v>
      </c>
      <c r="O61" s="76">
        <v>0</v>
      </c>
      <c r="P61" s="76">
        <v>0</v>
      </c>
      <c r="Q61" s="76">
        <v>0</v>
      </c>
      <c r="R61" s="76">
        <v>0</v>
      </c>
      <c r="S61" s="58">
        <v>0</v>
      </c>
    </row>
    <row r="62" spans="1:19" ht="12" x14ac:dyDescent="0.2">
      <c r="A62" s="8"/>
      <c r="B62" s="31" t="s">
        <v>137</v>
      </c>
      <c r="C62" s="10">
        <v>253800</v>
      </c>
      <c r="D62" s="34" t="s">
        <v>131</v>
      </c>
      <c r="E62" s="11" t="s">
        <v>11</v>
      </c>
      <c r="F62" s="12"/>
      <c r="G62" s="57" t="s">
        <v>138</v>
      </c>
      <c r="H62" s="58">
        <v>0</v>
      </c>
      <c r="I62" s="58">
        <v>0</v>
      </c>
      <c r="J62" s="58">
        <v>0</v>
      </c>
      <c r="K62" s="58">
        <v>0</v>
      </c>
      <c r="L62" s="58">
        <v>0</v>
      </c>
      <c r="M62" s="58">
        <v>0</v>
      </c>
      <c r="N62" s="76">
        <v>0</v>
      </c>
      <c r="O62" s="76">
        <v>0</v>
      </c>
      <c r="P62" s="76">
        <v>0</v>
      </c>
      <c r="Q62" s="76">
        <v>0</v>
      </c>
      <c r="R62" s="76">
        <v>0</v>
      </c>
      <c r="S62" s="58">
        <v>0</v>
      </c>
    </row>
    <row r="63" spans="1:19" ht="12" x14ac:dyDescent="0.2">
      <c r="A63" s="8"/>
      <c r="B63" s="31" t="s">
        <v>139</v>
      </c>
      <c r="C63" s="10">
        <v>150</v>
      </c>
      <c r="D63" s="34" t="s">
        <v>135</v>
      </c>
      <c r="E63" s="11" t="s">
        <v>89</v>
      </c>
      <c r="F63" s="12"/>
      <c r="G63" s="57" t="s">
        <v>140</v>
      </c>
      <c r="H63" s="58">
        <v>0</v>
      </c>
      <c r="I63" s="58">
        <v>0</v>
      </c>
      <c r="J63" s="58">
        <v>0</v>
      </c>
      <c r="K63" s="58">
        <v>0</v>
      </c>
      <c r="L63" s="58">
        <v>0</v>
      </c>
      <c r="M63" s="58">
        <v>0</v>
      </c>
      <c r="N63" s="76">
        <v>0</v>
      </c>
      <c r="O63" s="76">
        <v>0</v>
      </c>
      <c r="P63" s="76">
        <v>0</v>
      </c>
      <c r="Q63" s="76">
        <v>0</v>
      </c>
      <c r="R63" s="76">
        <v>0</v>
      </c>
      <c r="S63" s="58">
        <v>0</v>
      </c>
    </row>
    <row r="64" spans="1:19" ht="12" x14ac:dyDescent="0.2">
      <c r="A64" s="8"/>
      <c r="B64" s="31" t="s">
        <v>141</v>
      </c>
      <c r="C64" s="34" t="s">
        <v>142</v>
      </c>
      <c r="D64" s="34" t="s">
        <v>131</v>
      </c>
      <c r="E64" s="11" t="s">
        <v>11</v>
      </c>
      <c r="F64" s="12"/>
      <c r="G64" s="57" t="s">
        <v>143</v>
      </c>
      <c r="H64" s="58">
        <v>0</v>
      </c>
      <c r="I64" s="58">
        <v>0</v>
      </c>
      <c r="J64" s="58">
        <v>0</v>
      </c>
      <c r="K64" s="58">
        <v>0</v>
      </c>
      <c r="L64" s="58">
        <v>0</v>
      </c>
      <c r="M64" s="58">
        <v>0</v>
      </c>
      <c r="N64" s="76">
        <v>0</v>
      </c>
      <c r="O64" s="76">
        <v>0</v>
      </c>
      <c r="P64" s="76">
        <v>0</v>
      </c>
      <c r="Q64" s="76">
        <v>0</v>
      </c>
      <c r="R64" s="76">
        <v>0</v>
      </c>
      <c r="S64" s="58">
        <v>0</v>
      </c>
    </row>
    <row r="65" spans="1:19" ht="12" x14ac:dyDescent="0.2">
      <c r="A65" s="8"/>
      <c r="B65" s="31" t="s">
        <v>144</v>
      </c>
      <c r="C65" s="8" t="s">
        <v>373</v>
      </c>
      <c r="D65" s="34" t="s">
        <v>135</v>
      </c>
      <c r="E65" s="11" t="s">
        <v>89</v>
      </c>
      <c r="F65" s="12"/>
      <c r="G65" s="57" t="s">
        <v>145</v>
      </c>
      <c r="H65" s="58">
        <v>0</v>
      </c>
      <c r="I65" s="58">
        <v>0</v>
      </c>
      <c r="J65" s="58">
        <v>0</v>
      </c>
      <c r="K65" s="58">
        <v>0</v>
      </c>
      <c r="L65" s="58">
        <v>0</v>
      </c>
      <c r="M65" s="58">
        <v>0</v>
      </c>
      <c r="N65" s="76">
        <v>0</v>
      </c>
      <c r="O65" s="76">
        <v>0</v>
      </c>
      <c r="P65" s="76">
        <v>0</v>
      </c>
      <c r="Q65" s="76">
        <v>0</v>
      </c>
      <c r="R65" s="76">
        <v>0</v>
      </c>
      <c r="S65" s="58">
        <v>0</v>
      </c>
    </row>
    <row r="66" spans="1:19" ht="12" x14ac:dyDescent="0.2">
      <c r="A66" s="8"/>
      <c r="B66" s="31" t="s">
        <v>146</v>
      </c>
      <c r="C66" s="8" t="s">
        <v>373</v>
      </c>
      <c r="D66" s="34" t="s">
        <v>131</v>
      </c>
      <c r="E66" s="11" t="s">
        <v>11</v>
      </c>
      <c r="F66" s="12"/>
      <c r="G66" s="57" t="s">
        <v>147</v>
      </c>
      <c r="H66" s="58">
        <v>0</v>
      </c>
      <c r="I66" s="58">
        <v>0</v>
      </c>
      <c r="J66" s="58">
        <v>0</v>
      </c>
      <c r="K66" s="58">
        <v>0</v>
      </c>
      <c r="L66" s="58">
        <v>0</v>
      </c>
      <c r="M66" s="58">
        <v>0</v>
      </c>
      <c r="N66" s="76">
        <v>0</v>
      </c>
      <c r="O66" s="76">
        <v>0</v>
      </c>
      <c r="P66" s="76">
        <v>0</v>
      </c>
      <c r="Q66" s="76">
        <v>0</v>
      </c>
      <c r="R66" s="76">
        <v>0</v>
      </c>
      <c r="S66" s="58">
        <v>0</v>
      </c>
    </row>
    <row r="67" spans="1:19" ht="12" x14ac:dyDescent="0.2">
      <c r="A67" s="8"/>
      <c r="B67" s="31" t="s">
        <v>148</v>
      </c>
      <c r="C67" s="8" t="s">
        <v>149</v>
      </c>
      <c r="D67" s="34" t="s">
        <v>135</v>
      </c>
      <c r="E67" s="11" t="s">
        <v>89</v>
      </c>
      <c r="F67" s="12"/>
      <c r="G67" s="57" t="s">
        <v>150</v>
      </c>
      <c r="H67" s="58">
        <v>0</v>
      </c>
      <c r="I67" s="58">
        <v>0</v>
      </c>
      <c r="J67" s="58">
        <v>0</v>
      </c>
      <c r="K67" s="58">
        <v>0</v>
      </c>
      <c r="L67" s="58">
        <v>0</v>
      </c>
      <c r="M67" s="58">
        <v>0</v>
      </c>
      <c r="N67" s="76">
        <v>0</v>
      </c>
      <c r="O67" s="76">
        <v>0</v>
      </c>
      <c r="P67" s="76">
        <v>0</v>
      </c>
      <c r="Q67" s="76">
        <v>0</v>
      </c>
      <c r="R67" s="76">
        <v>0</v>
      </c>
      <c r="S67" s="58">
        <v>0</v>
      </c>
    </row>
    <row r="68" spans="1:19" ht="12" x14ac:dyDescent="0.2">
      <c r="A68" s="8"/>
      <c r="B68" s="31" t="s">
        <v>151</v>
      </c>
      <c r="C68" s="8" t="s">
        <v>149</v>
      </c>
      <c r="D68" s="34" t="s">
        <v>131</v>
      </c>
      <c r="E68" s="11" t="s">
        <v>11</v>
      </c>
      <c r="F68" s="12"/>
      <c r="G68" s="57" t="s">
        <v>152</v>
      </c>
      <c r="H68" s="58">
        <v>0</v>
      </c>
      <c r="I68" s="58">
        <v>0</v>
      </c>
      <c r="J68" s="58">
        <v>0</v>
      </c>
      <c r="K68" s="58">
        <v>0</v>
      </c>
      <c r="L68" s="58">
        <v>0</v>
      </c>
      <c r="M68" s="58">
        <v>0</v>
      </c>
      <c r="N68" s="76">
        <v>0</v>
      </c>
      <c r="O68" s="76">
        <v>0</v>
      </c>
      <c r="P68" s="76">
        <v>0</v>
      </c>
      <c r="Q68" s="76">
        <v>0</v>
      </c>
      <c r="R68" s="76">
        <v>0</v>
      </c>
      <c r="S68" s="58">
        <v>0</v>
      </c>
    </row>
    <row r="69" spans="1:19" ht="12" x14ac:dyDescent="0.2">
      <c r="A69" s="8"/>
      <c r="B69" s="31" t="s">
        <v>153</v>
      </c>
      <c r="C69" s="34" t="s">
        <v>142</v>
      </c>
      <c r="D69" s="34" t="s">
        <v>131</v>
      </c>
      <c r="E69" s="11" t="s">
        <v>11</v>
      </c>
      <c r="F69" s="12"/>
      <c r="G69" s="57" t="s">
        <v>154</v>
      </c>
      <c r="H69" s="58">
        <v>0</v>
      </c>
      <c r="I69" s="58">
        <v>0</v>
      </c>
      <c r="J69" s="58">
        <v>0</v>
      </c>
      <c r="K69" s="58">
        <v>0</v>
      </c>
      <c r="L69" s="58">
        <v>0</v>
      </c>
      <c r="M69" s="58">
        <v>0</v>
      </c>
      <c r="N69" s="76">
        <v>0</v>
      </c>
      <c r="O69" s="76">
        <v>0</v>
      </c>
      <c r="P69" s="76">
        <v>0</v>
      </c>
      <c r="Q69" s="76">
        <v>0</v>
      </c>
      <c r="R69" s="76">
        <v>0</v>
      </c>
      <c r="S69" s="58">
        <v>0</v>
      </c>
    </row>
    <row r="70" spans="1:19" ht="12" x14ac:dyDescent="0.2">
      <c r="A70" s="8"/>
      <c r="B70" s="31" t="s">
        <v>155</v>
      </c>
      <c r="C70" s="35" t="s">
        <v>156</v>
      </c>
      <c r="D70" s="8"/>
      <c r="E70" s="11" t="s">
        <v>72</v>
      </c>
      <c r="F70" s="12"/>
      <c r="G70" s="57" t="s">
        <v>107</v>
      </c>
      <c r="H70" s="58">
        <v>1.63</v>
      </c>
      <c r="I70" s="58">
        <v>3.573</v>
      </c>
      <c r="J70" s="58">
        <v>0.192</v>
      </c>
      <c r="K70" s="58">
        <v>0</v>
      </c>
      <c r="L70" s="58">
        <v>1.2190000000000001</v>
      </c>
      <c r="M70" s="58">
        <v>2.2719999999999998</v>
      </c>
      <c r="N70" s="76">
        <v>0</v>
      </c>
      <c r="O70" s="76">
        <v>0</v>
      </c>
      <c r="P70" s="76">
        <v>0</v>
      </c>
      <c r="Q70" s="76">
        <v>0</v>
      </c>
      <c r="R70" s="76">
        <v>0</v>
      </c>
      <c r="S70" s="58">
        <v>0</v>
      </c>
    </row>
    <row r="71" spans="1:19" x14ac:dyDescent="0.2">
      <c r="A71" s="8"/>
      <c r="B71" s="31" t="s">
        <v>157</v>
      </c>
      <c r="C71" s="10"/>
      <c r="D71" s="8"/>
      <c r="E71" s="12"/>
      <c r="F71" s="12"/>
      <c r="G71" s="69" t="s">
        <v>158</v>
      </c>
      <c r="H71" s="56">
        <f t="shared" ref="H71:S71" si="16">SUM(H58:H70)</f>
        <v>1.63</v>
      </c>
      <c r="I71" s="56">
        <f t="shared" si="16"/>
        <v>9.4060000000000006</v>
      </c>
      <c r="J71" s="56">
        <f t="shared" si="16"/>
        <v>0.192</v>
      </c>
      <c r="K71" s="56">
        <f t="shared" si="16"/>
        <v>0</v>
      </c>
      <c r="L71" s="56">
        <f t="shared" si="16"/>
        <v>1.2190000000000001</v>
      </c>
      <c r="M71" s="56">
        <f t="shared" si="16"/>
        <v>2.2719999999999998</v>
      </c>
      <c r="N71" s="77">
        <f t="shared" si="16"/>
        <v>0</v>
      </c>
      <c r="O71" s="77">
        <f t="shared" si="16"/>
        <v>0</v>
      </c>
      <c r="P71" s="77">
        <f t="shared" si="16"/>
        <v>0</v>
      </c>
      <c r="Q71" s="77">
        <f t="shared" si="16"/>
        <v>0</v>
      </c>
      <c r="R71" s="77">
        <f t="shared" si="16"/>
        <v>0</v>
      </c>
      <c r="S71" s="56">
        <f t="shared" si="16"/>
        <v>0</v>
      </c>
    </row>
    <row r="72" spans="1:19" x14ac:dyDescent="0.2">
      <c r="A72" s="8"/>
      <c r="B72" s="2"/>
      <c r="C72" s="10"/>
      <c r="D72" s="8"/>
      <c r="E72" s="9"/>
      <c r="G72" s="67"/>
      <c r="H72" s="48"/>
      <c r="I72" s="48"/>
      <c r="J72" s="48"/>
      <c r="K72" s="48"/>
      <c r="L72" s="48"/>
      <c r="M72" s="48"/>
      <c r="N72" s="4"/>
      <c r="O72" s="4"/>
      <c r="P72" s="4"/>
      <c r="Q72" s="4"/>
      <c r="R72" s="4"/>
      <c r="S72" s="48"/>
    </row>
    <row r="73" spans="1:19" x14ac:dyDescent="0.2">
      <c r="A73" s="8"/>
      <c r="B73" s="2"/>
      <c r="C73" s="10"/>
      <c r="D73" s="29" t="s">
        <v>120</v>
      </c>
      <c r="E73" s="30" t="s">
        <v>3</v>
      </c>
      <c r="F73" s="9"/>
      <c r="G73" s="53" t="s">
        <v>159</v>
      </c>
      <c r="H73" s="64">
        <f t="shared" ref="H73:S73" si="17">H57</f>
        <v>2011</v>
      </c>
      <c r="I73" s="64">
        <f t="shared" si="17"/>
        <v>2012</v>
      </c>
      <c r="J73" s="64">
        <f t="shared" si="17"/>
        <v>2013</v>
      </c>
      <c r="K73" s="64">
        <f t="shared" si="17"/>
        <v>2014</v>
      </c>
      <c r="L73" s="64">
        <f t="shared" si="17"/>
        <v>2015</v>
      </c>
      <c r="M73" s="64">
        <f t="shared" si="17"/>
        <v>2016</v>
      </c>
      <c r="N73" s="87">
        <f t="shared" si="17"/>
        <v>2017</v>
      </c>
      <c r="O73" s="87">
        <f t="shared" si="17"/>
        <v>2018</v>
      </c>
      <c r="P73" s="87">
        <f t="shared" si="17"/>
        <v>2019</v>
      </c>
      <c r="Q73" s="87">
        <f t="shared" si="17"/>
        <v>2020</v>
      </c>
      <c r="R73" s="87">
        <f t="shared" si="17"/>
        <v>2021</v>
      </c>
      <c r="S73" s="64">
        <f t="shared" si="17"/>
        <v>2022</v>
      </c>
    </row>
    <row r="74" spans="1:19" ht="12" x14ac:dyDescent="0.2">
      <c r="A74" s="8"/>
      <c r="B74" s="2" t="s">
        <v>160</v>
      </c>
      <c r="C74" s="34" t="s">
        <v>161</v>
      </c>
      <c r="D74" s="34" t="s">
        <v>128</v>
      </c>
      <c r="E74" s="11" t="s">
        <v>11</v>
      </c>
      <c r="G74" s="55" t="s">
        <v>162</v>
      </c>
      <c r="H74" s="58">
        <v>0</v>
      </c>
      <c r="I74" s="58">
        <v>0</v>
      </c>
      <c r="J74" s="58">
        <v>0</v>
      </c>
      <c r="K74" s="58">
        <v>0</v>
      </c>
      <c r="L74" s="58">
        <v>0</v>
      </c>
      <c r="M74" s="58">
        <v>0</v>
      </c>
      <c r="N74" s="76">
        <v>0</v>
      </c>
      <c r="O74" s="76">
        <v>0</v>
      </c>
      <c r="P74" s="76">
        <v>0</v>
      </c>
      <c r="Q74" s="76">
        <v>0</v>
      </c>
      <c r="R74" s="76">
        <v>0</v>
      </c>
      <c r="S74" s="58">
        <v>0</v>
      </c>
    </row>
    <row r="75" spans="1:19" ht="12" x14ac:dyDescent="0.2">
      <c r="A75" s="8"/>
      <c r="B75" s="2" t="s">
        <v>163</v>
      </c>
      <c r="C75" s="34" t="s">
        <v>161</v>
      </c>
      <c r="D75" s="34" t="s">
        <v>124</v>
      </c>
      <c r="E75" s="11" t="s">
        <v>89</v>
      </c>
      <c r="F75" s="12"/>
      <c r="G75" s="57" t="s">
        <v>164</v>
      </c>
      <c r="H75" s="58">
        <v>0</v>
      </c>
      <c r="I75" s="58">
        <v>0</v>
      </c>
      <c r="J75" s="58">
        <v>0</v>
      </c>
      <c r="K75" s="58">
        <v>0</v>
      </c>
      <c r="L75" s="58">
        <v>0</v>
      </c>
      <c r="M75" s="58">
        <v>0</v>
      </c>
      <c r="N75" s="76">
        <v>0</v>
      </c>
      <c r="O75" s="76">
        <v>0</v>
      </c>
      <c r="P75" s="76">
        <v>0</v>
      </c>
      <c r="Q75" s="76">
        <v>0</v>
      </c>
      <c r="R75" s="76">
        <v>0</v>
      </c>
      <c r="S75" s="58">
        <v>0</v>
      </c>
    </row>
    <row r="76" spans="1:19" ht="12" x14ac:dyDescent="0.2">
      <c r="A76" s="8"/>
      <c r="B76" s="2" t="s">
        <v>165</v>
      </c>
      <c r="C76" s="34" t="s">
        <v>166</v>
      </c>
      <c r="D76" s="34" t="s">
        <v>131</v>
      </c>
      <c r="E76" s="11" t="s">
        <v>11</v>
      </c>
      <c r="G76" s="57" t="s">
        <v>167</v>
      </c>
      <c r="H76" s="58">
        <v>0</v>
      </c>
      <c r="I76" s="58">
        <v>0</v>
      </c>
      <c r="J76" s="58">
        <v>0</v>
      </c>
      <c r="K76" s="58">
        <v>0</v>
      </c>
      <c r="L76" s="58">
        <v>0</v>
      </c>
      <c r="M76" s="58">
        <v>0</v>
      </c>
      <c r="N76" s="76">
        <v>0</v>
      </c>
      <c r="O76" s="76">
        <v>0</v>
      </c>
      <c r="P76" s="76">
        <v>0</v>
      </c>
      <c r="Q76" s="76">
        <v>0</v>
      </c>
      <c r="R76" s="76">
        <v>0</v>
      </c>
      <c r="S76" s="58">
        <v>0</v>
      </c>
    </row>
    <row r="77" spans="1:19" ht="12" x14ac:dyDescent="0.2">
      <c r="A77" s="8"/>
      <c r="B77" s="2" t="s">
        <v>168</v>
      </c>
      <c r="C77" s="34" t="s">
        <v>166</v>
      </c>
      <c r="D77" s="34" t="s">
        <v>135</v>
      </c>
      <c r="E77" s="11" t="s">
        <v>89</v>
      </c>
      <c r="F77" s="12"/>
      <c r="G77" s="57" t="s">
        <v>169</v>
      </c>
      <c r="H77" s="58">
        <v>0</v>
      </c>
      <c r="I77" s="58">
        <v>0</v>
      </c>
      <c r="J77" s="58">
        <v>0</v>
      </c>
      <c r="K77" s="58">
        <v>0</v>
      </c>
      <c r="L77" s="58">
        <v>0</v>
      </c>
      <c r="M77" s="58">
        <v>0</v>
      </c>
      <c r="N77" s="76">
        <v>0</v>
      </c>
      <c r="O77" s="76">
        <v>0</v>
      </c>
      <c r="P77" s="76">
        <v>0</v>
      </c>
      <c r="Q77" s="76">
        <v>0</v>
      </c>
      <c r="R77" s="76">
        <v>0</v>
      </c>
      <c r="S77" s="58">
        <v>0</v>
      </c>
    </row>
    <row r="78" spans="1:19" ht="12" x14ac:dyDescent="0.2">
      <c r="A78" s="8"/>
      <c r="B78" s="2" t="s">
        <v>170</v>
      </c>
      <c r="C78" s="34" t="s">
        <v>171</v>
      </c>
      <c r="D78" s="34" t="s">
        <v>135</v>
      </c>
      <c r="E78" s="11" t="s">
        <v>89</v>
      </c>
      <c r="F78" s="12"/>
      <c r="G78" s="57" t="s">
        <v>172</v>
      </c>
      <c r="H78" s="58">
        <v>0</v>
      </c>
      <c r="I78" s="58">
        <v>0</v>
      </c>
      <c r="J78" s="58">
        <v>0</v>
      </c>
      <c r="K78" s="58">
        <v>0</v>
      </c>
      <c r="L78" s="58">
        <v>0</v>
      </c>
      <c r="M78" s="58">
        <v>0</v>
      </c>
      <c r="N78" s="76">
        <v>0</v>
      </c>
      <c r="O78" s="76">
        <v>0</v>
      </c>
      <c r="P78" s="76">
        <v>0</v>
      </c>
      <c r="Q78" s="76">
        <v>0</v>
      </c>
      <c r="R78" s="76">
        <v>0</v>
      </c>
      <c r="S78" s="58">
        <v>0</v>
      </c>
    </row>
    <row r="79" spans="1:19" ht="12" x14ac:dyDescent="0.2">
      <c r="A79" s="8"/>
      <c r="B79" s="2" t="s">
        <v>173</v>
      </c>
      <c r="C79" s="34" t="s">
        <v>174</v>
      </c>
      <c r="D79" s="34" t="s">
        <v>135</v>
      </c>
      <c r="E79" s="11" t="s">
        <v>89</v>
      </c>
      <c r="F79" s="12"/>
      <c r="G79" s="57" t="s">
        <v>175</v>
      </c>
      <c r="H79" s="58">
        <v>0</v>
      </c>
      <c r="I79" s="58">
        <v>-2.5000000000000001E-2</v>
      </c>
      <c r="J79" s="58">
        <v>0</v>
      </c>
      <c r="K79" s="58">
        <v>-5.0000000000000001E-3</v>
      </c>
      <c r="L79" s="58">
        <v>-3.0000000000000001E-3</v>
      </c>
      <c r="M79" s="58">
        <v>0</v>
      </c>
      <c r="N79" s="76">
        <v>0</v>
      </c>
      <c r="O79" s="76">
        <v>0</v>
      </c>
      <c r="P79" s="76">
        <v>0</v>
      </c>
      <c r="Q79" s="76">
        <v>0</v>
      </c>
      <c r="R79" s="76">
        <v>0</v>
      </c>
      <c r="S79" s="58">
        <v>0</v>
      </c>
    </row>
    <row r="80" spans="1:19" ht="12" x14ac:dyDescent="0.2">
      <c r="A80" s="8"/>
      <c r="B80" s="2" t="s">
        <v>176</v>
      </c>
      <c r="C80" s="34" t="s">
        <v>177</v>
      </c>
      <c r="D80" s="34" t="s">
        <v>135</v>
      </c>
      <c r="E80" s="11" t="s">
        <v>89</v>
      </c>
      <c r="F80" s="12"/>
      <c r="G80" s="57" t="s">
        <v>178</v>
      </c>
      <c r="H80" s="58">
        <v>0</v>
      </c>
      <c r="I80" s="58">
        <v>0</v>
      </c>
      <c r="J80" s="58">
        <v>0</v>
      </c>
      <c r="K80" s="58">
        <v>0</v>
      </c>
      <c r="L80" s="58">
        <v>0</v>
      </c>
      <c r="M80" s="58">
        <v>0</v>
      </c>
      <c r="N80" s="76">
        <v>0</v>
      </c>
      <c r="O80" s="76">
        <v>0</v>
      </c>
      <c r="P80" s="76">
        <v>0</v>
      </c>
      <c r="Q80" s="76">
        <v>0</v>
      </c>
      <c r="R80" s="76">
        <v>0</v>
      </c>
      <c r="S80" s="58">
        <v>0</v>
      </c>
    </row>
    <row r="81" spans="1:19" ht="12" x14ac:dyDescent="0.2">
      <c r="A81" s="8"/>
      <c r="B81" s="2" t="s">
        <v>179</v>
      </c>
      <c r="C81" s="34" t="s">
        <v>52</v>
      </c>
      <c r="D81" s="34" t="s">
        <v>135</v>
      </c>
      <c r="E81" s="11" t="s">
        <v>89</v>
      </c>
      <c r="F81" s="12"/>
      <c r="G81" s="57" t="s">
        <v>180</v>
      </c>
      <c r="H81" s="58">
        <v>0</v>
      </c>
      <c r="I81" s="58">
        <v>0</v>
      </c>
      <c r="J81" s="58">
        <v>0</v>
      </c>
      <c r="K81" s="58">
        <v>0</v>
      </c>
      <c r="L81" s="58">
        <v>0</v>
      </c>
      <c r="M81" s="58">
        <v>0</v>
      </c>
      <c r="N81" s="76">
        <v>0</v>
      </c>
      <c r="O81" s="76">
        <v>0</v>
      </c>
      <c r="P81" s="76">
        <v>0</v>
      </c>
      <c r="Q81" s="76">
        <v>0</v>
      </c>
      <c r="R81" s="76">
        <v>0</v>
      </c>
      <c r="S81" s="58">
        <v>0</v>
      </c>
    </row>
    <row r="82" spans="1:19" ht="12" x14ac:dyDescent="0.2">
      <c r="A82" s="8"/>
      <c r="B82" s="2" t="s">
        <v>181</v>
      </c>
      <c r="C82" s="34" t="s">
        <v>182</v>
      </c>
      <c r="D82" s="34" t="s">
        <v>131</v>
      </c>
      <c r="E82" s="11" t="s">
        <v>11</v>
      </c>
      <c r="G82" s="57" t="s">
        <v>183</v>
      </c>
      <c r="H82" s="58">
        <v>0</v>
      </c>
      <c r="I82" s="58">
        <v>0</v>
      </c>
      <c r="J82" s="58">
        <v>0</v>
      </c>
      <c r="K82" s="58">
        <v>0</v>
      </c>
      <c r="L82" s="58">
        <v>0</v>
      </c>
      <c r="M82" s="58">
        <v>0</v>
      </c>
      <c r="N82" s="76">
        <v>0</v>
      </c>
      <c r="O82" s="76">
        <v>0</v>
      </c>
      <c r="P82" s="76">
        <v>0</v>
      </c>
      <c r="Q82" s="76">
        <v>0</v>
      </c>
      <c r="R82" s="76">
        <v>0</v>
      </c>
      <c r="S82" s="58">
        <v>0</v>
      </c>
    </row>
    <row r="83" spans="1:19" ht="12" x14ac:dyDescent="0.2">
      <c r="A83" s="8"/>
      <c r="B83" s="2" t="s">
        <v>184</v>
      </c>
      <c r="C83" s="34" t="s">
        <v>182</v>
      </c>
      <c r="D83" s="34" t="s">
        <v>135</v>
      </c>
      <c r="E83" s="11" t="s">
        <v>89</v>
      </c>
      <c r="F83" s="12"/>
      <c r="G83" s="57" t="s">
        <v>374</v>
      </c>
      <c r="H83" s="58">
        <v>0</v>
      </c>
      <c r="I83" s="58">
        <v>0</v>
      </c>
      <c r="J83" s="58">
        <v>0</v>
      </c>
      <c r="K83" s="58">
        <v>0</v>
      </c>
      <c r="L83" s="58">
        <v>0</v>
      </c>
      <c r="M83" s="58">
        <v>0</v>
      </c>
      <c r="N83" s="76">
        <v>0</v>
      </c>
      <c r="O83" s="76">
        <v>0</v>
      </c>
      <c r="P83" s="76">
        <v>0</v>
      </c>
      <c r="Q83" s="76">
        <v>0</v>
      </c>
      <c r="R83" s="76">
        <v>0</v>
      </c>
      <c r="S83" s="58">
        <v>0</v>
      </c>
    </row>
    <row r="84" spans="1:19" ht="12" x14ac:dyDescent="0.2">
      <c r="A84" s="8"/>
      <c r="B84" s="2" t="s">
        <v>185</v>
      </c>
      <c r="C84" s="34" t="s">
        <v>375</v>
      </c>
      <c r="D84" s="34" t="s">
        <v>135</v>
      </c>
      <c r="E84" s="11" t="s">
        <v>89</v>
      </c>
      <c r="F84" s="12"/>
      <c r="G84" s="57" t="s">
        <v>376</v>
      </c>
      <c r="H84" s="58">
        <v>0</v>
      </c>
      <c r="I84" s="58">
        <v>0</v>
      </c>
      <c r="J84" s="58">
        <v>0</v>
      </c>
      <c r="K84" s="58">
        <v>0</v>
      </c>
      <c r="L84" s="58">
        <v>0</v>
      </c>
      <c r="M84" s="58">
        <v>0</v>
      </c>
      <c r="N84" s="76">
        <v>0</v>
      </c>
      <c r="O84" s="76">
        <v>0</v>
      </c>
      <c r="P84" s="76">
        <v>0</v>
      </c>
      <c r="Q84" s="76">
        <v>0</v>
      </c>
      <c r="R84" s="76">
        <v>0</v>
      </c>
      <c r="S84" s="58">
        <v>0</v>
      </c>
    </row>
    <row r="85" spans="1:19" ht="12" x14ac:dyDescent="0.2">
      <c r="A85" s="8"/>
      <c r="B85" s="2" t="s">
        <v>186</v>
      </c>
      <c r="C85" s="36">
        <v>68</v>
      </c>
      <c r="D85" s="34" t="s">
        <v>135</v>
      </c>
      <c r="E85" s="11" t="s">
        <v>89</v>
      </c>
      <c r="F85" s="12"/>
      <c r="G85" s="70" t="s">
        <v>111</v>
      </c>
      <c r="H85" s="58">
        <v>0</v>
      </c>
      <c r="I85" s="58">
        <v>0</v>
      </c>
      <c r="J85" s="58">
        <v>0</v>
      </c>
      <c r="K85" s="58">
        <v>0</v>
      </c>
      <c r="L85" s="58">
        <v>0</v>
      </c>
      <c r="M85" s="58">
        <v>0</v>
      </c>
      <c r="N85" s="76">
        <v>0</v>
      </c>
      <c r="O85" s="76">
        <v>0</v>
      </c>
      <c r="P85" s="76">
        <v>0</v>
      </c>
      <c r="Q85" s="76">
        <v>0</v>
      </c>
      <c r="R85" s="76">
        <v>0</v>
      </c>
      <c r="S85" s="58">
        <v>0</v>
      </c>
    </row>
    <row r="86" spans="1:19" x14ac:dyDescent="0.2">
      <c r="A86" s="8"/>
      <c r="B86" s="2" t="s">
        <v>377</v>
      </c>
      <c r="C86" s="10"/>
      <c r="D86" s="10"/>
      <c r="E86" s="9"/>
      <c r="G86" s="70" t="s">
        <v>158</v>
      </c>
      <c r="H86" s="56">
        <f t="shared" ref="H86:S86" si="18">SUM(H74:H85)</f>
        <v>0</v>
      </c>
      <c r="I86" s="56">
        <f t="shared" si="18"/>
        <v>-2.5000000000000001E-2</v>
      </c>
      <c r="J86" s="56">
        <f t="shared" si="18"/>
        <v>0</v>
      </c>
      <c r="K86" s="56">
        <f t="shared" si="18"/>
        <v>-5.0000000000000001E-3</v>
      </c>
      <c r="L86" s="56">
        <f t="shared" si="18"/>
        <v>-3.0000000000000001E-3</v>
      </c>
      <c r="M86" s="56">
        <f t="shared" si="18"/>
        <v>0</v>
      </c>
      <c r="N86" s="56">
        <f t="shared" si="18"/>
        <v>0</v>
      </c>
      <c r="O86" s="56">
        <f t="shared" si="18"/>
        <v>0</v>
      </c>
      <c r="P86" s="56">
        <f t="shared" si="18"/>
        <v>0</v>
      </c>
      <c r="Q86" s="56">
        <f t="shared" si="18"/>
        <v>0</v>
      </c>
      <c r="R86" s="56">
        <f t="shared" si="18"/>
        <v>0</v>
      </c>
      <c r="S86" s="56">
        <f t="shared" si="18"/>
        <v>0</v>
      </c>
    </row>
    <row r="87" spans="1:19" s="4" customFormat="1" x14ac:dyDescent="0.2">
      <c r="A87" s="8"/>
      <c r="B87" s="2" t="s">
        <v>378</v>
      </c>
      <c r="C87" s="10"/>
      <c r="D87" s="10"/>
      <c r="E87" s="9"/>
      <c r="F87" s="8"/>
      <c r="G87" s="89" t="s">
        <v>379</v>
      </c>
      <c r="H87" s="98"/>
      <c r="I87" s="85">
        <f t="shared" ref="I87:S87" si="19">(I14+I15)-(H14+H15-I58-I59+I45)</f>
        <v>-4.1709999999999994</v>
      </c>
      <c r="J87" s="85">
        <f t="shared" si="19"/>
        <v>0</v>
      </c>
      <c r="K87" s="85">
        <f t="shared" si="19"/>
        <v>0</v>
      </c>
      <c r="L87" s="85">
        <f t="shared" si="19"/>
        <v>0</v>
      </c>
      <c r="M87" s="85">
        <f t="shared" si="19"/>
        <v>0</v>
      </c>
      <c r="N87" s="85">
        <f t="shared" si="19"/>
        <v>0</v>
      </c>
      <c r="O87" s="85">
        <f t="shared" si="19"/>
        <v>0</v>
      </c>
      <c r="P87" s="85">
        <f t="shared" si="19"/>
        <v>0</v>
      </c>
      <c r="Q87" s="85">
        <f t="shared" si="19"/>
        <v>0</v>
      </c>
      <c r="R87" s="85">
        <f t="shared" si="19"/>
        <v>0</v>
      </c>
      <c r="S87" s="85">
        <f t="shared" si="19"/>
        <v>0</v>
      </c>
    </row>
    <row r="88" spans="1:19" s="4" customFormat="1" x14ac:dyDescent="0.2">
      <c r="A88" s="8"/>
      <c r="B88" s="2" t="s">
        <v>380</v>
      </c>
      <c r="C88" s="10"/>
      <c r="D88" s="10"/>
      <c r="E88" s="9"/>
      <c r="F88" s="8"/>
      <c r="G88" s="89" t="s">
        <v>381</v>
      </c>
      <c r="H88" s="98"/>
      <c r="I88" s="85">
        <f>I24-(H24+(I74+I76)+(I75+I77)+(I78))</f>
        <v>0</v>
      </c>
      <c r="J88" s="85">
        <f>J24-(I24+(J74+J76)+(J75+J77)+(J78))</f>
        <v>0</v>
      </c>
      <c r="K88" s="85">
        <f>K24-(J24+(K74+K76)+(K75+K77)+(K78))</f>
        <v>0</v>
      </c>
      <c r="L88" s="85">
        <f>L24-(K24+(L74+L76)+(L75+L77)+(L78))</f>
        <v>0</v>
      </c>
      <c r="M88" s="85">
        <f>M24-(L24+(M74+M76)+(M75+M77)+(M78))</f>
        <v>0</v>
      </c>
      <c r="N88" s="85">
        <f t="shared" ref="N88:S88" si="20">N24-(M24+(N74+N76)+(N75+N77)+(N78))</f>
        <v>0</v>
      </c>
      <c r="O88" s="85">
        <f t="shared" si="20"/>
        <v>0</v>
      </c>
      <c r="P88" s="85">
        <f t="shared" si="20"/>
        <v>0</v>
      </c>
      <c r="Q88" s="85">
        <f t="shared" si="20"/>
        <v>0</v>
      </c>
      <c r="R88" s="85">
        <f t="shared" si="20"/>
        <v>0</v>
      </c>
      <c r="S88" s="85">
        <f t="shared" si="20"/>
        <v>0</v>
      </c>
    </row>
    <row r="89" spans="1:19" s="4" customFormat="1" x14ac:dyDescent="0.2">
      <c r="A89" s="8"/>
      <c r="B89" s="2" t="s">
        <v>382</v>
      </c>
      <c r="C89" s="10"/>
      <c r="D89" s="10"/>
      <c r="E89" s="9"/>
      <c r="F89" s="8"/>
      <c r="G89" s="89" t="s">
        <v>383</v>
      </c>
      <c r="H89" s="98"/>
      <c r="I89" s="85">
        <f t="shared" ref="I89:S89" si="21">I28-(H28+(I82+I83))</f>
        <v>0</v>
      </c>
      <c r="J89" s="85">
        <f t="shared" si="21"/>
        <v>0</v>
      </c>
      <c r="K89" s="85">
        <f t="shared" si="21"/>
        <v>0</v>
      </c>
      <c r="L89" s="85">
        <f t="shared" si="21"/>
        <v>0</v>
      </c>
      <c r="M89" s="85">
        <f t="shared" si="21"/>
        <v>0</v>
      </c>
      <c r="N89" s="85">
        <f t="shared" si="21"/>
        <v>0</v>
      </c>
      <c r="O89" s="85">
        <f t="shared" si="21"/>
        <v>0</v>
      </c>
      <c r="P89" s="85">
        <f t="shared" si="21"/>
        <v>0</v>
      </c>
      <c r="Q89" s="85">
        <f t="shared" si="21"/>
        <v>0</v>
      </c>
      <c r="R89" s="85">
        <f t="shared" si="21"/>
        <v>0</v>
      </c>
      <c r="S89" s="85">
        <f t="shared" si="21"/>
        <v>0</v>
      </c>
    </row>
    <row r="90" spans="1:19" s="4" customFormat="1" x14ac:dyDescent="0.2">
      <c r="A90" s="8"/>
      <c r="B90" s="2" t="s">
        <v>384</v>
      </c>
      <c r="C90" s="10"/>
      <c r="D90" s="10"/>
      <c r="E90" s="9"/>
      <c r="F90" s="8"/>
      <c r="G90" s="89" t="s">
        <v>385</v>
      </c>
      <c r="H90" s="98"/>
      <c r="I90" s="85">
        <f t="shared" ref="I90:S90" si="22">I29-(H29+H30)-I84</f>
        <v>0</v>
      </c>
      <c r="J90" s="85">
        <f t="shared" si="22"/>
        <v>1.1368683772161603E-13</v>
      </c>
      <c r="K90" s="85">
        <f t="shared" si="22"/>
        <v>9.9999999997635314E-4</v>
      </c>
      <c r="L90" s="85">
        <f t="shared" si="22"/>
        <v>-9.9999999997635314E-4</v>
      </c>
      <c r="M90" s="85">
        <f t="shared" si="22"/>
        <v>0</v>
      </c>
      <c r="N90" s="85">
        <f t="shared" si="22"/>
        <v>-1.1000000000194632E-2</v>
      </c>
      <c r="O90" s="85">
        <f t="shared" si="22"/>
        <v>0.25</v>
      </c>
      <c r="P90" s="85">
        <f t="shared" si="22"/>
        <v>0</v>
      </c>
      <c r="Q90" s="85">
        <f t="shared" si="22"/>
        <v>0</v>
      </c>
      <c r="R90" s="85">
        <f t="shared" si="22"/>
        <v>0</v>
      </c>
      <c r="S90" s="85">
        <f t="shared" si="22"/>
        <v>0</v>
      </c>
    </row>
    <row r="91" spans="1:19" s="4" customFormat="1" x14ac:dyDescent="0.2">
      <c r="A91" s="8"/>
      <c r="B91" s="2"/>
      <c r="C91" s="10"/>
      <c r="D91" s="10"/>
      <c r="E91" s="9"/>
      <c r="F91" s="8"/>
      <c r="G91" s="28"/>
      <c r="L91" s="93">
        <f>L90-L87</f>
        <v>-9.9999999997635314E-4</v>
      </c>
    </row>
    <row r="92" spans="1:19" s="4" customFormat="1" x14ac:dyDescent="0.2">
      <c r="A92" s="13" t="s">
        <v>0</v>
      </c>
      <c r="B92" s="2"/>
      <c r="C92" s="10"/>
      <c r="D92" s="753" t="s">
        <v>187</v>
      </c>
      <c r="E92" s="754"/>
      <c r="F92" s="8"/>
      <c r="G92" s="94" t="s">
        <v>386</v>
      </c>
      <c r="H92" s="87">
        <f>H73</f>
        <v>2011</v>
      </c>
      <c r="I92" s="87">
        <f t="shared" ref="I92:S92" si="23">I73</f>
        <v>2012</v>
      </c>
      <c r="J92" s="87">
        <f t="shared" si="23"/>
        <v>2013</v>
      </c>
      <c r="K92" s="87">
        <f t="shared" si="23"/>
        <v>2014</v>
      </c>
      <c r="L92" s="87">
        <f t="shared" si="23"/>
        <v>2015</v>
      </c>
      <c r="M92" s="87">
        <f t="shared" si="23"/>
        <v>2016</v>
      </c>
      <c r="N92" s="87">
        <f t="shared" si="23"/>
        <v>2017</v>
      </c>
      <c r="O92" s="87">
        <f t="shared" si="23"/>
        <v>2018</v>
      </c>
      <c r="P92" s="87">
        <f t="shared" si="23"/>
        <v>2019</v>
      </c>
      <c r="Q92" s="87">
        <f t="shared" si="23"/>
        <v>2020</v>
      </c>
      <c r="R92" s="87">
        <f t="shared" si="23"/>
        <v>2021</v>
      </c>
      <c r="S92" s="87">
        <f t="shared" si="23"/>
        <v>2022</v>
      </c>
    </row>
    <row r="93" spans="1:19" s="4" customFormat="1" x14ac:dyDescent="0.2">
      <c r="A93" s="8"/>
      <c r="B93" s="2" t="s">
        <v>387</v>
      </c>
      <c r="C93" s="10" t="s">
        <v>388</v>
      </c>
      <c r="D93" s="10"/>
      <c r="E93" s="9"/>
      <c r="F93" s="8"/>
      <c r="G93" s="95" t="s">
        <v>389</v>
      </c>
      <c r="H93" s="96">
        <f>H5+H11+H12+H13</f>
        <v>830.30900000000008</v>
      </c>
      <c r="I93" s="96">
        <f>I5+I11+I12+I13</f>
        <v>1002.33</v>
      </c>
      <c r="J93" s="96">
        <f t="shared" ref="J93:S93" si="24">J5+J11+J12+J13</f>
        <v>1104.001</v>
      </c>
      <c r="K93" s="96">
        <f t="shared" si="24"/>
        <v>1278.9359999999999</v>
      </c>
      <c r="L93" s="96">
        <f t="shared" si="24"/>
        <v>1195.4939999999999</v>
      </c>
      <c r="M93" s="96">
        <f t="shared" si="24"/>
        <v>1138.5239999999999</v>
      </c>
      <c r="N93" s="96">
        <f t="shared" si="24"/>
        <v>874.01</v>
      </c>
      <c r="O93" s="96">
        <f t="shared" si="24"/>
        <v>739</v>
      </c>
      <c r="P93" s="96">
        <f t="shared" si="24"/>
        <v>569</v>
      </c>
      <c r="Q93" s="96">
        <f t="shared" si="24"/>
        <v>469</v>
      </c>
      <c r="R93" s="96">
        <f t="shared" si="24"/>
        <v>469</v>
      </c>
      <c r="S93" s="96">
        <f t="shared" si="24"/>
        <v>469</v>
      </c>
    </row>
    <row r="94" spans="1:19" s="4" customFormat="1" x14ac:dyDescent="0.2">
      <c r="A94" s="8"/>
      <c r="B94" s="2" t="s">
        <v>390</v>
      </c>
      <c r="C94" s="10"/>
      <c r="D94" s="10"/>
      <c r="E94" s="9"/>
      <c r="F94" s="8"/>
      <c r="G94" s="97" t="s">
        <v>391</v>
      </c>
      <c r="H94" s="98"/>
      <c r="I94" s="96">
        <f>I93-H93</f>
        <v>172.02099999999996</v>
      </c>
      <c r="J94" s="96">
        <f t="shared" ref="J94:S94" si="25">J93-I93</f>
        <v>101.67099999999994</v>
      </c>
      <c r="K94" s="96">
        <f t="shared" si="25"/>
        <v>174.93499999999995</v>
      </c>
      <c r="L94" s="96">
        <f t="shared" si="25"/>
        <v>-83.442000000000007</v>
      </c>
      <c r="M94" s="96">
        <f t="shared" si="25"/>
        <v>-56.970000000000027</v>
      </c>
      <c r="N94" s="96">
        <f t="shared" si="25"/>
        <v>-264.5139999999999</v>
      </c>
      <c r="O94" s="96">
        <f t="shared" si="25"/>
        <v>-135.01</v>
      </c>
      <c r="P94" s="96">
        <f t="shared" si="25"/>
        <v>-170</v>
      </c>
      <c r="Q94" s="96">
        <f t="shared" si="25"/>
        <v>-100</v>
      </c>
      <c r="R94" s="96">
        <f t="shared" si="25"/>
        <v>0</v>
      </c>
      <c r="S94" s="96">
        <f t="shared" si="25"/>
        <v>0</v>
      </c>
    </row>
    <row r="95" spans="1:19" s="4" customFormat="1" x14ac:dyDescent="0.2">
      <c r="A95" s="8"/>
      <c r="B95" s="2" t="s">
        <v>392</v>
      </c>
      <c r="C95" s="10" t="s">
        <v>42</v>
      </c>
      <c r="D95" s="10"/>
      <c r="E95" s="9"/>
      <c r="F95" s="8"/>
      <c r="G95" s="95" t="s">
        <v>393</v>
      </c>
      <c r="H95" s="96">
        <f>H19</f>
        <v>43.356999999999999</v>
      </c>
      <c r="I95" s="96">
        <f t="shared" ref="I95:S95" si="26">I19</f>
        <v>58.079000000000001</v>
      </c>
      <c r="J95" s="96">
        <f t="shared" si="26"/>
        <v>62.375999999999998</v>
      </c>
      <c r="K95" s="96">
        <f t="shared" si="26"/>
        <v>37.851999999999997</v>
      </c>
      <c r="L95" s="96">
        <f t="shared" si="26"/>
        <v>60.747999999999998</v>
      </c>
      <c r="M95" s="96">
        <f t="shared" si="26"/>
        <v>30.013000000000002</v>
      </c>
      <c r="N95" s="96">
        <f>N19</f>
        <v>42.25</v>
      </c>
      <c r="O95" s="96">
        <f t="shared" si="26"/>
        <v>42</v>
      </c>
      <c r="P95" s="96">
        <f t="shared" si="26"/>
        <v>42</v>
      </c>
      <c r="Q95" s="96">
        <f t="shared" si="26"/>
        <v>42</v>
      </c>
      <c r="R95" s="96">
        <f t="shared" si="26"/>
        <v>42</v>
      </c>
      <c r="S95" s="96">
        <f t="shared" si="26"/>
        <v>42</v>
      </c>
    </row>
    <row r="96" spans="1:19" s="4" customFormat="1" x14ac:dyDescent="0.2">
      <c r="A96" s="8"/>
      <c r="B96" s="2" t="s">
        <v>394</v>
      </c>
      <c r="C96" s="10"/>
      <c r="D96" s="10"/>
      <c r="E96" s="9"/>
      <c r="F96" s="8"/>
      <c r="G96" s="97" t="s">
        <v>391</v>
      </c>
      <c r="H96" s="98"/>
      <c r="I96" s="96">
        <f>I95-H95</f>
        <v>14.722000000000001</v>
      </c>
      <c r="J96" s="96">
        <f t="shared" ref="J96:S96" si="27">J95-I95</f>
        <v>4.296999999999997</v>
      </c>
      <c r="K96" s="96">
        <f t="shared" si="27"/>
        <v>-24.524000000000001</v>
      </c>
      <c r="L96" s="96">
        <f t="shared" si="27"/>
        <v>22.896000000000001</v>
      </c>
      <c r="M96" s="96">
        <f t="shared" si="27"/>
        <v>-30.734999999999996</v>
      </c>
      <c r="N96" s="96">
        <f t="shared" si="27"/>
        <v>12.236999999999998</v>
      </c>
      <c r="O96" s="96">
        <f t="shared" si="27"/>
        <v>-0.25</v>
      </c>
      <c r="P96" s="96">
        <f t="shared" si="27"/>
        <v>0</v>
      </c>
      <c r="Q96" s="96">
        <f t="shared" si="27"/>
        <v>0</v>
      </c>
      <c r="R96" s="96">
        <f t="shared" si="27"/>
        <v>0</v>
      </c>
      <c r="S96" s="96">
        <f t="shared" si="27"/>
        <v>0</v>
      </c>
    </row>
    <row r="97" spans="1:20" s="40" customFormat="1" x14ac:dyDescent="0.2">
      <c r="A97" s="29" t="s">
        <v>395</v>
      </c>
      <c r="B97" s="2" t="s">
        <v>188</v>
      </c>
      <c r="C97" s="10" t="s">
        <v>396</v>
      </c>
      <c r="D97" s="99"/>
      <c r="E97" s="30"/>
      <c r="F97" s="29"/>
      <c r="G97" s="100" t="s">
        <v>386</v>
      </c>
      <c r="H97" s="101"/>
      <c r="I97" s="102">
        <f>I94-I96</f>
        <v>157.29899999999995</v>
      </c>
      <c r="J97" s="102">
        <f t="shared" ref="J97:S97" si="28">J94-J96</f>
        <v>97.373999999999938</v>
      </c>
      <c r="K97" s="102">
        <f t="shared" si="28"/>
        <v>199.45899999999995</v>
      </c>
      <c r="L97" s="102">
        <f t="shared" si="28"/>
        <v>-106.33800000000001</v>
      </c>
      <c r="M97" s="102">
        <f t="shared" si="28"/>
        <v>-26.235000000000031</v>
      </c>
      <c r="N97" s="102">
        <f t="shared" si="28"/>
        <v>-276.75099999999992</v>
      </c>
      <c r="O97" s="102">
        <f t="shared" si="28"/>
        <v>-134.76</v>
      </c>
      <c r="P97" s="102">
        <f t="shared" si="28"/>
        <v>-170</v>
      </c>
      <c r="Q97" s="102">
        <f t="shared" si="28"/>
        <v>-100</v>
      </c>
      <c r="R97" s="102">
        <f t="shared" si="28"/>
        <v>0</v>
      </c>
      <c r="S97" s="102">
        <f t="shared" si="28"/>
        <v>0</v>
      </c>
    </row>
    <row r="98" spans="1:20" s="4" customFormat="1" x14ac:dyDescent="0.2">
      <c r="A98" s="8"/>
      <c r="B98" s="2"/>
      <c r="C98" s="10"/>
      <c r="D98" s="10"/>
      <c r="E98" s="9"/>
      <c r="F98" s="8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</row>
    <row r="99" spans="1:20" s="4" customFormat="1" x14ac:dyDescent="0.2">
      <c r="A99" s="8"/>
      <c r="B99" s="2" t="s">
        <v>397</v>
      </c>
      <c r="C99" s="10" t="s">
        <v>398</v>
      </c>
      <c r="D99" s="10"/>
      <c r="E99" s="9"/>
      <c r="F99" s="8"/>
      <c r="G99" s="95" t="s">
        <v>399</v>
      </c>
      <c r="H99" s="96">
        <f>H4-H93</f>
        <v>11.169999999999959</v>
      </c>
      <c r="I99" s="96">
        <f t="shared" ref="I99:S99" si="29">I4-I93</f>
        <v>0.7459999999999809</v>
      </c>
      <c r="J99" s="96">
        <f t="shared" si="29"/>
        <v>0</v>
      </c>
      <c r="K99" s="96">
        <f t="shared" si="29"/>
        <v>0</v>
      </c>
      <c r="L99" s="96">
        <f t="shared" si="29"/>
        <v>0</v>
      </c>
      <c r="M99" s="96">
        <f t="shared" si="29"/>
        <v>0</v>
      </c>
      <c r="N99" s="96">
        <f t="shared" si="29"/>
        <v>0</v>
      </c>
      <c r="O99" s="96">
        <f t="shared" si="29"/>
        <v>0</v>
      </c>
      <c r="P99" s="96">
        <f t="shared" si="29"/>
        <v>0</v>
      </c>
      <c r="Q99" s="96">
        <f t="shared" si="29"/>
        <v>0</v>
      </c>
      <c r="R99" s="96">
        <f t="shared" si="29"/>
        <v>0</v>
      </c>
      <c r="S99" s="96">
        <f t="shared" si="29"/>
        <v>0</v>
      </c>
    </row>
    <row r="100" spans="1:20" s="4" customFormat="1" x14ac:dyDescent="0.2">
      <c r="A100" s="8"/>
      <c r="B100" s="2" t="s">
        <v>400</v>
      </c>
      <c r="C100" s="10"/>
      <c r="D100" s="10"/>
      <c r="E100" s="9"/>
      <c r="F100" s="8"/>
      <c r="G100" s="97" t="s">
        <v>391</v>
      </c>
      <c r="H100" s="98"/>
      <c r="I100" s="96">
        <f>I99-H99</f>
        <v>-10.423999999999978</v>
      </c>
      <c r="J100" s="96">
        <f t="shared" ref="J100:S100" si="30">J99-I99</f>
        <v>-0.7459999999999809</v>
      </c>
      <c r="K100" s="96">
        <f t="shared" si="30"/>
        <v>0</v>
      </c>
      <c r="L100" s="96">
        <f t="shared" si="30"/>
        <v>0</v>
      </c>
      <c r="M100" s="96">
        <f t="shared" si="30"/>
        <v>0</v>
      </c>
      <c r="N100" s="96">
        <f t="shared" si="30"/>
        <v>0</v>
      </c>
      <c r="O100" s="96">
        <f t="shared" si="30"/>
        <v>0</v>
      </c>
      <c r="P100" s="96">
        <f t="shared" si="30"/>
        <v>0</v>
      </c>
      <c r="Q100" s="96">
        <f t="shared" si="30"/>
        <v>0</v>
      </c>
      <c r="R100" s="96">
        <f t="shared" si="30"/>
        <v>0</v>
      </c>
      <c r="S100" s="96">
        <f t="shared" si="30"/>
        <v>0</v>
      </c>
    </row>
    <row r="101" spans="1:20" s="4" customFormat="1" x14ac:dyDescent="0.2">
      <c r="A101" s="8"/>
      <c r="B101" s="2" t="s">
        <v>401</v>
      </c>
      <c r="C101" s="10" t="s">
        <v>64</v>
      </c>
      <c r="D101" s="10"/>
      <c r="E101" s="9"/>
      <c r="F101" s="8"/>
      <c r="G101" s="95" t="s">
        <v>402</v>
      </c>
      <c r="H101" s="96">
        <f>H27</f>
        <v>798.12199999999996</v>
      </c>
      <c r="I101" s="96">
        <f t="shared" ref="I101:S101" si="31">I27</f>
        <v>944.99799999999993</v>
      </c>
      <c r="J101" s="96">
        <f t="shared" si="31"/>
        <v>1041.625</v>
      </c>
      <c r="K101" s="96">
        <f t="shared" si="31"/>
        <v>1241.085</v>
      </c>
      <c r="L101" s="96">
        <f t="shared" si="31"/>
        <v>1134.7460000000001</v>
      </c>
      <c r="M101" s="96">
        <f t="shared" si="31"/>
        <v>1108.5110000000002</v>
      </c>
      <c r="N101" s="96">
        <f t="shared" si="31"/>
        <v>831.75</v>
      </c>
      <c r="O101" s="96">
        <f t="shared" si="31"/>
        <v>697</v>
      </c>
      <c r="P101" s="96">
        <f t="shared" si="31"/>
        <v>527</v>
      </c>
      <c r="Q101" s="96">
        <f t="shared" si="31"/>
        <v>427</v>
      </c>
      <c r="R101" s="96">
        <f t="shared" si="31"/>
        <v>427</v>
      </c>
      <c r="S101" s="96">
        <f t="shared" si="31"/>
        <v>427</v>
      </c>
    </row>
    <row r="102" spans="1:20" s="4" customFormat="1" x14ac:dyDescent="0.2">
      <c r="A102" s="8"/>
      <c r="B102" s="2" t="s">
        <v>403</v>
      </c>
      <c r="C102" s="10"/>
      <c r="D102" s="10"/>
      <c r="E102" s="9"/>
      <c r="F102" s="8"/>
      <c r="G102" s="97" t="s">
        <v>391</v>
      </c>
      <c r="H102" s="98"/>
      <c r="I102" s="96">
        <f>I101-H101</f>
        <v>146.87599999999998</v>
      </c>
      <c r="J102" s="96">
        <f t="shared" ref="J102:S102" si="32">J101-I101</f>
        <v>96.627000000000066</v>
      </c>
      <c r="K102" s="96">
        <f t="shared" si="32"/>
        <v>199.46000000000004</v>
      </c>
      <c r="L102" s="96">
        <f t="shared" si="32"/>
        <v>-106.33899999999994</v>
      </c>
      <c r="M102" s="96">
        <f t="shared" si="32"/>
        <v>-26.2349999999999</v>
      </c>
      <c r="N102" s="96">
        <f t="shared" si="32"/>
        <v>-276.76100000000019</v>
      </c>
      <c r="O102" s="96">
        <f t="shared" si="32"/>
        <v>-134.75</v>
      </c>
      <c r="P102" s="96">
        <f t="shared" si="32"/>
        <v>-170</v>
      </c>
      <c r="Q102" s="96">
        <f t="shared" si="32"/>
        <v>-100</v>
      </c>
      <c r="R102" s="96">
        <f t="shared" si="32"/>
        <v>0</v>
      </c>
      <c r="S102" s="96">
        <f t="shared" si="32"/>
        <v>0</v>
      </c>
    </row>
    <row r="103" spans="1:20" s="40" customFormat="1" x14ac:dyDescent="0.2">
      <c r="A103" s="29" t="s">
        <v>404</v>
      </c>
      <c r="B103" s="2" t="s">
        <v>189</v>
      </c>
      <c r="C103" s="10" t="s">
        <v>405</v>
      </c>
      <c r="D103" s="10"/>
      <c r="E103" s="9"/>
      <c r="F103" s="8"/>
      <c r="G103" s="100" t="s">
        <v>406</v>
      </c>
      <c r="H103" s="101"/>
      <c r="I103" s="102">
        <f>I102-I100</f>
        <v>157.29999999999995</v>
      </c>
      <c r="J103" s="102">
        <f t="shared" ref="J103:S103" si="33">J102-J100</f>
        <v>97.373000000000047</v>
      </c>
      <c r="K103" s="102">
        <f t="shared" si="33"/>
        <v>199.46000000000004</v>
      </c>
      <c r="L103" s="102">
        <f t="shared" si="33"/>
        <v>-106.33899999999994</v>
      </c>
      <c r="M103" s="102">
        <f t="shared" si="33"/>
        <v>-26.2349999999999</v>
      </c>
      <c r="N103" s="102">
        <f t="shared" si="33"/>
        <v>-276.76100000000019</v>
      </c>
      <c r="O103" s="102">
        <f t="shared" si="33"/>
        <v>-134.75</v>
      </c>
      <c r="P103" s="102">
        <f t="shared" si="33"/>
        <v>-170</v>
      </c>
      <c r="Q103" s="102">
        <f t="shared" si="33"/>
        <v>-100</v>
      </c>
      <c r="R103" s="102">
        <f t="shared" si="33"/>
        <v>0</v>
      </c>
      <c r="S103" s="102">
        <f t="shared" si="33"/>
        <v>0</v>
      </c>
    </row>
    <row r="104" spans="1:20" s="4" customFormat="1" x14ac:dyDescent="0.2">
      <c r="A104" s="8"/>
      <c r="B104" s="2"/>
      <c r="C104" s="10"/>
      <c r="D104" s="10"/>
      <c r="E104" s="9"/>
      <c r="F104" s="8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</row>
    <row r="105" spans="1:20" s="4" customFormat="1" x14ac:dyDescent="0.2">
      <c r="A105" s="13"/>
      <c r="B105" s="2"/>
      <c r="C105" s="10"/>
      <c r="D105" s="10"/>
      <c r="E105" s="9"/>
      <c r="F105" s="8"/>
      <c r="G105" s="94" t="s">
        <v>407</v>
      </c>
      <c r="H105" s="87">
        <f t="shared" ref="H105:S105" si="34">H32</f>
        <v>2011</v>
      </c>
      <c r="I105" s="87">
        <f t="shared" si="34"/>
        <v>2012</v>
      </c>
      <c r="J105" s="87">
        <f t="shared" si="34"/>
        <v>2013</v>
      </c>
      <c r="K105" s="87">
        <f t="shared" si="34"/>
        <v>2014</v>
      </c>
      <c r="L105" s="87">
        <f t="shared" si="34"/>
        <v>2015</v>
      </c>
      <c r="M105" s="87">
        <f t="shared" si="34"/>
        <v>2016</v>
      </c>
      <c r="N105" s="87">
        <f t="shared" si="34"/>
        <v>2017</v>
      </c>
      <c r="O105" s="87">
        <f t="shared" si="34"/>
        <v>2018</v>
      </c>
      <c r="P105" s="87">
        <f t="shared" si="34"/>
        <v>2019</v>
      </c>
      <c r="Q105" s="87">
        <f t="shared" si="34"/>
        <v>2020</v>
      </c>
      <c r="R105" s="87">
        <f t="shared" si="34"/>
        <v>2021</v>
      </c>
      <c r="S105" s="87">
        <f t="shared" si="34"/>
        <v>2022</v>
      </c>
    </row>
    <row r="106" spans="1:20" s="40" customFormat="1" x14ac:dyDescent="0.2">
      <c r="A106" s="29" t="s">
        <v>408</v>
      </c>
      <c r="B106" s="2" t="s">
        <v>192</v>
      </c>
      <c r="C106" s="29" t="s">
        <v>409</v>
      </c>
      <c r="D106" s="10"/>
      <c r="E106" s="9"/>
      <c r="F106" s="8"/>
      <c r="G106" s="103" t="s">
        <v>407</v>
      </c>
      <c r="H106" s="101" t="s">
        <v>358</v>
      </c>
      <c r="I106" s="104">
        <f t="shared" ref="I106:N106" si="35">(I48-I45+I50)+(I58+I59)+(I82+I83+I84+I85)-(I85-I49)</f>
        <v>153.12900000000008</v>
      </c>
      <c r="J106" s="104">
        <f t="shared" si="35"/>
        <v>97.373999999999924</v>
      </c>
      <c r="K106" s="104">
        <f t="shared" si="35"/>
        <v>199.45400000000029</v>
      </c>
      <c r="L106" s="104">
        <f t="shared" si="35"/>
        <v>-106.33499999999992</v>
      </c>
      <c r="M106" s="104">
        <f t="shared" si="35"/>
        <v>-26.235000000000035</v>
      </c>
      <c r="N106" s="104">
        <f t="shared" si="35"/>
        <v>-276.75000000000045</v>
      </c>
      <c r="O106" s="104">
        <f>(O48-O45+O50)+(O58+O59)+(O82+O83+O84+O85)-(O85-O49)</f>
        <v>-135.11000000000013</v>
      </c>
      <c r="P106" s="104">
        <f>(P48-P45+P50)+(P58+P59)+(P82+P83+P84+P85)-(P85-P49)</f>
        <v>-169.63999999999942</v>
      </c>
      <c r="Q106" s="104">
        <f>(Q48-Q45+Q50)+(Q58+Q59)+(Q82+Q83+Q84+Q85)-(Q85-Q49)</f>
        <v>-99.630000000000109</v>
      </c>
      <c r="R106" s="104">
        <f>(R48-R45+R50)+(R58+R59)+(R82+R83+R84+R85)-(R85-R49)</f>
        <v>0.35999999999989996</v>
      </c>
      <c r="S106" s="104">
        <f>(S48-S45+S50)+(S58+S59)+(S82+S83+S84+S85)-(S85-S49)</f>
        <v>0</v>
      </c>
    </row>
    <row r="107" spans="1:20" s="40" customFormat="1" x14ac:dyDescent="0.2">
      <c r="A107" s="29" t="s">
        <v>410</v>
      </c>
      <c r="B107" s="2" t="s">
        <v>194</v>
      </c>
      <c r="C107" s="29" t="s">
        <v>411</v>
      </c>
      <c r="D107" s="10"/>
      <c r="E107" s="9"/>
      <c r="F107" s="8"/>
      <c r="G107" s="89" t="s">
        <v>412</v>
      </c>
      <c r="H107" s="101" t="s">
        <v>358</v>
      </c>
      <c r="I107" s="85">
        <f>I97-I106</f>
        <v>4.1699999999998738</v>
      </c>
      <c r="J107" s="85">
        <f t="shared" ref="J107:S107" si="36">J97-J106</f>
        <v>0</v>
      </c>
      <c r="K107" s="85">
        <f t="shared" si="36"/>
        <v>4.999999999654392E-3</v>
      </c>
      <c r="L107" s="85">
        <f t="shared" si="36"/>
        <v>-3.0000000000853788E-3</v>
      </c>
      <c r="M107" s="85">
        <f t="shared" si="36"/>
        <v>0</v>
      </c>
      <c r="N107" s="85">
        <f t="shared" si="36"/>
        <v>-9.9999999946476237E-4</v>
      </c>
      <c r="O107" s="85">
        <f t="shared" si="36"/>
        <v>0.35000000000013642</v>
      </c>
      <c r="P107" s="85">
        <f t="shared" si="36"/>
        <v>-0.36000000000058208</v>
      </c>
      <c r="Q107" s="85">
        <f t="shared" si="36"/>
        <v>-0.36999999999989086</v>
      </c>
      <c r="R107" s="85">
        <f t="shared" si="36"/>
        <v>-0.35999999999989996</v>
      </c>
      <c r="S107" s="85">
        <f t="shared" si="36"/>
        <v>0</v>
      </c>
    </row>
    <row r="108" spans="1:20" s="40" customFormat="1" x14ac:dyDescent="0.2">
      <c r="A108" s="29"/>
      <c r="B108" s="2"/>
      <c r="C108" s="29"/>
      <c r="D108" s="10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</row>
    <row r="109" spans="1:20" s="40" customFormat="1" x14ac:dyDescent="0.2">
      <c r="A109" s="29"/>
      <c r="B109" s="2"/>
      <c r="C109" s="29"/>
      <c r="D109" s="10"/>
      <c r="E109" s="9"/>
      <c r="F109" s="8"/>
      <c r="G109" s="94" t="s">
        <v>413</v>
      </c>
      <c r="H109" s="87">
        <f>H105</f>
        <v>2011</v>
      </c>
      <c r="I109" s="87">
        <f t="shared" ref="I109:S109" si="37">I105</f>
        <v>2012</v>
      </c>
      <c r="J109" s="87">
        <f t="shared" si="37"/>
        <v>2013</v>
      </c>
      <c r="K109" s="87">
        <f t="shared" si="37"/>
        <v>2014</v>
      </c>
      <c r="L109" s="87">
        <f t="shared" si="37"/>
        <v>2015</v>
      </c>
      <c r="M109" s="87">
        <f t="shared" si="37"/>
        <v>2016</v>
      </c>
      <c r="N109" s="87">
        <f t="shared" si="37"/>
        <v>2017</v>
      </c>
      <c r="O109" s="87">
        <f t="shared" si="37"/>
        <v>2018</v>
      </c>
      <c r="P109" s="87">
        <f t="shared" si="37"/>
        <v>2019</v>
      </c>
      <c r="Q109" s="87">
        <f t="shared" si="37"/>
        <v>2020</v>
      </c>
      <c r="R109" s="87">
        <f t="shared" si="37"/>
        <v>2021</v>
      </c>
      <c r="S109" s="87">
        <f t="shared" si="37"/>
        <v>2022</v>
      </c>
    </row>
    <row r="110" spans="1:20" s="4" customFormat="1" x14ac:dyDescent="0.2">
      <c r="A110" s="8" t="s">
        <v>414</v>
      </c>
      <c r="B110" s="2" t="s">
        <v>415</v>
      </c>
      <c r="C110" s="34" t="s">
        <v>190</v>
      </c>
      <c r="D110" s="10"/>
      <c r="E110" s="9"/>
      <c r="F110" s="8"/>
      <c r="G110" s="103" t="s">
        <v>191</v>
      </c>
      <c r="H110" s="105">
        <f t="shared" ref="H110:S110" si="38">H33+H38+H41-H45</f>
        <v>-16.507000000000488</v>
      </c>
      <c r="I110" s="77">
        <f t="shared" si="38"/>
        <v>146.01200000000009</v>
      </c>
      <c r="J110" s="77">
        <f t="shared" si="38"/>
        <v>97.373999999999924</v>
      </c>
      <c r="K110" s="77">
        <f t="shared" si="38"/>
        <v>199.45900000000029</v>
      </c>
      <c r="L110" s="77">
        <f t="shared" si="38"/>
        <v>-109.01299999999992</v>
      </c>
      <c r="M110" s="77">
        <f t="shared" si="38"/>
        <v>-27.638000000000034</v>
      </c>
      <c r="N110" s="77">
        <f t="shared" si="38"/>
        <v>-276.75000000000045</v>
      </c>
      <c r="O110" s="77">
        <f t="shared" si="38"/>
        <v>-135.11000000000013</v>
      </c>
      <c r="P110" s="77">
        <f t="shared" si="38"/>
        <v>-169.63999999999942</v>
      </c>
      <c r="Q110" s="77">
        <f t="shared" si="38"/>
        <v>-99.630000000000109</v>
      </c>
      <c r="R110" s="77">
        <f t="shared" si="38"/>
        <v>0.35999999999989996</v>
      </c>
      <c r="S110" s="77">
        <f t="shared" si="38"/>
        <v>0</v>
      </c>
    </row>
    <row r="111" spans="1:20" s="4" customFormat="1" x14ac:dyDescent="0.2">
      <c r="A111" s="8" t="s">
        <v>416</v>
      </c>
      <c r="B111" s="2" t="s">
        <v>197</v>
      </c>
      <c r="C111" s="8" t="s">
        <v>417</v>
      </c>
      <c r="D111" s="10"/>
      <c r="E111" s="106">
        <v>0</v>
      </c>
      <c r="F111" s="8"/>
      <c r="G111" s="46" t="s">
        <v>193</v>
      </c>
      <c r="H111" s="107">
        <f t="shared" ref="H111:S111" si="39">H110/H33</f>
        <v>-5.7650223413389474E-3</v>
      </c>
      <c r="I111" s="108">
        <f t="shared" si="39"/>
        <v>9.9585865971168905E-2</v>
      </c>
      <c r="J111" s="108">
        <f t="shared" si="39"/>
        <v>5.6602325849058097E-2</v>
      </c>
      <c r="K111" s="108">
        <f t="shared" si="39"/>
        <v>4.5514673683984798E-2</v>
      </c>
      <c r="L111" s="108">
        <f t="shared" si="39"/>
        <v>-7.3656038939803783E-2</v>
      </c>
      <c r="M111" s="108">
        <f t="shared" si="39"/>
        <v>-1.663378588048087E-2</v>
      </c>
      <c r="N111" s="108">
        <f t="shared" si="39"/>
        <v>-8.1445686689405869E-2</v>
      </c>
      <c r="O111" s="108">
        <f t="shared" si="39"/>
        <v>-7.8081566370198363E-2</v>
      </c>
      <c r="P111" s="108">
        <f t="shared" si="39"/>
        <v>-3.6955707177650426E-2</v>
      </c>
      <c r="Q111" s="108">
        <f t="shared" si="39"/>
        <v>-6.2254353680711409E-2</v>
      </c>
      <c r="R111" s="108">
        <f t="shared" si="39"/>
        <v>1.8943779073433455E-4</v>
      </c>
      <c r="S111" s="108">
        <f t="shared" si="39"/>
        <v>0</v>
      </c>
    </row>
    <row r="112" spans="1:20" s="4" customFormat="1" x14ac:dyDescent="0.2">
      <c r="A112" s="8" t="s">
        <v>418</v>
      </c>
      <c r="B112" s="2" t="s">
        <v>200</v>
      </c>
      <c r="C112" s="34" t="s">
        <v>195</v>
      </c>
      <c r="D112" s="10"/>
      <c r="E112" s="109"/>
      <c r="F112" s="8"/>
      <c r="G112" s="110" t="s">
        <v>196</v>
      </c>
      <c r="H112" s="111">
        <f t="shared" ref="H112:S112" si="40">-H33/(H38+H41)</f>
        <v>0.99349801061122989</v>
      </c>
      <c r="I112" s="111">
        <f t="shared" si="40"/>
        <v>1.1102468574890203</v>
      </c>
      <c r="J112" s="111">
        <f t="shared" si="40"/>
        <v>1.0595113599270796</v>
      </c>
      <c r="K112" s="111">
        <f t="shared" si="40"/>
        <v>1.0476850428488576</v>
      </c>
      <c r="L112" s="111">
        <f t="shared" si="40"/>
        <v>0.9313969872394734</v>
      </c>
      <c r="M112" s="111">
        <f t="shared" si="40"/>
        <v>0.98363836997009235</v>
      </c>
      <c r="N112" s="111">
        <f t="shared" si="40"/>
        <v>0.92468813950450635</v>
      </c>
      <c r="O112" s="111">
        <f t="shared" si="40"/>
        <v>0.92757360036022896</v>
      </c>
      <c r="P112" s="111">
        <f t="shared" si="40"/>
        <v>0.9643613445378153</v>
      </c>
      <c r="Q112" s="111">
        <f t="shared" si="40"/>
        <v>0.94139411764705871</v>
      </c>
      <c r="R112" s="111">
        <f t="shared" si="40"/>
        <v>1.0001894736842105</v>
      </c>
      <c r="S112" s="111">
        <f t="shared" si="40"/>
        <v>1</v>
      </c>
    </row>
    <row r="113" spans="1:20" s="4" customFormat="1" x14ac:dyDescent="0.2">
      <c r="A113" s="8" t="s">
        <v>419</v>
      </c>
      <c r="B113" s="2" t="s">
        <v>420</v>
      </c>
      <c r="C113" s="8" t="s">
        <v>198</v>
      </c>
      <c r="D113" s="10"/>
      <c r="E113" s="109"/>
      <c r="F113" s="8"/>
      <c r="G113" s="103" t="s">
        <v>199</v>
      </c>
      <c r="H113" s="105">
        <f t="shared" ref="H113:S113" si="41">H46</f>
        <v>-18.739000000000487</v>
      </c>
      <c r="I113" s="105">
        <f t="shared" si="41"/>
        <v>145.5920000000001</v>
      </c>
      <c r="J113" s="105">
        <f t="shared" si="41"/>
        <v>96.627999999999929</v>
      </c>
      <c r="K113" s="105">
        <f t="shared" si="41"/>
        <v>199.45900000000029</v>
      </c>
      <c r="L113" s="105">
        <f t="shared" si="41"/>
        <v>-109.01299999999992</v>
      </c>
      <c r="M113" s="105">
        <f t="shared" si="41"/>
        <v>-27.638000000000034</v>
      </c>
      <c r="N113" s="105">
        <f t="shared" si="41"/>
        <v>-276.75000000000045</v>
      </c>
      <c r="O113" s="105">
        <f t="shared" si="41"/>
        <v>-135.11000000000013</v>
      </c>
      <c r="P113" s="105">
        <f t="shared" si="41"/>
        <v>-169.63999999999942</v>
      </c>
      <c r="Q113" s="105">
        <f t="shared" si="41"/>
        <v>-99.630000000000109</v>
      </c>
      <c r="R113" s="105">
        <f t="shared" si="41"/>
        <v>0.35999999999989996</v>
      </c>
      <c r="S113" s="105">
        <f t="shared" si="41"/>
        <v>0</v>
      </c>
    </row>
    <row r="114" spans="1:20" s="4" customFormat="1" x14ac:dyDescent="0.2">
      <c r="A114" s="8" t="s">
        <v>421</v>
      </c>
      <c r="B114" s="2" t="s">
        <v>422</v>
      </c>
      <c r="C114" s="8" t="s">
        <v>201</v>
      </c>
      <c r="D114" s="106">
        <v>-0.3</v>
      </c>
      <c r="E114" s="106">
        <v>0</v>
      </c>
      <c r="F114" s="8"/>
      <c r="G114" s="110" t="s">
        <v>202</v>
      </c>
      <c r="H114" s="112">
        <f t="shared" ref="H114:S114" si="42">H46/H33</f>
        <v>-6.544541930959602E-3</v>
      </c>
      <c r="I114" s="113">
        <f t="shared" si="42"/>
        <v>9.9299409627115753E-2</v>
      </c>
      <c r="J114" s="113">
        <f t="shared" si="42"/>
        <v>5.6168685091942262E-2</v>
      </c>
      <c r="K114" s="113">
        <f t="shared" si="42"/>
        <v>4.5514673683984798E-2</v>
      </c>
      <c r="L114" s="113">
        <f t="shared" si="42"/>
        <v>-7.3656038939803783E-2</v>
      </c>
      <c r="M114" s="113">
        <f t="shared" si="42"/>
        <v>-1.663378588048087E-2</v>
      </c>
      <c r="N114" s="113">
        <f t="shared" si="42"/>
        <v>-8.1445686689405869E-2</v>
      </c>
      <c r="O114" s="113">
        <f t="shared" si="42"/>
        <v>-7.8081566370198363E-2</v>
      </c>
      <c r="P114" s="113">
        <f t="shared" si="42"/>
        <v>-3.6955707177650426E-2</v>
      </c>
      <c r="Q114" s="113">
        <f t="shared" si="42"/>
        <v>-6.2254353680711409E-2</v>
      </c>
      <c r="R114" s="113">
        <f t="shared" si="42"/>
        <v>1.8943779073433455E-4</v>
      </c>
      <c r="S114" s="113">
        <f t="shared" si="42"/>
        <v>0</v>
      </c>
    </row>
    <row r="115" spans="1:20" s="4" customFormat="1" x14ac:dyDescent="0.2">
      <c r="A115" s="8" t="s">
        <v>423</v>
      </c>
      <c r="B115" s="2" t="s">
        <v>424</v>
      </c>
      <c r="C115" s="8" t="s">
        <v>204</v>
      </c>
      <c r="D115" s="10"/>
      <c r="E115" s="109"/>
      <c r="F115" s="8"/>
      <c r="G115" s="46" t="s">
        <v>205</v>
      </c>
      <c r="H115" s="105">
        <f t="shared" ref="H115:S115" si="43">H29+H30</f>
        <v>798.12199999999996</v>
      </c>
      <c r="I115" s="105">
        <f t="shared" si="43"/>
        <v>944.99799999999993</v>
      </c>
      <c r="J115" s="105">
        <f t="shared" si="43"/>
        <v>1041.625</v>
      </c>
      <c r="K115" s="105">
        <f t="shared" si="43"/>
        <v>1241.085</v>
      </c>
      <c r="L115" s="105">
        <f t="shared" si="43"/>
        <v>1134.7460000000001</v>
      </c>
      <c r="M115" s="105">
        <f t="shared" si="43"/>
        <v>1108.5110000000002</v>
      </c>
      <c r="N115" s="105">
        <f t="shared" si="43"/>
        <v>831.75</v>
      </c>
      <c r="O115" s="105">
        <f t="shared" si="43"/>
        <v>697</v>
      </c>
      <c r="P115" s="105">
        <f t="shared" si="43"/>
        <v>527</v>
      </c>
      <c r="Q115" s="105">
        <f t="shared" si="43"/>
        <v>427</v>
      </c>
      <c r="R115" s="105">
        <f t="shared" si="43"/>
        <v>427</v>
      </c>
      <c r="S115" s="105">
        <f t="shared" si="43"/>
        <v>427</v>
      </c>
    </row>
    <row r="116" spans="1:20" s="4" customFormat="1" x14ac:dyDescent="0.2">
      <c r="A116" s="8"/>
      <c r="B116" s="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</row>
    <row r="117" spans="1:20" s="4" customFormat="1" x14ac:dyDescent="0.2">
      <c r="A117" s="8"/>
      <c r="B117" s="2"/>
      <c r="C117" s="10"/>
      <c r="D117" s="10"/>
      <c r="E117" s="8"/>
      <c r="F117" s="8"/>
      <c r="G117" s="94" t="s">
        <v>206</v>
      </c>
      <c r="H117" s="87">
        <f t="shared" ref="H117:S117" si="44">H105</f>
        <v>2011</v>
      </c>
      <c r="I117" s="87">
        <f t="shared" si="44"/>
        <v>2012</v>
      </c>
      <c r="J117" s="87">
        <f t="shared" si="44"/>
        <v>2013</v>
      </c>
      <c r="K117" s="87">
        <f t="shared" si="44"/>
        <v>2014</v>
      </c>
      <c r="L117" s="87">
        <f t="shared" si="44"/>
        <v>2015</v>
      </c>
      <c r="M117" s="87">
        <f t="shared" si="44"/>
        <v>2016</v>
      </c>
      <c r="N117" s="87">
        <f t="shared" si="44"/>
        <v>2017</v>
      </c>
      <c r="O117" s="87">
        <f t="shared" si="44"/>
        <v>2018</v>
      </c>
      <c r="P117" s="87">
        <f t="shared" si="44"/>
        <v>2019</v>
      </c>
      <c r="Q117" s="87">
        <f t="shared" si="44"/>
        <v>2020</v>
      </c>
      <c r="R117" s="87">
        <f t="shared" si="44"/>
        <v>2021</v>
      </c>
      <c r="S117" s="87">
        <f t="shared" si="44"/>
        <v>2022</v>
      </c>
    </row>
    <row r="118" spans="1:20" s="4" customFormat="1" x14ac:dyDescent="0.2">
      <c r="A118" s="34" t="s">
        <v>425</v>
      </c>
      <c r="B118" s="2" t="s">
        <v>426</v>
      </c>
      <c r="C118" s="10" t="s">
        <v>208</v>
      </c>
      <c r="D118" s="10"/>
      <c r="E118" s="109"/>
      <c r="F118" s="37"/>
      <c r="G118" s="103" t="s">
        <v>209</v>
      </c>
      <c r="H118" s="105">
        <f t="shared" ref="H118:S118" si="45">H6+H12</f>
        <v>819.69100000000003</v>
      </c>
      <c r="I118" s="77">
        <f t="shared" si="45"/>
        <v>986.06100000000004</v>
      </c>
      <c r="J118" s="77">
        <f t="shared" si="45"/>
        <v>1095.6310000000001</v>
      </c>
      <c r="K118" s="77">
        <f t="shared" si="45"/>
        <v>1271.308</v>
      </c>
      <c r="L118" s="77">
        <f t="shared" si="45"/>
        <v>1172.318</v>
      </c>
      <c r="M118" s="77">
        <f t="shared" si="45"/>
        <v>1120.81</v>
      </c>
      <c r="N118" s="77">
        <f t="shared" si="45"/>
        <v>848.25</v>
      </c>
      <c r="O118" s="77">
        <f t="shared" si="45"/>
        <v>713</v>
      </c>
      <c r="P118" s="77">
        <f t="shared" si="45"/>
        <v>543</v>
      </c>
      <c r="Q118" s="77">
        <f t="shared" si="45"/>
        <v>443</v>
      </c>
      <c r="R118" s="77">
        <f t="shared" si="45"/>
        <v>443</v>
      </c>
      <c r="S118" s="77">
        <f t="shared" si="45"/>
        <v>443</v>
      </c>
    </row>
    <row r="119" spans="1:20" s="4" customFormat="1" x14ac:dyDescent="0.2">
      <c r="A119" s="8" t="s">
        <v>427</v>
      </c>
      <c r="B119" s="2" t="s">
        <v>428</v>
      </c>
      <c r="C119" s="8" t="s">
        <v>42</v>
      </c>
      <c r="D119" s="10"/>
      <c r="E119" s="109"/>
      <c r="F119" s="37"/>
      <c r="G119" s="110" t="s">
        <v>211</v>
      </c>
      <c r="H119" s="105">
        <f t="shared" ref="H119:S119" si="46">H19</f>
        <v>43.356999999999999</v>
      </c>
      <c r="I119" s="105">
        <f t="shared" si="46"/>
        <v>58.079000000000001</v>
      </c>
      <c r="J119" s="105">
        <f t="shared" si="46"/>
        <v>62.375999999999998</v>
      </c>
      <c r="K119" s="105">
        <f t="shared" si="46"/>
        <v>37.851999999999997</v>
      </c>
      <c r="L119" s="105">
        <f t="shared" si="46"/>
        <v>60.747999999999998</v>
      </c>
      <c r="M119" s="105">
        <f t="shared" si="46"/>
        <v>30.013000000000002</v>
      </c>
      <c r="N119" s="105">
        <f t="shared" si="46"/>
        <v>42.25</v>
      </c>
      <c r="O119" s="105">
        <f t="shared" si="46"/>
        <v>42</v>
      </c>
      <c r="P119" s="105">
        <f t="shared" si="46"/>
        <v>42</v>
      </c>
      <c r="Q119" s="105">
        <f t="shared" si="46"/>
        <v>42</v>
      </c>
      <c r="R119" s="105">
        <f t="shared" si="46"/>
        <v>42</v>
      </c>
      <c r="S119" s="105">
        <f t="shared" si="46"/>
        <v>42</v>
      </c>
    </row>
    <row r="120" spans="1:20" s="4" customFormat="1" x14ac:dyDescent="0.2">
      <c r="A120" s="8" t="s">
        <v>429</v>
      </c>
      <c r="B120" s="2" t="s">
        <v>203</v>
      </c>
      <c r="C120" s="8" t="s">
        <v>430</v>
      </c>
      <c r="D120" s="10"/>
      <c r="E120" s="109"/>
      <c r="F120" s="37"/>
      <c r="G120" s="110" t="s">
        <v>212</v>
      </c>
      <c r="H120" s="105">
        <f t="shared" ref="H120:S120" si="47">H119-H118</f>
        <v>-776.33400000000006</v>
      </c>
      <c r="I120" s="77">
        <f t="shared" si="47"/>
        <v>-927.98200000000008</v>
      </c>
      <c r="J120" s="77">
        <f t="shared" si="47"/>
        <v>-1033.2550000000001</v>
      </c>
      <c r="K120" s="77">
        <f t="shared" si="47"/>
        <v>-1233.4559999999999</v>
      </c>
      <c r="L120" s="77">
        <f t="shared" si="47"/>
        <v>-1111.57</v>
      </c>
      <c r="M120" s="77">
        <f>M119-M118</f>
        <v>-1090.797</v>
      </c>
      <c r="N120" s="77">
        <f t="shared" si="47"/>
        <v>-806</v>
      </c>
      <c r="O120" s="77">
        <f t="shared" si="47"/>
        <v>-671</v>
      </c>
      <c r="P120" s="77">
        <f t="shared" si="47"/>
        <v>-501</v>
      </c>
      <c r="Q120" s="77">
        <f t="shared" si="47"/>
        <v>-401</v>
      </c>
      <c r="R120" s="77">
        <f t="shared" si="47"/>
        <v>-401</v>
      </c>
      <c r="S120" s="77">
        <f t="shared" si="47"/>
        <v>-401</v>
      </c>
    </row>
    <row r="121" spans="1:20" s="4" customFormat="1" x14ac:dyDescent="0.2">
      <c r="A121" s="34" t="s">
        <v>431</v>
      </c>
      <c r="B121" s="2" t="s">
        <v>207</v>
      </c>
      <c r="C121" s="8" t="s">
        <v>432</v>
      </c>
      <c r="D121" s="10"/>
      <c r="E121" s="106">
        <v>0.4</v>
      </c>
      <c r="F121" s="114" t="s">
        <v>433</v>
      </c>
      <c r="G121" s="46" t="s">
        <v>213</v>
      </c>
      <c r="H121" s="115">
        <f t="shared" ref="H121:S121" si="48">H120/H33</f>
        <v>-0.27113241984254549</v>
      </c>
      <c r="I121" s="108">
        <f t="shared" si="48"/>
        <v>-0.63291983587415568</v>
      </c>
      <c r="J121" s="108">
        <f t="shared" si="48"/>
        <v>-0.60061860655995003</v>
      </c>
      <c r="K121" s="108">
        <f t="shared" si="48"/>
        <v>-0.28146309438808514</v>
      </c>
      <c r="L121" s="108">
        <f t="shared" si="48"/>
        <v>-0.75104660182104654</v>
      </c>
      <c r="M121" s="108">
        <f t="shared" si="48"/>
        <v>-0.65649047460275234</v>
      </c>
      <c r="N121" s="108">
        <f t="shared" si="48"/>
        <v>-0.23720044614872998</v>
      </c>
      <c r="O121" s="108">
        <f t="shared" si="48"/>
        <v>-0.38777833642515763</v>
      </c>
      <c r="P121" s="108">
        <f t="shared" si="48"/>
        <v>-0.10914176665882414</v>
      </c>
      <c r="Q121" s="108">
        <f t="shared" si="48"/>
        <v>-0.25056705636821486</v>
      </c>
      <c r="R121" s="108">
        <f t="shared" si="48"/>
        <v>-0.21101265023469237</v>
      </c>
      <c r="S121" s="108">
        <f t="shared" si="48"/>
        <v>-9.3691588785046728E-2</v>
      </c>
    </row>
    <row r="122" spans="1:20" s="4" customFormat="1" x14ac:dyDescent="0.2">
      <c r="A122" s="8" t="s">
        <v>434</v>
      </c>
      <c r="B122" s="2" t="s">
        <v>210</v>
      </c>
      <c r="C122" s="8" t="s">
        <v>435</v>
      </c>
      <c r="D122" s="116">
        <v>0</v>
      </c>
      <c r="E122" s="116">
        <v>5</v>
      </c>
      <c r="F122" s="37"/>
      <c r="G122" s="100" t="s">
        <v>215</v>
      </c>
      <c r="H122" s="111">
        <f t="shared" ref="H122:S122" si="49">H120/H110</f>
        <v>47.03059308172152</v>
      </c>
      <c r="I122" s="111">
        <f t="shared" si="49"/>
        <v>-6.3555187244883955</v>
      </c>
      <c r="J122" s="111">
        <f t="shared" si="49"/>
        <v>-10.611200115020447</v>
      </c>
      <c r="K122" s="111">
        <f t="shared" si="49"/>
        <v>-6.1840077409392311</v>
      </c>
      <c r="L122" s="111">
        <f t="shared" si="49"/>
        <v>10.196673791199222</v>
      </c>
      <c r="M122" s="111">
        <f>M120/M110</f>
        <v>39.467291410376973</v>
      </c>
      <c r="N122" s="111">
        <f t="shared" si="49"/>
        <v>2.9123757904245662</v>
      </c>
      <c r="O122" s="111">
        <f t="shared" si="49"/>
        <v>4.9663237362149317</v>
      </c>
      <c r="P122" s="111">
        <f t="shared" si="49"/>
        <v>2.9533128979014487</v>
      </c>
      <c r="Q122" s="111">
        <f t="shared" si="49"/>
        <v>4.0248921007728553</v>
      </c>
      <c r="R122" s="111">
        <f t="shared" si="49"/>
        <v>-1113.8888888891984</v>
      </c>
      <c r="S122" s="111" t="e">
        <f t="shared" si="49"/>
        <v>#DIV/0!</v>
      </c>
    </row>
    <row r="123" spans="1:20" s="4" customFormat="1" x14ac:dyDescent="0.2">
      <c r="A123" s="8" t="s">
        <v>436</v>
      </c>
      <c r="B123" s="2" t="s">
        <v>437</v>
      </c>
      <c r="C123" s="8" t="s">
        <v>217</v>
      </c>
      <c r="D123" s="10"/>
      <c r="E123" s="109"/>
      <c r="F123" s="37"/>
      <c r="G123" s="110" t="s">
        <v>218</v>
      </c>
      <c r="H123" s="105">
        <f t="shared" ref="H123:S123" si="50">-(H75+H77+H78+H79+H80+H81)</f>
        <v>0</v>
      </c>
      <c r="I123" s="105">
        <f t="shared" si="50"/>
        <v>2.5000000000000001E-2</v>
      </c>
      <c r="J123" s="105">
        <f t="shared" si="50"/>
        <v>0</v>
      </c>
      <c r="K123" s="105">
        <f t="shared" si="50"/>
        <v>5.0000000000000001E-3</v>
      </c>
      <c r="L123" s="105">
        <f t="shared" si="50"/>
        <v>3.0000000000000001E-3</v>
      </c>
      <c r="M123" s="105">
        <f t="shared" si="50"/>
        <v>0</v>
      </c>
      <c r="N123" s="105">
        <f t="shared" si="50"/>
        <v>0</v>
      </c>
      <c r="O123" s="105">
        <f t="shared" si="50"/>
        <v>0</v>
      </c>
      <c r="P123" s="105">
        <f t="shared" si="50"/>
        <v>0</v>
      </c>
      <c r="Q123" s="105">
        <f t="shared" si="50"/>
        <v>0</v>
      </c>
      <c r="R123" s="105">
        <f t="shared" si="50"/>
        <v>0</v>
      </c>
      <c r="S123" s="105">
        <f t="shared" si="50"/>
        <v>0</v>
      </c>
    </row>
    <row r="124" spans="1:20" s="4" customFormat="1" x14ac:dyDescent="0.2">
      <c r="A124" s="8" t="s">
        <v>438</v>
      </c>
      <c r="B124" s="2" t="s">
        <v>439</v>
      </c>
      <c r="C124" s="8" t="s">
        <v>440</v>
      </c>
      <c r="D124" s="10"/>
      <c r="E124" s="116">
        <v>1.2</v>
      </c>
      <c r="F124" s="114" t="s">
        <v>433</v>
      </c>
      <c r="G124" s="110" t="s">
        <v>220</v>
      </c>
      <c r="H124" s="117" t="e">
        <f t="shared" ref="H124:S124" si="51">H110/H123</f>
        <v>#DIV/0!</v>
      </c>
      <c r="I124" s="111">
        <f t="shared" si="51"/>
        <v>5840.4800000000032</v>
      </c>
      <c r="J124" s="111" t="e">
        <f t="shared" si="51"/>
        <v>#DIV/0!</v>
      </c>
      <c r="K124" s="111">
        <f t="shared" si="51"/>
        <v>39891.800000000054</v>
      </c>
      <c r="L124" s="111">
        <f t="shared" si="51"/>
        <v>-36337.666666666642</v>
      </c>
      <c r="M124" s="111" t="e">
        <f t="shared" si="51"/>
        <v>#DIV/0!</v>
      </c>
      <c r="N124" s="111" t="e">
        <f t="shared" si="51"/>
        <v>#DIV/0!</v>
      </c>
      <c r="O124" s="111" t="e">
        <f t="shared" si="51"/>
        <v>#DIV/0!</v>
      </c>
      <c r="P124" s="111" t="e">
        <f t="shared" si="51"/>
        <v>#DIV/0!</v>
      </c>
      <c r="Q124" s="111" t="e">
        <f t="shared" si="51"/>
        <v>#DIV/0!</v>
      </c>
      <c r="R124" s="111" t="e">
        <f t="shared" si="51"/>
        <v>#DIV/0!</v>
      </c>
      <c r="S124" s="111" t="e">
        <f t="shared" si="51"/>
        <v>#DIV/0!</v>
      </c>
    </row>
    <row r="125" spans="1:20" s="4" customFormat="1" x14ac:dyDescent="0.2">
      <c r="A125" s="38" t="s">
        <v>441</v>
      </c>
      <c r="B125" s="2" t="s">
        <v>442</v>
      </c>
      <c r="C125" s="8" t="s">
        <v>222</v>
      </c>
      <c r="D125" s="10"/>
      <c r="E125" s="116">
        <v>0</v>
      </c>
      <c r="F125" s="37"/>
      <c r="G125" s="103" t="s">
        <v>223</v>
      </c>
      <c r="H125" s="105">
        <f t="shared" ref="H125:S125" si="52">H5-H20</f>
        <v>786.95200000000011</v>
      </c>
      <c r="I125" s="105">
        <f t="shared" si="52"/>
        <v>944.25100000000009</v>
      </c>
      <c r="J125" s="105">
        <f t="shared" si="52"/>
        <v>1041.625</v>
      </c>
      <c r="K125" s="105">
        <f t="shared" si="52"/>
        <v>1241.0839999999998</v>
      </c>
      <c r="L125" s="105">
        <f t="shared" si="52"/>
        <v>1134.7459999999999</v>
      </c>
      <c r="M125" s="105">
        <f t="shared" si="52"/>
        <v>1108.511</v>
      </c>
      <c r="N125" s="105">
        <f t="shared" si="52"/>
        <v>831.76</v>
      </c>
      <c r="O125" s="105">
        <f t="shared" si="52"/>
        <v>697</v>
      </c>
      <c r="P125" s="105">
        <f t="shared" si="52"/>
        <v>527</v>
      </c>
      <c r="Q125" s="105">
        <f t="shared" si="52"/>
        <v>427</v>
      </c>
      <c r="R125" s="105">
        <f t="shared" si="52"/>
        <v>427</v>
      </c>
      <c r="S125" s="105">
        <f t="shared" si="52"/>
        <v>427</v>
      </c>
    </row>
    <row r="126" spans="1:20" s="4" customFormat="1" x14ac:dyDescent="0.2">
      <c r="A126" s="34" t="s">
        <v>443</v>
      </c>
      <c r="B126" s="2" t="s">
        <v>444</v>
      </c>
      <c r="C126" s="8" t="s">
        <v>225</v>
      </c>
      <c r="D126" s="10"/>
      <c r="E126" s="116">
        <v>1</v>
      </c>
      <c r="F126" s="114" t="s">
        <v>433</v>
      </c>
      <c r="G126" s="110" t="s">
        <v>226</v>
      </c>
      <c r="H126" s="117">
        <f t="shared" ref="H126:S126" si="53">H5/H20</f>
        <v>19.150517794127826</v>
      </c>
      <c r="I126" s="117">
        <f t="shared" si="53"/>
        <v>17.258045076533687</v>
      </c>
      <c r="J126" s="117">
        <f t="shared" si="53"/>
        <v>17.699131076054893</v>
      </c>
      <c r="K126" s="117">
        <f t="shared" si="53"/>
        <v>33.787805135792034</v>
      </c>
      <c r="L126" s="117">
        <f t="shared" si="53"/>
        <v>19.679561467044181</v>
      </c>
      <c r="M126" s="117">
        <f t="shared" si="53"/>
        <v>37.934361776563485</v>
      </c>
      <c r="N126" s="117">
        <f t="shared" si="53"/>
        <v>20.686627218934913</v>
      </c>
      <c r="O126" s="117">
        <f t="shared" si="53"/>
        <v>17.595238095238095</v>
      </c>
      <c r="P126" s="117">
        <f t="shared" si="53"/>
        <v>13.547619047619047</v>
      </c>
      <c r="Q126" s="117">
        <f t="shared" si="53"/>
        <v>11.166666666666666</v>
      </c>
      <c r="R126" s="117">
        <f t="shared" si="53"/>
        <v>11.166666666666666</v>
      </c>
      <c r="S126" s="117">
        <f t="shared" si="53"/>
        <v>11.166666666666666</v>
      </c>
    </row>
    <row r="127" spans="1:20" s="4" customFormat="1" x14ac:dyDescent="0.2">
      <c r="A127" s="34" t="s">
        <v>445</v>
      </c>
      <c r="B127" s="2" t="s">
        <v>214</v>
      </c>
      <c r="C127" s="34" t="s">
        <v>228</v>
      </c>
      <c r="D127" s="10"/>
      <c r="E127" s="116">
        <v>1</v>
      </c>
      <c r="F127" s="37"/>
      <c r="G127" s="46" t="s">
        <v>229</v>
      </c>
      <c r="H127" s="117">
        <f t="shared" ref="H127:S127" si="54">-H6/((H38+H41-H45+H47)/12)</f>
        <v>3.4204873319495541</v>
      </c>
      <c r="I127" s="117">
        <f t="shared" si="54"/>
        <v>8.9716945081340782</v>
      </c>
      <c r="J127" s="117">
        <f t="shared" si="54"/>
        <v>8.1010632529526596</v>
      </c>
      <c r="K127" s="117">
        <f t="shared" si="54"/>
        <v>3.6472039259384816</v>
      </c>
      <c r="L127" s="117">
        <f t="shared" si="54"/>
        <v>8.8679677980386593</v>
      </c>
      <c r="M127" s="117">
        <f t="shared" si="54"/>
        <v>7.9688208210367026</v>
      </c>
      <c r="N127" s="117">
        <f t="shared" si="54"/>
        <v>2.7700069665171765</v>
      </c>
      <c r="O127" s="117">
        <f t="shared" si="54"/>
        <v>4.5864871239573723</v>
      </c>
      <c r="P127" s="117">
        <f t="shared" si="54"/>
        <v>1.3689075630252101</v>
      </c>
      <c r="Q127" s="117">
        <f t="shared" si="54"/>
        <v>3.1270588235294121</v>
      </c>
      <c r="R127" s="117">
        <f t="shared" si="54"/>
        <v>2.797894736842105</v>
      </c>
      <c r="S127" s="117">
        <f t="shared" si="54"/>
        <v>1.2420560747663552</v>
      </c>
    </row>
    <row r="128" spans="1:20" s="4" customFormat="1" x14ac:dyDescent="0.2">
      <c r="A128" s="34"/>
      <c r="B128" s="2"/>
      <c r="C128" s="34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</row>
    <row r="129" spans="1:21" s="4" customFormat="1" x14ac:dyDescent="0.2">
      <c r="A129" s="8"/>
      <c r="B129" s="2"/>
      <c r="C129" s="8"/>
      <c r="D129" s="10"/>
      <c r="E129" s="9"/>
      <c r="F129" s="37"/>
      <c r="G129" s="94" t="s">
        <v>230</v>
      </c>
      <c r="H129" s="87">
        <f t="shared" ref="H129:S129" si="55">H117</f>
        <v>2011</v>
      </c>
      <c r="I129" s="87">
        <f t="shared" si="55"/>
        <v>2012</v>
      </c>
      <c r="J129" s="87">
        <f t="shared" si="55"/>
        <v>2013</v>
      </c>
      <c r="K129" s="87">
        <f t="shared" si="55"/>
        <v>2014</v>
      </c>
      <c r="L129" s="87">
        <f t="shared" si="55"/>
        <v>2015</v>
      </c>
      <c r="M129" s="87">
        <f t="shared" si="55"/>
        <v>2016</v>
      </c>
      <c r="N129" s="87">
        <f t="shared" si="55"/>
        <v>2017</v>
      </c>
      <c r="O129" s="87">
        <f t="shared" si="55"/>
        <v>2018</v>
      </c>
      <c r="P129" s="87">
        <f t="shared" si="55"/>
        <v>2019</v>
      </c>
      <c r="Q129" s="87">
        <f t="shared" si="55"/>
        <v>2020</v>
      </c>
      <c r="R129" s="87">
        <f t="shared" si="55"/>
        <v>2021</v>
      </c>
      <c r="S129" s="87">
        <f t="shared" si="55"/>
        <v>2022</v>
      </c>
    </row>
    <row r="130" spans="1:21" s="4" customFormat="1" x14ac:dyDescent="0.2">
      <c r="A130" s="34" t="s">
        <v>446</v>
      </c>
      <c r="B130" s="2" t="s">
        <v>216</v>
      </c>
      <c r="C130" s="34" t="s">
        <v>232</v>
      </c>
      <c r="D130" s="10"/>
      <c r="E130" s="106">
        <v>0.6</v>
      </c>
      <c r="F130" s="37"/>
      <c r="G130" s="103" t="s">
        <v>233</v>
      </c>
      <c r="H130" s="115">
        <f t="shared" ref="H130:S130" si="56">H17/H4</f>
        <v>0</v>
      </c>
      <c r="I130" s="115">
        <f t="shared" si="56"/>
        <v>0</v>
      </c>
      <c r="J130" s="115">
        <f t="shared" si="56"/>
        <v>0</v>
      </c>
      <c r="K130" s="115">
        <f t="shared" si="56"/>
        <v>0</v>
      </c>
      <c r="L130" s="115">
        <f t="shared" si="56"/>
        <v>0</v>
      </c>
      <c r="M130" s="115">
        <f t="shared" si="56"/>
        <v>0</v>
      </c>
      <c r="N130" s="115">
        <f t="shared" si="56"/>
        <v>0</v>
      </c>
      <c r="O130" s="115">
        <f t="shared" si="56"/>
        <v>0</v>
      </c>
      <c r="P130" s="115">
        <f t="shared" si="56"/>
        <v>0</v>
      </c>
      <c r="Q130" s="115">
        <f t="shared" si="56"/>
        <v>0</v>
      </c>
      <c r="R130" s="115">
        <f t="shared" si="56"/>
        <v>0</v>
      </c>
      <c r="S130" s="115">
        <f t="shared" si="56"/>
        <v>0</v>
      </c>
    </row>
    <row r="131" spans="1:21" s="4" customFormat="1" x14ac:dyDescent="0.2">
      <c r="A131" s="34" t="s">
        <v>447</v>
      </c>
      <c r="B131" s="2" t="s">
        <v>219</v>
      </c>
      <c r="C131" s="34" t="s">
        <v>235</v>
      </c>
      <c r="D131" s="10"/>
      <c r="E131" s="106">
        <v>0.4</v>
      </c>
      <c r="F131" s="37"/>
      <c r="G131" s="46" t="s">
        <v>236</v>
      </c>
      <c r="H131" s="115" t="e">
        <f t="shared" ref="H131:S131" si="57">H27/H17</f>
        <v>#DIV/0!</v>
      </c>
      <c r="I131" s="115" t="e">
        <f t="shared" si="57"/>
        <v>#DIV/0!</v>
      </c>
      <c r="J131" s="115" t="e">
        <f t="shared" si="57"/>
        <v>#DIV/0!</v>
      </c>
      <c r="K131" s="115" t="e">
        <f t="shared" si="57"/>
        <v>#DIV/0!</v>
      </c>
      <c r="L131" s="115" t="e">
        <f t="shared" si="57"/>
        <v>#DIV/0!</v>
      </c>
      <c r="M131" s="115" t="e">
        <f t="shared" si="57"/>
        <v>#DIV/0!</v>
      </c>
      <c r="N131" s="115" t="e">
        <f t="shared" si="57"/>
        <v>#DIV/0!</v>
      </c>
      <c r="O131" s="115" t="e">
        <f t="shared" si="57"/>
        <v>#DIV/0!</v>
      </c>
      <c r="P131" s="115" t="e">
        <f t="shared" si="57"/>
        <v>#DIV/0!</v>
      </c>
      <c r="Q131" s="115" t="e">
        <f t="shared" si="57"/>
        <v>#DIV/0!</v>
      </c>
      <c r="R131" s="115" t="e">
        <f t="shared" si="57"/>
        <v>#DIV/0!</v>
      </c>
      <c r="S131" s="115" t="e">
        <f t="shared" si="57"/>
        <v>#DIV/0!</v>
      </c>
    </row>
    <row r="132" spans="1:21" s="4" customFormat="1" x14ac:dyDescent="0.2">
      <c r="A132" s="34"/>
      <c r="B132" s="2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</row>
    <row r="133" spans="1:21" s="4" customFormat="1" x14ac:dyDescent="0.2">
      <c r="A133" s="8"/>
      <c r="B133" s="2"/>
      <c r="C133" s="8"/>
      <c r="D133" s="10"/>
      <c r="E133" s="9"/>
      <c r="F133" s="37"/>
      <c r="G133" s="94" t="s">
        <v>237</v>
      </c>
      <c r="H133" s="87">
        <f t="shared" ref="H133:S133" si="58">H117</f>
        <v>2011</v>
      </c>
      <c r="I133" s="87">
        <f t="shared" si="58"/>
        <v>2012</v>
      </c>
      <c r="J133" s="87">
        <f t="shared" si="58"/>
        <v>2013</v>
      </c>
      <c r="K133" s="87">
        <f t="shared" si="58"/>
        <v>2014</v>
      </c>
      <c r="L133" s="87">
        <f t="shared" si="58"/>
        <v>2015</v>
      </c>
      <c r="M133" s="87">
        <f t="shared" si="58"/>
        <v>2016</v>
      </c>
      <c r="N133" s="87">
        <f t="shared" si="58"/>
        <v>2017</v>
      </c>
      <c r="O133" s="87">
        <f t="shared" si="58"/>
        <v>2018</v>
      </c>
      <c r="P133" s="87">
        <f t="shared" si="58"/>
        <v>2019</v>
      </c>
      <c r="Q133" s="87">
        <f t="shared" si="58"/>
        <v>2020</v>
      </c>
      <c r="R133" s="87">
        <f t="shared" si="58"/>
        <v>2021</v>
      </c>
      <c r="S133" s="87">
        <f t="shared" si="58"/>
        <v>2022</v>
      </c>
    </row>
    <row r="134" spans="1:21" s="4" customFormat="1" x14ac:dyDescent="0.2">
      <c r="A134" s="34" t="s">
        <v>448</v>
      </c>
      <c r="B134" s="2" t="s">
        <v>221</v>
      </c>
      <c r="C134" s="39" t="s">
        <v>239</v>
      </c>
      <c r="D134" s="10"/>
      <c r="E134" s="109"/>
      <c r="F134" s="37"/>
      <c r="G134" s="110" t="s">
        <v>240</v>
      </c>
      <c r="H134" s="118">
        <f t="shared" ref="H134:S134" si="59">H10/H4</f>
        <v>1.3274246891485111E-2</v>
      </c>
      <c r="I134" s="118">
        <f t="shared" si="59"/>
        <v>7.4371234083957748E-4</v>
      </c>
      <c r="J134" s="118">
        <f t="shared" si="59"/>
        <v>0</v>
      </c>
      <c r="K134" s="118">
        <f t="shared" si="59"/>
        <v>0</v>
      </c>
      <c r="L134" s="118">
        <f t="shared" si="59"/>
        <v>0</v>
      </c>
      <c r="M134" s="118">
        <f t="shared" si="59"/>
        <v>0</v>
      </c>
      <c r="N134" s="118">
        <f t="shared" si="59"/>
        <v>0</v>
      </c>
      <c r="O134" s="118">
        <f t="shared" si="59"/>
        <v>0</v>
      </c>
      <c r="P134" s="118">
        <f t="shared" si="59"/>
        <v>0</v>
      </c>
      <c r="Q134" s="118">
        <f t="shared" si="59"/>
        <v>0</v>
      </c>
      <c r="R134" s="118">
        <f t="shared" si="59"/>
        <v>0</v>
      </c>
      <c r="S134" s="118">
        <f t="shared" si="59"/>
        <v>0</v>
      </c>
    </row>
    <row r="135" spans="1:21" s="4" customFormat="1" x14ac:dyDescent="0.2">
      <c r="A135" s="34" t="s">
        <v>449</v>
      </c>
      <c r="B135" s="2" t="s">
        <v>224</v>
      </c>
      <c r="C135" s="39" t="s">
        <v>242</v>
      </c>
      <c r="D135" s="10"/>
      <c r="E135" s="109"/>
      <c r="F135" s="37"/>
      <c r="G135" s="110" t="s">
        <v>243</v>
      </c>
      <c r="H135" s="118">
        <f t="shared" ref="H135:S135" si="60">-(H58)/H15</f>
        <v>0</v>
      </c>
      <c r="I135" s="118">
        <f t="shared" si="60"/>
        <v>0</v>
      </c>
      <c r="J135" s="118" t="e">
        <f t="shared" si="60"/>
        <v>#DIV/0!</v>
      </c>
      <c r="K135" s="118" t="e">
        <f t="shared" si="60"/>
        <v>#DIV/0!</v>
      </c>
      <c r="L135" s="118" t="e">
        <f t="shared" si="60"/>
        <v>#DIV/0!</v>
      </c>
      <c r="M135" s="118" t="e">
        <f t="shared" si="60"/>
        <v>#DIV/0!</v>
      </c>
      <c r="N135" s="118" t="e">
        <f t="shared" si="60"/>
        <v>#DIV/0!</v>
      </c>
      <c r="O135" s="118" t="e">
        <f t="shared" si="60"/>
        <v>#DIV/0!</v>
      </c>
      <c r="P135" s="118" t="e">
        <f t="shared" si="60"/>
        <v>#DIV/0!</v>
      </c>
      <c r="Q135" s="118" t="e">
        <f t="shared" si="60"/>
        <v>#DIV/0!</v>
      </c>
      <c r="R135" s="118" t="e">
        <f t="shared" si="60"/>
        <v>#DIV/0!</v>
      </c>
      <c r="S135" s="118" t="e">
        <f t="shared" si="60"/>
        <v>#DIV/0!</v>
      </c>
    </row>
    <row r="136" spans="1:21" s="4" customFormat="1" x14ac:dyDescent="0.2">
      <c r="A136" s="34" t="s">
        <v>450</v>
      </c>
      <c r="B136" s="2" t="s">
        <v>227</v>
      </c>
      <c r="C136" s="8" t="s">
        <v>245</v>
      </c>
      <c r="D136" s="10"/>
      <c r="E136" s="109"/>
      <c r="F136" s="37"/>
      <c r="G136" s="103" t="s">
        <v>246</v>
      </c>
      <c r="H136" s="111">
        <f t="shared" ref="H136:S136" si="61">H33/H4</f>
        <v>3.4027016716994716</v>
      </c>
      <c r="I136" s="111">
        <f t="shared" si="61"/>
        <v>1.4616958236464634</v>
      </c>
      <c r="J136" s="111">
        <f t="shared" si="61"/>
        <v>1.5582576465057549</v>
      </c>
      <c r="K136" s="111">
        <f t="shared" si="61"/>
        <v>3.426520951791177</v>
      </c>
      <c r="L136" s="111">
        <f t="shared" si="61"/>
        <v>1.2380053768567638</v>
      </c>
      <c r="M136" s="111">
        <f t="shared" si="61"/>
        <v>1.4593965520270105</v>
      </c>
      <c r="N136" s="111">
        <f t="shared" si="61"/>
        <v>3.8877930458461574</v>
      </c>
      <c r="O136" s="111">
        <f t="shared" si="61"/>
        <v>2.3415020297699591</v>
      </c>
      <c r="P136" s="111">
        <f t="shared" si="61"/>
        <v>8.0674165202108981</v>
      </c>
      <c r="Q136" s="111">
        <f t="shared" si="61"/>
        <v>3.4123027718550105</v>
      </c>
      <c r="R136" s="111">
        <f t="shared" si="61"/>
        <v>4.0519402985074624</v>
      </c>
      <c r="S136" s="111">
        <f t="shared" si="61"/>
        <v>9.1257995735607675</v>
      </c>
    </row>
    <row r="137" spans="1:21" s="4" customFormat="1" x14ac:dyDescent="0.2">
      <c r="A137" s="34" t="s">
        <v>451</v>
      </c>
      <c r="B137" s="2" t="s">
        <v>231</v>
      </c>
      <c r="C137" s="39" t="s">
        <v>248</v>
      </c>
      <c r="D137" s="10"/>
      <c r="E137" s="109"/>
      <c r="F137" s="37"/>
      <c r="G137" s="46" t="s">
        <v>249</v>
      </c>
      <c r="H137" s="111">
        <f t="shared" ref="H137:S137" si="62">H33/H15</f>
        <v>256.33858549686659</v>
      </c>
      <c r="I137" s="111">
        <f t="shared" si="62"/>
        <v>1965.4048257372654</v>
      </c>
      <c r="J137" s="111" t="e">
        <f t="shared" si="62"/>
        <v>#DIV/0!</v>
      </c>
      <c r="K137" s="111" t="e">
        <f t="shared" si="62"/>
        <v>#DIV/0!</v>
      </c>
      <c r="L137" s="111" t="e">
        <f t="shared" si="62"/>
        <v>#DIV/0!</v>
      </c>
      <c r="M137" s="111" t="e">
        <f t="shared" si="62"/>
        <v>#DIV/0!</v>
      </c>
      <c r="N137" s="111" t="e">
        <f t="shared" si="62"/>
        <v>#DIV/0!</v>
      </c>
      <c r="O137" s="111" t="e">
        <f t="shared" si="62"/>
        <v>#DIV/0!</v>
      </c>
      <c r="P137" s="111" t="e">
        <f t="shared" si="62"/>
        <v>#DIV/0!</v>
      </c>
      <c r="Q137" s="111" t="e">
        <f t="shared" si="62"/>
        <v>#DIV/0!</v>
      </c>
      <c r="R137" s="111" t="e">
        <f t="shared" si="62"/>
        <v>#DIV/0!</v>
      </c>
      <c r="S137" s="111" t="e">
        <f t="shared" si="62"/>
        <v>#DIV/0!</v>
      </c>
    </row>
    <row r="138" spans="1:21" s="4" customFormat="1" x14ac:dyDescent="0.2">
      <c r="A138" s="8" t="s">
        <v>452</v>
      </c>
      <c r="B138" s="2" t="s">
        <v>234</v>
      </c>
      <c r="C138" s="39" t="s">
        <v>251</v>
      </c>
      <c r="D138" s="106">
        <v>0.5</v>
      </c>
      <c r="E138" s="106">
        <f>1/3</f>
        <v>0.33333333333333331</v>
      </c>
      <c r="F138" s="114" t="s">
        <v>433</v>
      </c>
      <c r="G138" s="100" t="s">
        <v>252</v>
      </c>
      <c r="H138" s="118">
        <f t="shared" ref="H138:S138" si="63">H27/H4</f>
        <v>0.94847524418315832</v>
      </c>
      <c r="I138" s="118">
        <f t="shared" si="63"/>
        <v>0.94210010009211653</v>
      </c>
      <c r="J138" s="118">
        <f t="shared" si="63"/>
        <v>0.94350005117748992</v>
      </c>
      <c r="K138" s="118">
        <f t="shared" si="63"/>
        <v>0.97040430482838869</v>
      </c>
      <c r="L138" s="118">
        <f t="shared" si="63"/>
        <v>0.94918585956934975</v>
      </c>
      <c r="M138" s="118">
        <f t="shared" si="63"/>
        <v>0.97363867604020671</v>
      </c>
      <c r="N138" s="118">
        <f t="shared" si="63"/>
        <v>0.95164815047882745</v>
      </c>
      <c r="O138" s="118">
        <f t="shared" si="63"/>
        <v>0.94316644113667114</v>
      </c>
      <c r="P138" s="118">
        <f t="shared" si="63"/>
        <v>0.92618629173989453</v>
      </c>
      <c r="Q138" s="118">
        <f t="shared" si="63"/>
        <v>0.91044776119402981</v>
      </c>
      <c r="R138" s="118">
        <f t="shared" si="63"/>
        <v>0.91044776119402981</v>
      </c>
      <c r="S138" s="118">
        <f t="shared" si="63"/>
        <v>0.91044776119402981</v>
      </c>
    </row>
    <row r="139" spans="1:21" s="4" customFormat="1" x14ac:dyDescent="0.2">
      <c r="A139" s="8"/>
      <c r="B139" s="2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</row>
    <row r="140" spans="1:21" s="4" customFormat="1" x14ac:dyDescent="0.2">
      <c r="A140" s="40"/>
      <c r="B140" s="2"/>
      <c r="C140" s="2"/>
      <c r="D140" s="41"/>
      <c r="E140" s="42"/>
      <c r="F140" s="37"/>
      <c r="G140" s="94" t="s">
        <v>253</v>
      </c>
      <c r="H140" s="87">
        <f t="shared" ref="H140:S140" si="64">H133</f>
        <v>2011</v>
      </c>
      <c r="I140" s="87">
        <f t="shared" si="64"/>
        <v>2012</v>
      </c>
      <c r="J140" s="87">
        <f t="shared" si="64"/>
        <v>2013</v>
      </c>
      <c r="K140" s="87">
        <f t="shared" si="64"/>
        <v>2014</v>
      </c>
      <c r="L140" s="87">
        <f t="shared" si="64"/>
        <v>2015</v>
      </c>
      <c r="M140" s="87">
        <f t="shared" si="64"/>
        <v>2016</v>
      </c>
      <c r="N140" s="87">
        <f t="shared" si="64"/>
        <v>2017</v>
      </c>
      <c r="O140" s="87">
        <f t="shared" si="64"/>
        <v>2018</v>
      </c>
      <c r="P140" s="87">
        <f t="shared" si="64"/>
        <v>2019</v>
      </c>
      <c r="Q140" s="87">
        <f t="shared" si="64"/>
        <v>2020</v>
      </c>
      <c r="R140" s="87">
        <f t="shared" si="64"/>
        <v>2021</v>
      </c>
      <c r="S140" s="87">
        <f t="shared" si="64"/>
        <v>2022</v>
      </c>
    </row>
    <row r="141" spans="1:21" s="4" customFormat="1" x14ac:dyDescent="0.2">
      <c r="A141" s="8" t="s">
        <v>453</v>
      </c>
      <c r="B141" s="2" t="s">
        <v>238</v>
      </c>
      <c r="C141" s="8" t="s">
        <v>255</v>
      </c>
      <c r="D141" s="43"/>
      <c r="E141" s="106">
        <v>0.05</v>
      </c>
      <c r="F141" s="8"/>
      <c r="G141" s="103" t="s">
        <v>256</v>
      </c>
      <c r="H141" s="108">
        <f t="shared" ref="H141:S141" si="65">H35/H33</f>
        <v>0.20751810322487815</v>
      </c>
      <c r="I141" s="108">
        <f t="shared" si="65"/>
        <v>2.0827422329408426E-2</v>
      </c>
      <c r="J141" s="108">
        <f t="shared" si="65"/>
        <v>0.14735647711644009</v>
      </c>
      <c r="K141" s="108">
        <f t="shared" si="65"/>
        <v>0.33271288302651958</v>
      </c>
      <c r="L141" s="108">
        <f t="shared" si="65"/>
        <v>5.8647539100611609E-4</v>
      </c>
      <c r="M141" s="108">
        <f t="shared" si="65"/>
        <v>0.10481427672100523</v>
      </c>
      <c r="N141" s="108">
        <f t="shared" si="65"/>
        <v>0.18323881611668144</v>
      </c>
      <c r="O141" s="108">
        <f t="shared" si="65"/>
        <v>0.13869865982419946</v>
      </c>
      <c r="P141" s="108">
        <f t="shared" si="65"/>
        <v>0.2832021889350726</v>
      </c>
      <c r="Q141" s="108">
        <f t="shared" si="65"/>
        <v>6.2485550216512436E-3</v>
      </c>
      <c r="R141" s="108">
        <f t="shared" si="65"/>
        <v>0.11050537792839252</v>
      </c>
      <c r="S141" s="108">
        <f t="shared" si="65"/>
        <v>0.13551401869158877</v>
      </c>
    </row>
    <row r="142" spans="1:21" s="4" customFormat="1" x14ac:dyDescent="0.2">
      <c r="A142" s="8" t="s">
        <v>454</v>
      </c>
      <c r="B142" s="2" t="s">
        <v>241</v>
      </c>
      <c r="C142" s="8" t="s">
        <v>258</v>
      </c>
      <c r="D142" s="10"/>
      <c r="E142" s="106">
        <v>0.95</v>
      </c>
      <c r="F142" s="8"/>
      <c r="G142" s="110" t="s">
        <v>259</v>
      </c>
      <c r="H142" s="118">
        <f t="shared" ref="H142:S142" si="66">(H36+H34)/H33</f>
        <v>0.79248189677512193</v>
      </c>
      <c r="I142" s="118">
        <f t="shared" si="66"/>
        <v>0.98201667994369091</v>
      </c>
      <c r="J142" s="118">
        <f t="shared" si="66"/>
        <v>0.85264352288355993</v>
      </c>
      <c r="K142" s="118">
        <f t="shared" si="66"/>
        <v>0.66728711697348031</v>
      </c>
      <c r="L142" s="118">
        <f t="shared" si="66"/>
        <v>0.99941352460899391</v>
      </c>
      <c r="M142" s="118">
        <f t="shared" si="66"/>
        <v>0.89518572327899482</v>
      </c>
      <c r="N142" s="118">
        <f t="shared" si="66"/>
        <v>0.81676118388331864</v>
      </c>
      <c r="O142" s="118">
        <f t="shared" si="66"/>
        <v>0.86130134017580051</v>
      </c>
      <c r="P142" s="118">
        <f t="shared" si="66"/>
        <v>0.71679781106492735</v>
      </c>
      <c r="Q142" s="118">
        <f t="shared" si="66"/>
        <v>0.99375144497834877</v>
      </c>
      <c r="R142" s="118">
        <f t="shared" si="66"/>
        <v>0.88949462207160745</v>
      </c>
      <c r="S142" s="118">
        <f t="shared" si="66"/>
        <v>0.86448598130841126</v>
      </c>
    </row>
    <row r="143" spans="1:21" s="4" customFormat="1" x14ac:dyDescent="0.2">
      <c r="A143" s="8" t="s">
        <v>455</v>
      </c>
      <c r="B143" s="2" t="s">
        <v>244</v>
      </c>
      <c r="C143" s="8" t="s">
        <v>261</v>
      </c>
      <c r="D143" s="10"/>
      <c r="E143" s="106">
        <v>0.95</v>
      </c>
      <c r="F143" s="8"/>
      <c r="G143" s="46" t="s">
        <v>262</v>
      </c>
      <c r="H143" s="108">
        <f t="shared" ref="H143:S143" si="67">H38/(H38+H41)</f>
        <v>5.6675807179703552E-2</v>
      </c>
      <c r="I143" s="108">
        <f t="shared" si="67"/>
        <v>0</v>
      </c>
      <c r="J143" s="108">
        <f t="shared" si="67"/>
        <v>0</v>
      </c>
      <c r="K143" s="108">
        <f t="shared" si="67"/>
        <v>4.2638474032727032E-2</v>
      </c>
      <c r="L143" s="108">
        <f t="shared" si="67"/>
        <v>0</v>
      </c>
      <c r="M143" s="108">
        <f t="shared" si="67"/>
        <v>0.48311741207059455</v>
      </c>
      <c r="N143" s="108">
        <f t="shared" si="67"/>
        <v>0.25627802934645361</v>
      </c>
      <c r="O143" s="108">
        <f t="shared" si="67"/>
        <v>0.47172845594699486</v>
      </c>
      <c r="P143" s="108">
        <f t="shared" si="67"/>
        <v>0.17647058823529413</v>
      </c>
      <c r="Q143" s="108">
        <f t="shared" si="67"/>
        <v>0.58823529411764708</v>
      </c>
      <c r="R143" s="108">
        <f t="shared" si="67"/>
        <v>0.52631578947368418</v>
      </c>
      <c r="S143" s="108">
        <f t="shared" si="67"/>
        <v>0.23364485981308411</v>
      </c>
    </row>
    <row r="144" spans="1:21" s="4" customFormat="1" x14ac:dyDescent="0.2">
      <c r="A144" s="8"/>
      <c r="B144" s="2"/>
      <c r="C144" s="8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</row>
    <row r="145" spans="1:19" s="4" customFormat="1" x14ac:dyDescent="0.2">
      <c r="A145" s="40"/>
      <c r="B145" s="2"/>
      <c r="C145" s="119"/>
      <c r="D145" s="41"/>
      <c r="E145" s="42"/>
      <c r="F145" s="37"/>
      <c r="G145" s="94"/>
      <c r="H145" s="87">
        <f>H140</f>
        <v>2011</v>
      </c>
      <c r="I145" s="87">
        <f t="shared" ref="I145:S145" si="68">I140</f>
        <v>2012</v>
      </c>
      <c r="J145" s="87">
        <f t="shared" si="68"/>
        <v>2013</v>
      </c>
      <c r="K145" s="87">
        <f t="shared" si="68"/>
        <v>2014</v>
      </c>
      <c r="L145" s="87">
        <f t="shared" si="68"/>
        <v>2015</v>
      </c>
      <c r="M145" s="87">
        <f t="shared" si="68"/>
        <v>2016</v>
      </c>
      <c r="N145" s="87">
        <f t="shared" si="68"/>
        <v>2017</v>
      </c>
      <c r="O145" s="87">
        <f t="shared" si="68"/>
        <v>2018</v>
      </c>
      <c r="P145" s="87">
        <f t="shared" si="68"/>
        <v>2019</v>
      </c>
      <c r="Q145" s="87">
        <f t="shared" si="68"/>
        <v>2020</v>
      </c>
      <c r="R145" s="87">
        <f t="shared" si="68"/>
        <v>2021</v>
      </c>
      <c r="S145" s="87">
        <f t="shared" si="68"/>
        <v>2022</v>
      </c>
    </row>
    <row r="146" spans="1:19" s="4" customFormat="1" x14ac:dyDescent="0.2">
      <c r="A146" s="4" t="s">
        <v>456</v>
      </c>
      <c r="B146" s="2" t="s">
        <v>247</v>
      </c>
      <c r="C146" s="8" t="s">
        <v>264</v>
      </c>
      <c r="D146" s="120">
        <v>0.5</v>
      </c>
      <c r="E146" s="121" t="s">
        <v>265</v>
      </c>
      <c r="G146" s="103" t="s">
        <v>266</v>
      </c>
      <c r="H146" s="111" t="str">
        <f t="shared" ref="H146:S146" si="69">IF(H141&lt;$D$146,$E$146,H35/H4)</f>
        <v>N/A</v>
      </c>
      <c r="I146" s="111" t="str">
        <f t="shared" si="69"/>
        <v>N/A</v>
      </c>
      <c r="J146" s="111" t="str">
        <f t="shared" si="69"/>
        <v>N/A</v>
      </c>
      <c r="K146" s="111" t="str">
        <f t="shared" si="69"/>
        <v>N/A</v>
      </c>
      <c r="L146" s="111" t="str">
        <f t="shared" si="69"/>
        <v>N/A</v>
      </c>
      <c r="M146" s="111" t="str">
        <f t="shared" si="69"/>
        <v>N/A</v>
      </c>
      <c r="N146" s="111" t="str">
        <f t="shared" si="69"/>
        <v>N/A</v>
      </c>
      <c r="O146" s="111" t="str">
        <f t="shared" si="69"/>
        <v>N/A</v>
      </c>
      <c r="P146" s="111" t="str">
        <f t="shared" si="69"/>
        <v>N/A</v>
      </c>
      <c r="Q146" s="111" t="str">
        <f t="shared" si="69"/>
        <v>N/A</v>
      </c>
      <c r="R146" s="111" t="str">
        <f t="shared" si="69"/>
        <v>N/A</v>
      </c>
      <c r="S146" s="111" t="str">
        <f t="shared" si="69"/>
        <v>N/A</v>
      </c>
    </row>
    <row r="147" spans="1:19" s="4" customFormat="1" x14ac:dyDescent="0.2">
      <c r="A147" s="4" t="s">
        <v>457</v>
      </c>
      <c r="B147" s="2" t="s">
        <v>250</v>
      </c>
      <c r="C147" s="8" t="s">
        <v>267</v>
      </c>
      <c r="D147" s="120">
        <v>0.5</v>
      </c>
      <c r="E147" s="121" t="s">
        <v>265</v>
      </c>
      <c r="G147" s="110" t="s">
        <v>268</v>
      </c>
      <c r="H147" s="111" t="str">
        <f t="shared" ref="H147:S147" si="70">IF(H141&lt;$D$147,$E$147,H35/H15)</f>
        <v>N/A</v>
      </c>
      <c r="I147" s="111" t="str">
        <f t="shared" si="70"/>
        <v>N/A</v>
      </c>
      <c r="J147" s="111" t="str">
        <f t="shared" si="70"/>
        <v>N/A</v>
      </c>
      <c r="K147" s="111" t="str">
        <f t="shared" si="70"/>
        <v>N/A</v>
      </c>
      <c r="L147" s="111" t="str">
        <f t="shared" si="70"/>
        <v>N/A</v>
      </c>
      <c r="M147" s="111" t="str">
        <f t="shared" si="70"/>
        <v>N/A</v>
      </c>
      <c r="N147" s="111" t="str">
        <f t="shared" si="70"/>
        <v>N/A</v>
      </c>
      <c r="O147" s="111" t="str">
        <f t="shared" si="70"/>
        <v>N/A</v>
      </c>
      <c r="P147" s="111" t="str">
        <f t="shared" si="70"/>
        <v>N/A</v>
      </c>
      <c r="Q147" s="111" t="str">
        <f t="shared" si="70"/>
        <v>N/A</v>
      </c>
      <c r="R147" s="111" t="str">
        <f t="shared" si="70"/>
        <v>N/A</v>
      </c>
      <c r="S147" s="111" t="str">
        <f t="shared" si="70"/>
        <v>N/A</v>
      </c>
    </row>
    <row r="148" spans="1:19" s="4" customFormat="1" x14ac:dyDescent="0.2">
      <c r="A148" s="4" t="s">
        <v>458</v>
      </c>
      <c r="B148" s="2" t="s">
        <v>254</v>
      </c>
      <c r="C148" s="8" t="s">
        <v>201</v>
      </c>
      <c r="D148" s="120">
        <v>0.5</v>
      </c>
      <c r="E148" s="121" t="s">
        <v>265</v>
      </c>
      <c r="G148" s="103" t="s">
        <v>269</v>
      </c>
      <c r="H148" s="118" t="str">
        <f t="shared" ref="H148:S148" si="71">IF(H141&lt;$D$148,$E$148,H46/H33)</f>
        <v>N/A</v>
      </c>
      <c r="I148" s="118" t="str">
        <f t="shared" si="71"/>
        <v>N/A</v>
      </c>
      <c r="J148" s="118" t="str">
        <f t="shared" si="71"/>
        <v>N/A</v>
      </c>
      <c r="K148" s="118" t="str">
        <f t="shared" si="71"/>
        <v>N/A</v>
      </c>
      <c r="L148" s="118" t="str">
        <f t="shared" si="71"/>
        <v>N/A</v>
      </c>
      <c r="M148" s="118" t="str">
        <f t="shared" si="71"/>
        <v>N/A</v>
      </c>
      <c r="N148" s="118" t="str">
        <f t="shared" si="71"/>
        <v>N/A</v>
      </c>
      <c r="O148" s="118" t="str">
        <f t="shared" si="71"/>
        <v>N/A</v>
      </c>
      <c r="P148" s="118" t="str">
        <f t="shared" si="71"/>
        <v>N/A</v>
      </c>
      <c r="Q148" s="118" t="str">
        <f t="shared" si="71"/>
        <v>N/A</v>
      </c>
      <c r="R148" s="118" t="str">
        <f t="shared" si="71"/>
        <v>N/A</v>
      </c>
      <c r="S148" s="118" t="str">
        <f t="shared" si="71"/>
        <v>N/A</v>
      </c>
    </row>
    <row r="149" spans="1:19" s="4" customFormat="1" x14ac:dyDescent="0.2">
      <c r="A149" s="4" t="s">
        <v>459</v>
      </c>
      <c r="B149" s="2" t="s">
        <v>257</v>
      </c>
      <c r="C149" s="8" t="s">
        <v>270</v>
      </c>
      <c r="D149" s="120">
        <v>0.5</v>
      </c>
      <c r="E149" s="121" t="s">
        <v>265</v>
      </c>
      <c r="G149" s="110" t="s">
        <v>271</v>
      </c>
      <c r="H149" s="118" t="str">
        <f t="shared" ref="H149:S149" si="72">IF(H141&lt;$D$148,$E$149,H51/H33)</f>
        <v>N/A</v>
      </c>
      <c r="I149" s="118" t="str">
        <f t="shared" si="72"/>
        <v>N/A</v>
      </c>
      <c r="J149" s="118" t="str">
        <f t="shared" si="72"/>
        <v>N/A</v>
      </c>
      <c r="K149" s="118" t="str">
        <f t="shared" si="72"/>
        <v>N/A</v>
      </c>
      <c r="L149" s="118" t="str">
        <f t="shared" si="72"/>
        <v>N/A</v>
      </c>
      <c r="M149" s="118" t="str">
        <f t="shared" si="72"/>
        <v>N/A</v>
      </c>
      <c r="N149" s="118" t="str">
        <f t="shared" si="72"/>
        <v>N/A</v>
      </c>
      <c r="O149" s="118" t="str">
        <f t="shared" si="72"/>
        <v>N/A</v>
      </c>
      <c r="P149" s="118" t="str">
        <f t="shared" si="72"/>
        <v>N/A</v>
      </c>
      <c r="Q149" s="118" t="str">
        <f t="shared" si="72"/>
        <v>N/A</v>
      </c>
      <c r="R149" s="118" t="str">
        <f t="shared" si="72"/>
        <v>N/A</v>
      </c>
      <c r="S149" s="118" t="str">
        <f t="shared" si="72"/>
        <v>N/A</v>
      </c>
    </row>
    <row r="150" spans="1:19" s="4" customFormat="1" x14ac:dyDescent="0.2">
      <c r="A150" s="4" t="s">
        <v>460</v>
      </c>
      <c r="B150" s="2" t="s">
        <v>260</v>
      </c>
      <c r="C150" s="8" t="s">
        <v>272</v>
      </c>
      <c r="D150" s="120">
        <v>0.5</v>
      </c>
      <c r="E150" s="121" t="s">
        <v>265</v>
      </c>
      <c r="G150" s="110" t="s">
        <v>273</v>
      </c>
      <c r="H150" s="118" t="str">
        <f t="shared" ref="H150:S150" si="73">IF(H141&lt;$D$150,$E$150,H51/H4)</f>
        <v>N/A</v>
      </c>
      <c r="I150" s="118" t="str">
        <f t="shared" si="73"/>
        <v>N/A</v>
      </c>
      <c r="J150" s="118" t="str">
        <f t="shared" si="73"/>
        <v>N/A</v>
      </c>
      <c r="K150" s="118" t="str">
        <f t="shared" si="73"/>
        <v>N/A</v>
      </c>
      <c r="L150" s="118" t="str">
        <f t="shared" si="73"/>
        <v>N/A</v>
      </c>
      <c r="M150" s="118" t="str">
        <f t="shared" si="73"/>
        <v>N/A</v>
      </c>
      <c r="N150" s="118" t="str">
        <f t="shared" si="73"/>
        <v>N/A</v>
      </c>
      <c r="O150" s="118" t="str">
        <f t="shared" si="73"/>
        <v>N/A</v>
      </c>
      <c r="P150" s="118" t="str">
        <f t="shared" si="73"/>
        <v>N/A</v>
      </c>
      <c r="Q150" s="118" t="str">
        <f t="shared" si="73"/>
        <v>N/A</v>
      </c>
      <c r="R150" s="118" t="str">
        <f t="shared" si="73"/>
        <v>N/A</v>
      </c>
      <c r="S150" s="118" t="str">
        <f t="shared" si="73"/>
        <v>N/A</v>
      </c>
    </row>
    <row r="151" spans="1:19" s="4" customFormat="1" x14ac:dyDescent="0.2">
      <c r="A151" s="4" t="s">
        <v>461</v>
      </c>
      <c r="B151" s="2" t="s">
        <v>263</v>
      </c>
      <c r="C151" s="8" t="s">
        <v>274</v>
      </c>
      <c r="D151" s="120">
        <v>0.5</v>
      </c>
      <c r="E151" s="121" t="s">
        <v>265</v>
      </c>
      <c r="G151" s="46" t="s">
        <v>275</v>
      </c>
      <c r="H151" s="118" t="str">
        <f>IF(H141&lt;$D$151,$E$151,H51/H27)</f>
        <v>N/A</v>
      </c>
      <c r="I151" s="118" t="str">
        <f>IF(I141&lt;$D$151,$E$151,I51/((H27+I27)/2))</f>
        <v>N/A</v>
      </c>
      <c r="J151" s="118" t="str">
        <f>IF(J141&lt;$D$151,$E$151,J51/((I27+J27)/2))</f>
        <v>N/A</v>
      </c>
      <c r="K151" s="118" t="str">
        <f>IF(K141&lt;$D$151,$E$151,K51/((J27+K27)/2))</f>
        <v>N/A</v>
      </c>
      <c r="L151" s="118" t="str">
        <f>IF(L141&lt;$D$151,$E$151,L51/((K27+L27)/2))</f>
        <v>N/A</v>
      </c>
      <c r="M151" s="118" t="str">
        <f>IF(M141&lt;$D$151,$E$151,M51/((L27+M27)/2))</f>
        <v>N/A</v>
      </c>
      <c r="N151" s="118" t="str">
        <f t="shared" ref="N151:S151" si="74">IF(N141&lt;$D$151,$E$151,N51/((M27+N27)/2))</f>
        <v>N/A</v>
      </c>
      <c r="O151" s="118" t="str">
        <f t="shared" si="74"/>
        <v>N/A</v>
      </c>
      <c r="P151" s="118" t="str">
        <f t="shared" si="74"/>
        <v>N/A</v>
      </c>
      <c r="Q151" s="118" t="str">
        <f t="shared" si="74"/>
        <v>N/A</v>
      </c>
      <c r="R151" s="118" t="str">
        <f t="shared" si="74"/>
        <v>N/A</v>
      </c>
      <c r="S151" s="118" t="str">
        <f t="shared" si="74"/>
        <v>N/A</v>
      </c>
    </row>
    <row r="152" spans="1:19" s="4" customFormat="1" x14ac:dyDescent="0.2">
      <c r="A152" s="8"/>
      <c r="B152" s="2"/>
      <c r="C152" s="119"/>
      <c r="D152" s="41"/>
      <c r="E152" s="42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</row>
    <row r="153" spans="1:19" s="4" customFormat="1" x14ac:dyDescent="0.2">
      <c r="A153" s="8"/>
      <c r="B153" s="2"/>
      <c r="C153" s="10"/>
      <c r="D153" s="10"/>
      <c r="E153" s="9"/>
      <c r="F153" s="8"/>
      <c r="G153" s="94" t="s">
        <v>462</v>
      </c>
      <c r="H153" s="87">
        <f>H145</f>
        <v>2011</v>
      </c>
      <c r="I153" s="87">
        <f t="shared" ref="I153:S153" si="75">I145</f>
        <v>2012</v>
      </c>
      <c r="J153" s="87">
        <f t="shared" si="75"/>
        <v>2013</v>
      </c>
      <c r="K153" s="87">
        <f t="shared" si="75"/>
        <v>2014</v>
      </c>
      <c r="L153" s="87">
        <f t="shared" si="75"/>
        <v>2015</v>
      </c>
      <c r="M153" s="87">
        <f t="shared" si="75"/>
        <v>2016</v>
      </c>
      <c r="N153" s="87">
        <f t="shared" si="75"/>
        <v>2017</v>
      </c>
      <c r="O153" s="87">
        <f t="shared" si="75"/>
        <v>2018</v>
      </c>
      <c r="P153" s="87">
        <f t="shared" si="75"/>
        <v>2019</v>
      </c>
      <c r="Q153" s="87">
        <f t="shared" si="75"/>
        <v>2020</v>
      </c>
      <c r="R153" s="87">
        <f t="shared" si="75"/>
        <v>2021</v>
      </c>
      <c r="S153" s="87">
        <f t="shared" si="75"/>
        <v>2022</v>
      </c>
    </row>
    <row r="154" spans="1:19" s="4" customFormat="1" x14ac:dyDescent="0.2">
      <c r="A154" s="8"/>
      <c r="B154" s="2"/>
      <c r="C154" s="10"/>
      <c r="D154" s="10"/>
      <c r="E154" s="9"/>
      <c r="F154" s="8"/>
      <c r="G154" s="95" t="s">
        <v>276</v>
      </c>
      <c r="H154" s="96">
        <f t="shared" ref="H154:S154" si="76">H33</f>
        <v>2863.3019999999997</v>
      </c>
      <c r="I154" s="96">
        <f t="shared" si="76"/>
        <v>1466.192</v>
      </c>
      <c r="J154" s="96">
        <f t="shared" si="76"/>
        <v>1720.318</v>
      </c>
      <c r="K154" s="96">
        <f t="shared" si="76"/>
        <v>4382.3010000000004</v>
      </c>
      <c r="L154" s="96">
        <f>L33</f>
        <v>1480.028</v>
      </c>
      <c r="M154" s="96">
        <f t="shared" si="76"/>
        <v>1661.558</v>
      </c>
      <c r="N154" s="96">
        <f t="shared" si="76"/>
        <v>3397.97</v>
      </c>
      <c r="O154" s="96">
        <f t="shared" si="76"/>
        <v>1730.37</v>
      </c>
      <c r="P154" s="96">
        <f t="shared" si="76"/>
        <v>4590.3600000000006</v>
      </c>
      <c r="Q154" s="96">
        <f t="shared" si="76"/>
        <v>1600.37</v>
      </c>
      <c r="R154" s="96">
        <f t="shared" si="76"/>
        <v>1900.36</v>
      </c>
      <c r="S154" s="96">
        <f t="shared" si="76"/>
        <v>4280</v>
      </c>
    </row>
    <row r="155" spans="1:19" s="4" customFormat="1" x14ac:dyDescent="0.2">
      <c r="A155" s="8"/>
      <c r="B155" s="2"/>
      <c r="C155" s="10"/>
      <c r="D155" s="10"/>
      <c r="E155" s="9"/>
      <c r="F155" s="8"/>
      <c r="G155" s="95" t="s">
        <v>277</v>
      </c>
      <c r="H155" s="96">
        <f t="shared" ref="H155:S156" si="77">H35</f>
        <v>594.18700000000001</v>
      </c>
      <c r="I155" s="96">
        <f t="shared" si="77"/>
        <v>30.536999999999999</v>
      </c>
      <c r="J155" s="96">
        <f t="shared" si="77"/>
        <v>253.5</v>
      </c>
      <c r="K155" s="96">
        <f t="shared" si="77"/>
        <v>1458.048</v>
      </c>
      <c r="L155" s="96">
        <f t="shared" si="77"/>
        <v>0.86799999999999999</v>
      </c>
      <c r="M155" s="96">
        <f t="shared" si="77"/>
        <v>174.155</v>
      </c>
      <c r="N155" s="96">
        <f t="shared" si="77"/>
        <v>622.64</v>
      </c>
      <c r="O155" s="96">
        <f t="shared" si="77"/>
        <v>240</v>
      </c>
      <c r="P155" s="96">
        <f t="shared" si="77"/>
        <v>1300</v>
      </c>
      <c r="Q155" s="96">
        <f t="shared" si="77"/>
        <v>10</v>
      </c>
      <c r="R155" s="96">
        <f t="shared" si="77"/>
        <v>210</v>
      </c>
      <c r="S155" s="96">
        <f t="shared" si="77"/>
        <v>580</v>
      </c>
    </row>
    <row r="156" spans="1:19" s="4" customFormat="1" x14ac:dyDescent="0.2">
      <c r="A156" s="8"/>
      <c r="B156" s="2"/>
      <c r="C156" s="10"/>
      <c r="D156" s="10"/>
      <c r="E156" s="9"/>
      <c r="F156" s="8"/>
      <c r="G156" s="95" t="s">
        <v>278</v>
      </c>
      <c r="H156" s="96">
        <f t="shared" si="77"/>
        <v>2269.1149999999998</v>
      </c>
      <c r="I156" s="96">
        <f t="shared" si="77"/>
        <v>1439.825</v>
      </c>
      <c r="J156" s="96">
        <f t="shared" si="77"/>
        <v>1466.818</v>
      </c>
      <c r="K156" s="96">
        <f t="shared" si="77"/>
        <v>2924.2530000000002</v>
      </c>
      <c r="L156" s="96">
        <f t="shared" si="77"/>
        <v>1479.16</v>
      </c>
      <c r="M156" s="96">
        <f t="shared" si="77"/>
        <v>1487.403</v>
      </c>
      <c r="N156" s="96">
        <f t="shared" si="77"/>
        <v>2775.33</v>
      </c>
      <c r="O156" s="96">
        <f t="shared" si="77"/>
        <v>1490.37</v>
      </c>
      <c r="P156" s="96">
        <f t="shared" si="77"/>
        <v>3290.36</v>
      </c>
      <c r="Q156" s="96">
        <f t="shared" si="77"/>
        <v>1590.37</v>
      </c>
      <c r="R156" s="96">
        <f t="shared" si="77"/>
        <v>1690.36</v>
      </c>
      <c r="S156" s="96">
        <f t="shared" si="77"/>
        <v>3700</v>
      </c>
    </row>
    <row r="157" spans="1:19" s="4" customFormat="1" x14ac:dyDescent="0.2">
      <c r="A157" s="8"/>
      <c r="B157" s="2"/>
      <c r="C157" s="10"/>
      <c r="D157" s="10"/>
      <c r="E157" s="9"/>
      <c r="F157" s="8"/>
      <c r="G157" s="95" t="s">
        <v>279</v>
      </c>
      <c r="H157" s="96">
        <f t="shared" ref="H157:S157" si="78">H38+H41</f>
        <v>-2882.0410000000002</v>
      </c>
      <c r="I157" s="96">
        <f t="shared" si="78"/>
        <v>-1320.6</v>
      </c>
      <c r="J157" s="96">
        <f t="shared" si="78"/>
        <v>-1623.69</v>
      </c>
      <c r="K157" s="96">
        <f t="shared" si="78"/>
        <v>-4182.8419999999996</v>
      </c>
      <c r="L157" s="96">
        <f t="shared" si="78"/>
        <v>-1589.0409999999999</v>
      </c>
      <c r="M157" s="96">
        <f t="shared" si="78"/>
        <v>-1689.1959999999999</v>
      </c>
      <c r="N157" s="96">
        <f t="shared" si="78"/>
        <v>-3674.7200000000003</v>
      </c>
      <c r="O157" s="96">
        <f t="shared" si="78"/>
        <v>-1865.48</v>
      </c>
      <c r="P157" s="96">
        <f t="shared" si="78"/>
        <v>-4760</v>
      </c>
      <c r="Q157" s="96">
        <f t="shared" si="78"/>
        <v>-1700</v>
      </c>
      <c r="R157" s="96">
        <f t="shared" si="78"/>
        <v>-1900</v>
      </c>
      <c r="S157" s="96">
        <f t="shared" si="78"/>
        <v>-4280</v>
      </c>
    </row>
    <row r="158" spans="1:19" s="4" customFormat="1" x14ac:dyDescent="0.2">
      <c r="A158" s="8"/>
      <c r="B158" s="2"/>
      <c r="C158" s="10"/>
      <c r="D158" s="10"/>
      <c r="E158" s="9"/>
      <c r="F158" s="8"/>
      <c r="G158" s="95" t="s">
        <v>280</v>
      </c>
      <c r="H158" s="96">
        <f t="shared" ref="H158:S158" si="79">H41</f>
        <v>-2718.6990000000001</v>
      </c>
      <c r="I158" s="96">
        <f t="shared" si="79"/>
        <v>-1320.6</v>
      </c>
      <c r="J158" s="96">
        <f t="shared" si="79"/>
        <v>-1623.69</v>
      </c>
      <c r="K158" s="96">
        <f t="shared" si="79"/>
        <v>-4004.4919999999997</v>
      </c>
      <c r="L158" s="96">
        <f t="shared" si="79"/>
        <v>-1589.0409999999999</v>
      </c>
      <c r="M158" s="96">
        <f t="shared" si="79"/>
        <v>-873.11599999999999</v>
      </c>
      <c r="N158" s="96">
        <f t="shared" si="79"/>
        <v>-2732.9700000000003</v>
      </c>
      <c r="O158" s="96">
        <f t="shared" si="79"/>
        <v>-985.48</v>
      </c>
      <c r="P158" s="96">
        <f t="shared" si="79"/>
        <v>-3920</v>
      </c>
      <c r="Q158" s="96">
        <f t="shared" si="79"/>
        <v>-700</v>
      </c>
      <c r="R158" s="96">
        <f t="shared" si="79"/>
        <v>-900</v>
      </c>
      <c r="S158" s="96">
        <f t="shared" si="79"/>
        <v>-3280</v>
      </c>
    </row>
    <row r="159" spans="1:19" s="4" customFormat="1" x14ac:dyDescent="0.2">
      <c r="A159" s="8"/>
      <c r="B159" s="2"/>
      <c r="C159" s="10"/>
      <c r="D159" s="10"/>
      <c r="E159" s="9"/>
      <c r="F159" s="8"/>
      <c r="G159" s="95" t="s">
        <v>281</v>
      </c>
      <c r="H159" s="96">
        <f t="shared" ref="H159:S159" si="80">H38</f>
        <v>-163.34200000000001</v>
      </c>
      <c r="I159" s="96">
        <f t="shared" si="80"/>
        <v>0</v>
      </c>
      <c r="J159" s="96">
        <f t="shared" si="80"/>
        <v>0</v>
      </c>
      <c r="K159" s="96">
        <f t="shared" si="80"/>
        <v>-178.35</v>
      </c>
      <c r="L159" s="96">
        <f t="shared" si="80"/>
        <v>0</v>
      </c>
      <c r="M159" s="96">
        <f t="shared" si="80"/>
        <v>-816.08</v>
      </c>
      <c r="N159" s="96">
        <f t="shared" si="80"/>
        <v>-941.75</v>
      </c>
      <c r="O159" s="96">
        <f t="shared" si="80"/>
        <v>-880</v>
      </c>
      <c r="P159" s="96">
        <f t="shared" si="80"/>
        <v>-840</v>
      </c>
      <c r="Q159" s="96">
        <f t="shared" si="80"/>
        <v>-1000</v>
      </c>
      <c r="R159" s="96">
        <f t="shared" si="80"/>
        <v>-1000</v>
      </c>
      <c r="S159" s="96">
        <f t="shared" si="80"/>
        <v>-1000</v>
      </c>
    </row>
    <row r="160" spans="1:19" s="4" customFormat="1" x14ac:dyDescent="0.2">
      <c r="A160" s="8"/>
      <c r="B160" s="2"/>
      <c r="C160" s="10"/>
      <c r="D160" s="10"/>
      <c r="E160" s="9"/>
      <c r="F160" s="8"/>
      <c r="G160" s="95" t="s">
        <v>282</v>
      </c>
      <c r="H160" s="96">
        <f t="shared" ref="H160:S160" si="81">H46</f>
        <v>-18.739000000000487</v>
      </c>
      <c r="I160" s="96">
        <f t="shared" si="81"/>
        <v>145.5920000000001</v>
      </c>
      <c r="J160" s="96">
        <f t="shared" si="81"/>
        <v>96.627999999999929</v>
      </c>
      <c r="K160" s="96">
        <f t="shared" si="81"/>
        <v>199.45900000000029</v>
      </c>
      <c r="L160" s="96">
        <f t="shared" si="81"/>
        <v>-109.01299999999992</v>
      </c>
      <c r="M160" s="96">
        <f t="shared" si="81"/>
        <v>-27.638000000000034</v>
      </c>
      <c r="N160" s="96">
        <f t="shared" si="81"/>
        <v>-276.75000000000045</v>
      </c>
      <c r="O160" s="96">
        <f t="shared" si="81"/>
        <v>-135.11000000000013</v>
      </c>
      <c r="P160" s="96">
        <f t="shared" si="81"/>
        <v>-169.63999999999942</v>
      </c>
      <c r="Q160" s="96">
        <f t="shared" si="81"/>
        <v>-99.630000000000109</v>
      </c>
      <c r="R160" s="96">
        <f t="shared" si="81"/>
        <v>0.35999999999989996</v>
      </c>
      <c r="S160" s="96">
        <f t="shared" si="81"/>
        <v>0</v>
      </c>
    </row>
    <row r="161" spans="1:19" s="4" customFormat="1" x14ac:dyDescent="0.2">
      <c r="A161" s="8"/>
      <c r="B161" s="2"/>
      <c r="C161" s="10"/>
      <c r="D161" s="10"/>
      <c r="E161" s="9"/>
      <c r="F161" s="8"/>
      <c r="G161" s="95" t="s">
        <v>283</v>
      </c>
      <c r="H161" s="96">
        <f t="shared" ref="H161:S161" si="82">H51</f>
        <v>-14.629000000000488</v>
      </c>
      <c r="I161" s="96">
        <f t="shared" si="82"/>
        <v>146.87600000000009</v>
      </c>
      <c r="J161" s="96">
        <f t="shared" si="82"/>
        <v>96.627999999999929</v>
      </c>
      <c r="K161" s="96">
        <f t="shared" si="82"/>
        <v>199.45400000000029</v>
      </c>
      <c r="L161" s="96">
        <f t="shared" si="82"/>
        <v>-106.33499999999992</v>
      </c>
      <c r="M161" s="96">
        <f t="shared" si="82"/>
        <v>-26.235000000000035</v>
      </c>
      <c r="N161" s="96">
        <f t="shared" si="82"/>
        <v>-276.75000000000045</v>
      </c>
      <c r="O161" s="96">
        <f t="shared" si="82"/>
        <v>-135.11000000000013</v>
      </c>
      <c r="P161" s="96">
        <f t="shared" si="82"/>
        <v>-169.63999999999942</v>
      </c>
      <c r="Q161" s="96">
        <f t="shared" si="82"/>
        <v>-99.630000000000109</v>
      </c>
      <c r="R161" s="96">
        <f t="shared" si="82"/>
        <v>0.35999999999989996</v>
      </c>
      <c r="S161" s="96">
        <f t="shared" si="82"/>
        <v>0</v>
      </c>
    </row>
    <row r="162" spans="1:19" s="4" customFormat="1" x14ac:dyDescent="0.2">
      <c r="A162" s="8"/>
      <c r="B162" s="2"/>
      <c r="C162" s="10"/>
      <c r="D162" s="10"/>
      <c r="E162" s="9"/>
      <c r="F162" s="8"/>
      <c r="G162" s="95" t="s">
        <v>284</v>
      </c>
      <c r="H162" s="96">
        <f t="shared" ref="H162:S163" si="83">H4</f>
        <v>841.47900000000004</v>
      </c>
      <c r="I162" s="96">
        <f t="shared" si="83"/>
        <v>1003.076</v>
      </c>
      <c r="J162" s="96">
        <f t="shared" si="83"/>
        <v>1104.001</v>
      </c>
      <c r="K162" s="96">
        <f t="shared" si="83"/>
        <v>1278.9359999999999</v>
      </c>
      <c r="L162" s="96">
        <f t="shared" si="83"/>
        <v>1195.4939999999999</v>
      </c>
      <c r="M162" s="96">
        <f t="shared" si="83"/>
        <v>1138.5239999999999</v>
      </c>
      <c r="N162" s="96">
        <f t="shared" si="83"/>
        <v>874.01</v>
      </c>
      <c r="O162" s="96">
        <f t="shared" si="83"/>
        <v>739</v>
      </c>
      <c r="P162" s="96">
        <f t="shared" si="83"/>
        <v>569</v>
      </c>
      <c r="Q162" s="96">
        <f t="shared" si="83"/>
        <v>469</v>
      </c>
      <c r="R162" s="96">
        <f t="shared" si="83"/>
        <v>469</v>
      </c>
      <c r="S162" s="96">
        <f t="shared" si="83"/>
        <v>469</v>
      </c>
    </row>
    <row r="163" spans="1:19" s="4" customFormat="1" x14ac:dyDescent="0.2">
      <c r="A163" s="8"/>
      <c r="B163" s="2"/>
      <c r="C163" s="10"/>
      <c r="D163" s="10"/>
      <c r="E163" s="9"/>
      <c r="F163" s="8"/>
      <c r="G163" s="95" t="s">
        <v>285</v>
      </c>
      <c r="H163" s="96">
        <f t="shared" si="83"/>
        <v>830.30900000000008</v>
      </c>
      <c r="I163" s="96">
        <f t="shared" si="83"/>
        <v>1002.33</v>
      </c>
      <c r="J163" s="96">
        <f t="shared" si="83"/>
        <v>1104.001</v>
      </c>
      <c r="K163" s="96">
        <f t="shared" si="83"/>
        <v>1278.9359999999999</v>
      </c>
      <c r="L163" s="96">
        <f t="shared" si="83"/>
        <v>1195.4939999999999</v>
      </c>
      <c r="M163" s="96">
        <f t="shared" si="83"/>
        <v>1138.5239999999999</v>
      </c>
      <c r="N163" s="96">
        <f t="shared" si="83"/>
        <v>874.01</v>
      </c>
      <c r="O163" s="96">
        <f t="shared" si="83"/>
        <v>739</v>
      </c>
      <c r="P163" s="96">
        <f t="shared" si="83"/>
        <v>569</v>
      </c>
      <c r="Q163" s="96">
        <f t="shared" si="83"/>
        <v>469</v>
      </c>
      <c r="R163" s="96">
        <f t="shared" si="83"/>
        <v>469</v>
      </c>
      <c r="S163" s="96">
        <f t="shared" si="83"/>
        <v>469</v>
      </c>
    </row>
    <row r="164" spans="1:19" s="4" customFormat="1" x14ac:dyDescent="0.2">
      <c r="A164" s="8"/>
      <c r="B164" s="2"/>
      <c r="C164" s="10"/>
      <c r="D164" s="10"/>
      <c r="E164" s="9"/>
      <c r="F164" s="8"/>
      <c r="G164" s="95" t="s">
        <v>286</v>
      </c>
      <c r="H164" s="96">
        <f t="shared" ref="H164:S164" si="84">H10</f>
        <v>11.17</v>
      </c>
      <c r="I164" s="96">
        <f t="shared" si="84"/>
        <v>0.746</v>
      </c>
      <c r="J164" s="96">
        <f t="shared" si="84"/>
        <v>0</v>
      </c>
      <c r="K164" s="96">
        <f t="shared" si="84"/>
        <v>0</v>
      </c>
      <c r="L164" s="96">
        <f t="shared" si="84"/>
        <v>0</v>
      </c>
      <c r="M164" s="96">
        <f t="shared" si="84"/>
        <v>0</v>
      </c>
      <c r="N164" s="96">
        <f t="shared" si="84"/>
        <v>0</v>
      </c>
      <c r="O164" s="96">
        <f t="shared" si="84"/>
        <v>0</v>
      </c>
      <c r="P164" s="96">
        <f t="shared" si="84"/>
        <v>0</v>
      </c>
      <c r="Q164" s="96">
        <f t="shared" si="84"/>
        <v>0</v>
      </c>
      <c r="R164" s="96">
        <f t="shared" si="84"/>
        <v>0</v>
      </c>
      <c r="S164" s="96">
        <f t="shared" si="84"/>
        <v>0</v>
      </c>
    </row>
    <row r="165" spans="1:19" s="4" customFormat="1" x14ac:dyDescent="0.2">
      <c r="A165" s="8"/>
      <c r="B165" s="2"/>
      <c r="C165" s="10"/>
      <c r="D165" s="10"/>
      <c r="E165" s="9"/>
      <c r="F165" s="8"/>
      <c r="G165" s="95" t="s">
        <v>287</v>
      </c>
      <c r="H165" s="96">
        <f t="shared" ref="H165:S166" si="85">H19</f>
        <v>43.356999999999999</v>
      </c>
      <c r="I165" s="96">
        <f t="shared" si="85"/>
        <v>58.079000000000001</v>
      </c>
      <c r="J165" s="96">
        <f t="shared" si="85"/>
        <v>62.375999999999998</v>
      </c>
      <c r="K165" s="96">
        <f t="shared" si="85"/>
        <v>37.851999999999997</v>
      </c>
      <c r="L165" s="96">
        <f t="shared" si="85"/>
        <v>60.747999999999998</v>
      </c>
      <c r="M165" s="96">
        <f t="shared" si="85"/>
        <v>30.013000000000002</v>
      </c>
      <c r="N165" s="96">
        <f t="shared" si="85"/>
        <v>42.25</v>
      </c>
      <c r="O165" s="96">
        <f t="shared" si="85"/>
        <v>42</v>
      </c>
      <c r="P165" s="96">
        <f t="shared" si="85"/>
        <v>42</v>
      </c>
      <c r="Q165" s="96">
        <f t="shared" si="85"/>
        <v>42</v>
      </c>
      <c r="R165" s="96">
        <f t="shared" si="85"/>
        <v>42</v>
      </c>
      <c r="S165" s="96">
        <f t="shared" si="85"/>
        <v>42</v>
      </c>
    </row>
    <row r="166" spans="1:19" s="4" customFormat="1" x14ac:dyDescent="0.2">
      <c r="A166" s="8"/>
      <c r="B166" s="2"/>
      <c r="C166" s="10"/>
      <c r="D166" s="10"/>
      <c r="E166" s="9"/>
      <c r="F166" s="8"/>
      <c r="G166" s="95" t="s">
        <v>288</v>
      </c>
      <c r="H166" s="96">
        <f t="shared" si="85"/>
        <v>43.356999999999999</v>
      </c>
      <c r="I166" s="96">
        <f t="shared" si="85"/>
        <v>58.079000000000001</v>
      </c>
      <c r="J166" s="96">
        <f t="shared" si="85"/>
        <v>62.375999999999998</v>
      </c>
      <c r="K166" s="96">
        <f t="shared" si="85"/>
        <v>37.851999999999997</v>
      </c>
      <c r="L166" s="96">
        <f t="shared" si="85"/>
        <v>60.747999999999998</v>
      </c>
      <c r="M166" s="96">
        <f t="shared" si="85"/>
        <v>30.013000000000002</v>
      </c>
      <c r="N166" s="96">
        <f t="shared" si="85"/>
        <v>42.25</v>
      </c>
      <c r="O166" s="96">
        <f t="shared" si="85"/>
        <v>42</v>
      </c>
      <c r="P166" s="96">
        <f t="shared" si="85"/>
        <v>42</v>
      </c>
      <c r="Q166" s="96">
        <f t="shared" si="85"/>
        <v>42</v>
      </c>
      <c r="R166" s="96">
        <f t="shared" si="85"/>
        <v>42</v>
      </c>
      <c r="S166" s="96">
        <f t="shared" si="85"/>
        <v>42</v>
      </c>
    </row>
    <row r="167" spans="1:19" s="4" customFormat="1" x14ac:dyDescent="0.2">
      <c r="A167" s="8"/>
      <c r="B167" s="2"/>
      <c r="C167" s="10"/>
      <c r="D167" s="10"/>
      <c r="E167" s="9"/>
      <c r="F167" s="8"/>
      <c r="G167" s="95" t="s">
        <v>289</v>
      </c>
      <c r="H167" s="96">
        <f t="shared" ref="H167:S167" si="86">H24</f>
        <v>0</v>
      </c>
      <c r="I167" s="96">
        <f t="shared" si="86"/>
        <v>0</v>
      </c>
      <c r="J167" s="96">
        <f t="shared" si="86"/>
        <v>0</v>
      </c>
      <c r="K167" s="96">
        <f t="shared" si="86"/>
        <v>0</v>
      </c>
      <c r="L167" s="96">
        <f t="shared" si="86"/>
        <v>0</v>
      </c>
      <c r="M167" s="96">
        <f t="shared" si="86"/>
        <v>0</v>
      </c>
      <c r="N167" s="96">
        <f t="shared" si="86"/>
        <v>0</v>
      </c>
      <c r="O167" s="96">
        <f t="shared" si="86"/>
        <v>0</v>
      </c>
      <c r="P167" s="96">
        <f t="shared" si="86"/>
        <v>0</v>
      </c>
      <c r="Q167" s="96">
        <f t="shared" si="86"/>
        <v>0</v>
      </c>
      <c r="R167" s="96">
        <f t="shared" si="86"/>
        <v>0</v>
      </c>
      <c r="S167" s="96">
        <f t="shared" si="86"/>
        <v>0</v>
      </c>
    </row>
    <row r="168" spans="1:19" s="4" customFormat="1" x14ac:dyDescent="0.2">
      <c r="A168" s="8"/>
      <c r="B168" s="2"/>
      <c r="C168" s="10"/>
      <c r="D168" s="10"/>
      <c r="E168" s="9"/>
      <c r="F168" s="8"/>
      <c r="G168" s="95" t="s">
        <v>290</v>
      </c>
      <c r="H168" s="96">
        <f t="shared" ref="H168:S168" si="87">H27</f>
        <v>798.12199999999996</v>
      </c>
      <c r="I168" s="96">
        <f t="shared" si="87"/>
        <v>944.99799999999993</v>
      </c>
      <c r="J168" s="96">
        <f t="shared" si="87"/>
        <v>1041.625</v>
      </c>
      <c r="K168" s="96">
        <f t="shared" si="87"/>
        <v>1241.085</v>
      </c>
      <c r="L168" s="96">
        <f t="shared" si="87"/>
        <v>1134.7460000000001</v>
      </c>
      <c r="M168" s="96">
        <f t="shared" si="87"/>
        <v>1108.5110000000002</v>
      </c>
      <c r="N168" s="96">
        <f t="shared" si="87"/>
        <v>831.75</v>
      </c>
      <c r="O168" s="96">
        <f t="shared" si="87"/>
        <v>697</v>
      </c>
      <c r="P168" s="96">
        <f t="shared" si="87"/>
        <v>527</v>
      </c>
      <c r="Q168" s="96">
        <f t="shared" si="87"/>
        <v>427</v>
      </c>
      <c r="R168" s="96">
        <f t="shared" si="87"/>
        <v>427</v>
      </c>
      <c r="S168" s="96">
        <f t="shared" si="87"/>
        <v>427</v>
      </c>
    </row>
    <row r="169" spans="1:19" s="4" customFormat="1" x14ac:dyDescent="0.2">
      <c r="A169" s="8"/>
      <c r="B169" s="2"/>
      <c r="C169" s="119"/>
      <c r="D169" s="41"/>
      <c r="E169" s="42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</row>
    <row r="170" spans="1:19" s="4" customFormat="1" x14ac:dyDescent="0.2">
      <c r="A170" s="8"/>
      <c r="B170" s="2"/>
      <c r="C170" s="119" t="s">
        <v>463</v>
      </c>
      <c r="D170" s="41"/>
      <c r="E170" s="42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</row>
    <row r="171" spans="1:19" s="4" customFormat="1" x14ac:dyDescent="0.2">
      <c r="A171" s="8"/>
      <c r="B171" s="2"/>
      <c r="C171" s="119"/>
      <c r="D171" s="41"/>
      <c r="E171" s="42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</row>
    <row r="172" spans="1:19" s="40" customFormat="1" x14ac:dyDescent="0.2">
      <c r="A172" s="29"/>
      <c r="B172" s="2"/>
      <c r="C172" s="29" t="s">
        <v>464</v>
      </c>
      <c r="D172" s="99"/>
      <c r="E172" s="30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</row>
    <row r="173" spans="1:19" s="4" customFormat="1" x14ac:dyDescent="0.2">
      <c r="A173" s="8"/>
      <c r="B173" s="2"/>
      <c r="C173" s="8"/>
      <c r="D173" s="10"/>
      <c r="E173" s="9"/>
      <c r="F173" s="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</row>
    <row r="174" spans="1:19" s="4" customFormat="1" x14ac:dyDescent="0.2">
      <c r="A174" s="8"/>
      <c r="B174" s="2"/>
      <c r="C174" s="8" t="s">
        <v>291</v>
      </c>
      <c r="D174" s="10"/>
      <c r="E174" s="9"/>
      <c r="F174" s="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</row>
    <row r="175" spans="1:19" s="4" customFormat="1" x14ac:dyDescent="0.2">
      <c r="A175" s="8"/>
      <c r="B175" s="2"/>
      <c r="C175" s="8" t="s">
        <v>292</v>
      </c>
      <c r="D175" s="10"/>
      <c r="E175" s="9"/>
      <c r="F175" s="12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  <c r="R175" s="44"/>
    </row>
    <row r="176" spans="1:19" s="4" customFormat="1" x14ac:dyDescent="0.2">
      <c r="A176" s="8"/>
      <c r="B176" s="2"/>
      <c r="C176" s="8"/>
      <c r="D176" s="10"/>
      <c r="E176" s="9"/>
      <c r="F176" s="12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</row>
    <row r="177" spans="1:7" s="4" customFormat="1" x14ac:dyDescent="0.2">
      <c r="A177" s="8"/>
      <c r="B177" s="2"/>
      <c r="C177" s="8" t="s">
        <v>293</v>
      </c>
      <c r="D177" s="10"/>
      <c r="E177" s="9"/>
      <c r="F177" s="12"/>
      <c r="G177" s="28"/>
    </row>
    <row r="178" spans="1:7" s="4" customFormat="1" x14ac:dyDescent="0.2">
      <c r="A178" s="8"/>
      <c r="B178" s="2"/>
      <c r="C178" s="8" t="s">
        <v>294</v>
      </c>
      <c r="D178" s="10"/>
      <c r="E178" s="9"/>
      <c r="F178" s="12"/>
      <c r="G178" s="28"/>
    </row>
    <row r="179" spans="1:7" s="4" customFormat="1" x14ac:dyDescent="0.2">
      <c r="A179" s="8"/>
      <c r="B179" s="2"/>
      <c r="C179" s="10"/>
      <c r="D179" s="10"/>
      <c r="E179" s="9"/>
      <c r="F179" s="8"/>
      <c r="G179" s="28"/>
    </row>
    <row r="180" spans="1:7" s="4" customFormat="1" x14ac:dyDescent="0.2">
      <c r="A180" s="8"/>
      <c r="B180" s="2"/>
      <c r="C180" s="10"/>
      <c r="D180" s="10"/>
      <c r="E180" s="9"/>
      <c r="F180" s="8"/>
      <c r="G180" s="28"/>
    </row>
    <row r="181" spans="1:7" s="4" customFormat="1" x14ac:dyDescent="0.2">
      <c r="A181" s="8"/>
      <c r="B181" s="2"/>
      <c r="C181" s="10"/>
      <c r="D181" s="10"/>
      <c r="E181" s="9"/>
      <c r="F181" s="8"/>
      <c r="G181" s="28"/>
    </row>
    <row r="182" spans="1:7" s="4" customFormat="1" x14ac:dyDescent="0.2">
      <c r="A182" s="8"/>
      <c r="B182" s="2"/>
      <c r="C182" s="10"/>
      <c r="D182" s="10"/>
      <c r="E182" s="9"/>
      <c r="F182" s="8"/>
      <c r="G182" s="28"/>
    </row>
    <row r="183" spans="1:7" s="4" customFormat="1" x14ac:dyDescent="0.2">
      <c r="A183" s="8"/>
      <c r="B183" s="2"/>
      <c r="C183" s="10"/>
      <c r="D183" s="10"/>
      <c r="E183" s="9"/>
      <c r="F183" s="8"/>
      <c r="G183" s="28"/>
    </row>
    <row r="184" spans="1:7" s="4" customFormat="1" x14ac:dyDescent="0.2">
      <c r="A184" s="8"/>
      <c r="B184" s="2"/>
      <c r="C184" s="10"/>
      <c r="D184" s="10"/>
      <c r="E184" s="9"/>
      <c r="F184" s="8"/>
      <c r="G184" s="28"/>
    </row>
    <row r="185" spans="1:7" s="4" customFormat="1" x14ac:dyDescent="0.2">
      <c r="A185" s="8"/>
      <c r="B185" s="2"/>
      <c r="C185" s="10"/>
      <c r="D185" s="10"/>
      <c r="E185" s="9"/>
      <c r="F185" s="8"/>
      <c r="G185" s="28"/>
    </row>
    <row r="186" spans="1:7" s="4" customFormat="1" x14ac:dyDescent="0.2">
      <c r="A186" s="8"/>
      <c r="B186" s="2"/>
      <c r="C186" s="10"/>
      <c r="D186" s="10"/>
      <c r="E186" s="9"/>
      <c r="F186" s="8"/>
      <c r="G186" s="28"/>
    </row>
    <row r="187" spans="1:7" s="4" customFormat="1" x14ac:dyDescent="0.2">
      <c r="A187" s="8"/>
      <c r="B187" s="2"/>
      <c r="C187" s="10"/>
      <c r="D187" s="10"/>
      <c r="E187" s="9"/>
      <c r="F187" s="8"/>
      <c r="G187" s="28"/>
    </row>
    <row r="188" spans="1:7" s="4" customFormat="1" x14ac:dyDescent="0.2">
      <c r="A188" s="8"/>
      <c r="B188" s="2"/>
      <c r="C188" s="10"/>
      <c r="D188" s="10"/>
      <c r="E188" s="9"/>
      <c r="F188" s="8"/>
      <c r="G188" s="28"/>
    </row>
    <row r="189" spans="1:7" s="4" customFormat="1" x14ac:dyDescent="0.2">
      <c r="A189" s="8"/>
      <c r="B189" s="2"/>
      <c r="C189" s="10"/>
      <c r="D189" s="10"/>
      <c r="E189" s="9"/>
      <c r="F189" s="8"/>
      <c r="G189" s="28"/>
    </row>
    <row r="190" spans="1:7" s="4" customFormat="1" x14ac:dyDescent="0.2">
      <c r="A190" s="8"/>
      <c r="B190" s="2"/>
      <c r="C190" s="10"/>
      <c r="D190" s="10"/>
      <c r="E190" s="9"/>
      <c r="F190" s="8"/>
      <c r="G190" s="28"/>
    </row>
    <row r="191" spans="1:7" s="4" customFormat="1" x14ac:dyDescent="0.2">
      <c r="A191" s="8"/>
      <c r="B191" s="2"/>
      <c r="C191" s="10"/>
      <c r="D191" s="10"/>
      <c r="E191" s="9"/>
      <c r="F191" s="8"/>
      <c r="G191" s="28"/>
    </row>
    <row r="192" spans="1:7" s="4" customFormat="1" x14ac:dyDescent="0.2">
      <c r="A192" s="8"/>
      <c r="B192" s="2"/>
      <c r="C192" s="10"/>
      <c r="D192" s="10"/>
      <c r="E192" s="9"/>
      <c r="F192" s="8"/>
      <c r="G192" s="28"/>
    </row>
    <row r="193" spans="1:7" s="4" customFormat="1" x14ac:dyDescent="0.2">
      <c r="A193" s="8"/>
      <c r="B193" s="2"/>
      <c r="C193" s="10"/>
      <c r="D193" s="10"/>
      <c r="E193" s="9"/>
      <c r="F193" s="8"/>
      <c r="G193" s="28"/>
    </row>
    <row r="194" spans="1:7" s="4" customFormat="1" x14ac:dyDescent="0.2">
      <c r="A194" s="8"/>
      <c r="B194" s="2"/>
      <c r="C194" s="10"/>
      <c r="D194" s="10"/>
      <c r="E194" s="9"/>
      <c r="F194" s="8"/>
      <c r="G194" s="28"/>
    </row>
    <row r="195" spans="1:7" s="4" customFormat="1" x14ac:dyDescent="0.2">
      <c r="A195" s="8"/>
      <c r="B195" s="2"/>
      <c r="C195" s="10"/>
      <c r="D195" s="10"/>
      <c r="E195" s="9"/>
      <c r="F195" s="8"/>
      <c r="G195" s="28"/>
    </row>
    <row r="196" spans="1:7" s="4" customFormat="1" x14ac:dyDescent="0.2">
      <c r="A196" s="8"/>
      <c r="B196" s="2"/>
      <c r="C196" s="10"/>
      <c r="D196" s="10"/>
      <c r="E196" s="9"/>
      <c r="F196" s="8"/>
      <c r="G196" s="28"/>
    </row>
    <row r="197" spans="1:7" s="4" customFormat="1" x14ac:dyDescent="0.2">
      <c r="A197" s="8"/>
      <c r="B197" s="2"/>
      <c r="C197" s="10"/>
      <c r="D197" s="10"/>
      <c r="E197" s="9"/>
      <c r="F197" s="8"/>
      <c r="G197" s="28"/>
    </row>
    <row r="198" spans="1:7" s="4" customFormat="1" x14ac:dyDescent="0.2">
      <c r="A198" s="8"/>
      <c r="B198" s="2"/>
      <c r="C198" s="10"/>
      <c r="D198" s="10"/>
      <c r="E198" s="9"/>
      <c r="F198" s="8"/>
      <c r="G198" s="28"/>
    </row>
    <row r="199" spans="1:7" s="4" customFormat="1" x14ac:dyDescent="0.2">
      <c r="A199" s="8"/>
      <c r="B199" s="2"/>
      <c r="C199" s="10"/>
      <c r="D199" s="10"/>
      <c r="E199" s="9"/>
      <c r="F199" s="8"/>
      <c r="G199" s="28"/>
    </row>
    <row r="200" spans="1:7" s="4" customFormat="1" x14ac:dyDescent="0.2">
      <c r="A200" s="8"/>
      <c r="B200" s="2"/>
      <c r="C200" s="10"/>
      <c r="D200" s="10"/>
      <c r="E200" s="9"/>
      <c r="F200" s="8"/>
      <c r="G200" s="28"/>
    </row>
    <row r="201" spans="1:7" s="4" customFormat="1" x14ac:dyDescent="0.2">
      <c r="A201" s="8"/>
      <c r="B201" s="2"/>
      <c r="C201" s="10"/>
      <c r="D201" s="10"/>
      <c r="E201" s="9"/>
      <c r="F201" s="8"/>
      <c r="G201" s="28"/>
    </row>
    <row r="202" spans="1:7" s="4" customFormat="1" x14ac:dyDescent="0.2">
      <c r="A202" s="8"/>
      <c r="B202" s="2"/>
      <c r="C202" s="10"/>
      <c r="D202" s="10"/>
      <c r="E202" s="9"/>
      <c r="F202" s="8"/>
      <c r="G202" s="28"/>
    </row>
  </sheetData>
  <mergeCells count="1">
    <mergeCell ref="D92:E92"/>
  </mergeCells>
  <conditionalFormatting sqref="H141:Q141">
    <cfRule type="cellIs" dxfId="2114" priority="51" stopIfTrue="1" operator="greaterThan">
      <formula>$E$141</formula>
    </cfRule>
    <cfRule type="cellIs" dxfId="2113" priority="52" stopIfTrue="1" operator="lessThanOrEqual">
      <formula>$E$141</formula>
    </cfRule>
  </conditionalFormatting>
  <conditionalFormatting sqref="H143:Q143">
    <cfRule type="cellIs" dxfId="2112" priority="49" stopIfTrue="1" operator="lessThanOrEqual">
      <formula>$E$143</formula>
    </cfRule>
    <cfRule type="cellIs" dxfId="2111" priority="50" stopIfTrue="1" operator="greaterThan">
      <formula>$E$143</formula>
    </cfRule>
  </conditionalFormatting>
  <conditionalFormatting sqref="H121:Q121">
    <cfRule type="cellIs" dxfId="2110" priority="47" operator="greaterThan">
      <formula>$E$121</formula>
    </cfRule>
    <cfRule type="cellIs" dxfId="2109" priority="48" operator="lessThanOrEqual">
      <formula>$E$121</formula>
    </cfRule>
  </conditionalFormatting>
  <conditionalFormatting sqref="H124:Q124">
    <cfRule type="cellIs" dxfId="2108" priority="45" stopIfTrue="1" operator="greaterThanOrEqual">
      <formula>$E$124</formula>
    </cfRule>
    <cfRule type="cellIs" dxfId="2107" priority="46" stopIfTrue="1" operator="lessThan">
      <formula>$E$124</formula>
    </cfRule>
  </conditionalFormatting>
  <conditionalFormatting sqref="H126:Q126">
    <cfRule type="cellIs" dxfId="2106" priority="43" stopIfTrue="1" operator="lessThan">
      <formula>$E$126</formula>
    </cfRule>
    <cfRule type="cellIs" dxfId="2105" priority="44" stopIfTrue="1" operator="greaterThanOrEqual">
      <formula>$E$126</formula>
    </cfRule>
  </conditionalFormatting>
  <conditionalFormatting sqref="H125:Q125">
    <cfRule type="cellIs" dxfId="2104" priority="41" stopIfTrue="1" operator="greaterThan">
      <formula>$E$125</formula>
    </cfRule>
    <cfRule type="cellIs" dxfId="2103" priority="42" stopIfTrue="1" operator="lessThanOrEqual">
      <formula>$E$125</formula>
    </cfRule>
  </conditionalFormatting>
  <conditionalFormatting sqref="H122:Q122">
    <cfRule type="cellIs" dxfId="2102" priority="30" stopIfTrue="1" operator="between">
      <formula>$D$122</formula>
      <formula>$E$122</formula>
    </cfRule>
    <cfRule type="cellIs" dxfId="2101" priority="39" stopIfTrue="1" operator="lessThanOrEqual">
      <formula>$D$122</formula>
    </cfRule>
    <cfRule type="cellIs" dxfId="2100" priority="40" stopIfTrue="1" operator="greaterThan">
      <formula>$E$122</formula>
    </cfRule>
  </conditionalFormatting>
  <conditionalFormatting sqref="H142:Q142">
    <cfRule type="cellIs" dxfId="2099" priority="37" stopIfTrue="1" operator="greaterThan">
      <formula>$E$142</formula>
    </cfRule>
    <cfRule type="cellIs" dxfId="2098" priority="38" stopIfTrue="1" operator="lessThanOrEqual">
      <formula>$E$142</formula>
    </cfRule>
  </conditionalFormatting>
  <conditionalFormatting sqref="H130:Q130">
    <cfRule type="cellIs" dxfId="2097" priority="35" stopIfTrue="1" operator="greaterThan">
      <formula>$E$130</formula>
    </cfRule>
    <cfRule type="cellIs" dxfId="2096" priority="36" stopIfTrue="1" operator="lessThanOrEqual">
      <formula>$E$130</formula>
    </cfRule>
  </conditionalFormatting>
  <conditionalFormatting sqref="H131:Q131">
    <cfRule type="cellIs" dxfId="2095" priority="33" stopIfTrue="1" operator="lessThan">
      <formula>$E$131</formula>
    </cfRule>
    <cfRule type="cellIs" dxfId="2094" priority="34" stopIfTrue="1" operator="greaterThanOrEqual">
      <formula>$E$131</formula>
    </cfRule>
  </conditionalFormatting>
  <conditionalFormatting sqref="H114:Q114">
    <cfRule type="cellIs" dxfId="2093" priority="53" stopIfTrue="1" operator="lessThan">
      <formula>$D$114</formula>
    </cfRule>
    <cfRule type="cellIs" dxfId="2092" priority="54" stopIfTrue="1" operator="between">
      <formula>$D$114</formula>
      <formula>$E$114</formula>
    </cfRule>
    <cfRule type="cellIs" dxfId="2091" priority="55" stopIfTrue="1" operator="greaterThan">
      <formula>$E$114</formula>
    </cfRule>
  </conditionalFormatting>
  <conditionalFormatting sqref="H138:Q138">
    <cfRule type="cellIs" dxfId="2090" priority="56" stopIfTrue="1" operator="lessThan">
      <formula>$E$138</formula>
    </cfRule>
    <cfRule type="cellIs" dxfId="2089" priority="57" stopIfTrue="1" operator="between">
      <formula>$D$138</formula>
      <formula>$E$138</formula>
    </cfRule>
    <cfRule type="cellIs" dxfId="2088" priority="58" stopIfTrue="1" operator="greaterThanOrEqual">
      <formula>$D$138</formula>
    </cfRule>
  </conditionalFormatting>
  <conditionalFormatting sqref="H111:Q111">
    <cfRule type="cellIs" dxfId="2087" priority="31" stopIfTrue="1" operator="lessThan">
      <formula>$E$111</formula>
    </cfRule>
    <cfRule type="cellIs" dxfId="2086" priority="32" stopIfTrue="1" operator="greaterThan">
      <formula>$E$111</formula>
    </cfRule>
  </conditionalFormatting>
  <conditionalFormatting sqref="R141:S141">
    <cfRule type="cellIs" dxfId="2085" priority="22" stopIfTrue="1" operator="greaterThan">
      <formula>$E$141</formula>
    </cfRule>
    <cfRule type="cellIs" dxfId="2084" priority="23" stopIfTrue="1" operator="lessThanOrEqual">
      <formula>$E$141</formula>
    </cfRule>
  </conditionalFormatting>
  <conditionalFormatting sqref="R143:S143">
    <cfRule type="cellIs" dxfId="2083" priority="20" stopIfTrue="1" operator="lessThanOrEqual">
      <formula>$E$143</formula>
    </cfRule>
    <cfRule type="cellIs" dxfId="2082" priority="21" stopIfTrue="1" operator="greaterThan">
      <formula>$E$143</formula>
    </cfRule>
  </conditionalFormatting>
  <conditionalFormatting sqref="R121:S121">
    <cfRule type="cellIs" dxfId="2081" priority="18" operator="greaterThan">
      <formula>$E$121</formula>
    </cfRule>
    <cfRule type="cellIs" dxfId="2080" priority="19" operator="lessThanOrEqual">
      <formula>$E$121</formula>
    </cfRule>
  </conditionalFormatting>
  <conditionalFormatting sqref="R124:S124">
    <cfRule type="cellIs" dxfId="2079" priority="16" stopIfTrue="1" operator="greaterThanOrEqual">
      <formula>$E$124</formula>
    </cfRule>
    <cfRule type="cellIs" dxfId="2078" priority="17" stopIfTrue="1" operator="lessThan">
      <formula>$E$124</formula>
    </cfRule>
  </conditionalFormatting>
  <conditionalFormatting sqref="R126:S126">
    <cfRule type="cellIs" dxfId="2077" priority="14" stopIfTrue="1" operator="lessThan">
      <formula>$E$126</formula>
    </cfRule>
    <cfRule type="cellIs" dxfId="2076" priority="15" stopIfTrue="1" operator="greaterThanOrEqual">
      <formula>$E$126</formula>
    </cfRule>
  </conditionalFormatting>
  <conditionalFormatting sqref="R125:S125">
    <cfRule type="cellIs" dxfId="2075" priority="12" stopIfTrue="1" operator="greaterThan">
      <formula>$E$125</formula>
    </cfRule>
    <cfRule type="cellIs" dxfId="2074" priority="13" stopIfTrue="1" operator="lessThanOrEqual">
      <formula>$E$125</formula>
    </cfRule>
  </conditionalFormatting>
  <conditionalFormatting sqref="R122:S122">
    <cfRule type="cellIs" dxfId="2073" priority="1" stopIfTrue="1" operator="between">
      <formula>$D$122</formula>
      <formula>$E$122</formula>
    </cfRule>
    <cfRule type="cellIs" dxfId="2072" priority="10" stopIfTrue="1" operator="lessThanOrEqual">
      <formula>$D$122</formula>
    </cfRule>
    <cfRule type="cellIs" dxfId="2071" priority="11" stopIfTrue="1" operator="greaterThan">
      <formula>$E$122</formula>
    </cfRule>
  </conditionalFormatting>
  <conditionalFormatting sqref="R142:S142">
    <cfRule type="cellIs" dxfId="2070" priority="8" stopIfTrue="1" operator="greaterThan">
      <formula>$E$142</formula>
    </cfRule>
    <cfRule type="cellIs" dxfId="2069" priority="9" stopIfTrue="1" operator="lessThanOrEqual">
      <formula>$E$142</formula>
    </cfRule>
  </conditionalFormatting>
  <conditionalFormatting sqref="R130:S130">
    <cfRule type="cellIs" dxfId="2068" priority="6" stopIfTrue="1" operator="greaterThan">
      <formula>$E$130</formula>
    </cfRule>
    <cfRule type="cellIs" dxfId="2067" priority="7" stopIfTrue="1" operator="lessThanOrEqual">
      <formula>$E$130</formula>
    </cfRule>
  </conditionalFormatting>
  <conditionalFormatting sqref="R131:S131">
    <cfRule type="cellIs" dxfId="2066" priority="4" stopIfTrue="1" operator="lessThan">
      <formula>$E$131</formula>
    </cfRule>
    <cfRule type="cellIs" dxfId="2065" priority="5" stopIfTrue="1" operator="greaterThanOrEqual">
      <formula>$E$131</formula>
    </cfRule>
  </conditionalFormatting>
  <conditionalFormatting sqref="R114:S114">
    <cfRule type="cellIs" dxfId="2064" priority="24" stopIfTrue="1" operator="lessThan">
      <formula>$D$114</formula>
    </cfRule>
    <cfRule type="cellIs" dxfId="2063" priority="25" stopIfTrue="1" operator="between">
      <formula>$D$114</formula>
      <formula>$E$114</formula>
    </cfRule>
    <cfRule type="cellIs" dxfId="2062" priority="26" stopIfTrue="1" operator="greaterThan">
      <formula>$E$114</formula>
    </cfRule>
  </conditionalFormatting>
  <conditionalFormatting sqref="R138:S138">
    <cfRule type="cellIs" dxfId="2061" priority="27" stopIfTrue="1" operator="lessThan">
      <formula>$E$138</formula>
    </cfRule>
    <cfRule type="cellIs" dxfId="2060" priority="28" stopIfTrue="1" operator="between">
      <formula>$D$138</formula>
      <formula>$E$138</formula>
    </cfRule>
    <cfRule type="cellIs" dxfId="2059" priority="29" stopIfTrue="1" operator="greaterThanOrEqual">
      <formula>$D$138</formula>
    </cfRule>
  </conditionalFormatting>
  <conditionalFormatting sqref="R111:S111">
    <cfRule type="cellIs" dxfId="2058" priority="2" stopIfTrue="1" operator="lessThan">
      <formula>$E$111</formula>
    </cfRule>
    <cfRule type="cellIs" dxfId="2057" priority="3" stopIfTrue="1" operator="greaterThan">
      <formula>$E$111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CC7A43-BA9D-46A4-B0E6-0B18A048CC8C}">
  <dimension ref="A1:S150"/>
  <sheetViews>
    <sheetView topLeftCell="C1" workbookViewId="0">
      <selection activeCell="I2" sqref="I2"/>
    </sheetView>
  </sheetViews>
  <sheetFormatPr defaultColWidth="11.42578125" defaultRowHeight="11.25" x14ac:dyDescent="0.2"/>
  <cols>
    <col min="1" max="1" width="5.7109375" style="8" bestFit="1" customWidth="1"/>
    <col min="2" max="2" width="5" style="2" bestFit="1" customWidth="1"/>
    <col min="3" max="3" width="21" style="10" bestFit="1" customWidth="1"/>
    <col min="4" max="4" width="7.28515625" style="10" customWidth="1"/>
    <col min="5" max="5" width="5.140625" style="9" bestFit="1" customWidth="1"/>
    <col min="6" max="6" width="2.140625" style="8" customWidth="1"/>
    <col min="7" max="7" width="21.42578125" style="28" customWidth="1"/>
    <col min="8" max="8" width="8.7109375" style="4" customWidth="1"/>
    <col min="9" max="9" width="20.140625" style="4" bestFit="1" customWidth="1"/>
    <col min="10" max="10" width="8.7109375" style="4" customWidth="1"/>
    <col min="11" max="11" width="8.85546875" style="4" customWidth="1"/>
    <col min="12" max="19" width="8.7109375" style="4" bestFit="1" customWidth="1"/>
    <col min="20" max="256" width="11.42578125" style="4"/>
    <col min="257" max="257" width="5.7109375" style="4" bestFit="1" customWidth="1"/>
    <col min="258" max="258" width="5" style="4" bestFit="1" customWidth="1"/>
    <col min="259" max="259" width="21" style="4" bestFit="1" customWidth="1"/>
    <col min="260" max="260" width="7.28515625" style="4" customWidth="1"/>
    <col min="261" max="261" width="5.140625" style="4" bestFit="1" customWidth="1"/>
    <col min="262" max="262" width="2.140625" style="4" customWidth="1"/>
    <col min="263" max="263" width="21.42578125" style="4" customWidth="1"/>
    <col min="264" max="264" width="8.7109375" style="4" customWidth="1"/>
    <col min="265" max="265" width="20.140625" style="4" bestFit="1" customWidth="1"/>
    <col min="266" max="266" width="8.7109375" style="4" customWidth="1"/>
    <col min="267" max="267" width="6" style="4" bestFit="1" customWidth="1"/>
    <col min="268" max="275" width="8.7109375" style="4" bestFit="1" customWidth="1"/>
    <col min="276" max="512" width="11.42578125" style="4"/>
    <col min="513" max="513" width="5.7109375" style="4" bestFit="1" customWidth="1"/>
    <col min="514" max="514" width="5" style="4" bestFit="1" customWidth="1"/>
    <col min="515" max="515" width="21" style="4" bestFit="1" customWidth="1"/>
    <col min="516" max="516" width="7.28515625" style="4" customWidth="1"/>
    <col min="517" max="517" width="5.140625" style="4" bestFit="1" customWidth="1"/>
    <col min="518" max="518" width="2.140625" style="4" customWidth="1"/>
    <col min="519" max="519" width="21.42578125" style="4" customWidth="1"/>
    <col min="520" max="520" width="8.7109375" style="4" customWidth="1"/>
    <col min="521" max="521" width="20.140625" style="4" bestFit="1" customWidth="1"/>
    <col min="522" max="522" width="8.7109375" style="4" customWidth="1"/>
    <col min="523" max="523" width="6" style="4" bestFit="1" customWidth="1"/>
    <col min="524" max="531" width="8.7109375" style="4" bestFit="1" customWidth="1"/>
    <col min="532" max="768" width="11.42578125" style="4"/>
    <col min="769" max="769" width="5.7109375" style="4" bestFit="1" customWidth="1"/>
    <col min="770" max="770" width="5" style="4" bestFit="1" customWidth="1"/>
    <col min="771" max="771" width="21" style="4" bestFit="1" customWidth="1"/>
    <col min="772" max="772" width="7.28515625" style="4" customWidth="1"/>
    <col min="773" max="773" width="5.140625" style="4" bestFit="1" customWidth="1"/>
    <col min="774" max="774" width="2.140625" style="4" customWidth="1"/>
    <col min="775" max="775" width="21.42578125" style="4" customWidth="1"/>
    <col min="776" max="776" width="8.7109375" style="4" customWidth="1"/>
    <col min="777" max="777" width="20.140625" style="4" bestFit="1" customWidth="1"/>
    <col min="778" max="778" width="8.7109375" style="4" customWidth="1"/>
    <col min="779" max="779" width="6" style="4" bestFit="1" customWidth="1"/>
    <col min="780" max="787" width="8.7109375" style="4" bestFit="1" customWidth="1"/>
    <col min="788" max="1024" width="11.42578125" style="4"/>
    <col min="1025" max="1025" width="5.7109375" style="4" bestFit="1" customWidth="1"/>
    <col min="1026" max="1026" width="5" style="4" bestFit="1" customWidth="1"/>
    <col min="1027" max="1027" width="21" style="4" bestFit="1" customWidth="1"/>
    <col min="1028" max="1028" width="7.28515625" style="4" customWidth="1"/>
    <col min="1029" max="1029" width="5.140625" style="4" bestFit="1" customWidth="1"/>
    <col min="1030" max="1030" width="2.140625" style="4" customWidth="1"/>
    <col min="1031" max="1031" width="21.42578125" style="4" customWidth="1"/>
    <col min="1032" max="1032" width="8.7109375" style="4" customWidth="1"/>
    <col min="1033" max="1033" width="20.140625" style="4" bestFit="1" customWidth="1"/>
    <col min="1034" max="1034" width="8.7109375" style="4" customWidth="1"/>
    <col min="1035" max="1035" width="6" style="4" bestFit="1" customWidth="1"/>
    <col min="1036" max="1043" width="8.7109375" style="4" bestFit="1" customWidth="1"/>
    <col min="1044" max="1280" width="11.42578125" style="4"/>
    <col min="1281" max="1281" width="5.7109375" style="4" bestFit="1" customWidth="1"/>
    <col min="1282" max="1282" width="5" style="4" bestFit="1" customWidth="1"/>
    <col min="1283" max="1283" width="21" style="4" bestFit="1" customWidth="1"/>
    <col min="1284" max="1284" width="7.28515625" style="4" customWidth="1"/>
    <col min="1285" max="1285" width="5.140625" style="4" bestFit="1" customWidth="1"/>
    <col min="1286" max="1286" width="2.140625" style="4" customWidth="1"/>
    <col min="1287" max="1287" width="21.42578125" style="4" customWidth="1"/>
    <col min="1288" max="1288" width="8.7109375" style="4" customWidth="1"/>
    <col min="1289" max="1289" width="20.140625" style="4" bestFit="1" customWidth="1"/>
    <col min="1290" max="1290" width="8.7109375" style="4" customWidth="1"/>
    <col min="1291" max="1291" width="6" style="4" bestFit="1" customWidth="1"/>
    <col min="1292" max="1299" width="8.7109375" style="4" bestFit="1" customWidth="1"/>
    <col min="1300" max="1536" width="11.42578125" style="4"/>
    <col min="1537" max="1537" width="5.7109375" style="4" bestFit="1" customWidth="1"/>
    <col min="1538" max="1538" width="5" style="4" bestFit="1" customWidth="1"/>
    <col min="1539" max="1539" width="21" style="4" bestFit="1" customWidth="1"/>
    <col min="1540" max="1540" width="7.28515625" style="4" customWidth="1"/>
    <col min="1541" max="1541" width="5.140625" style="4" bestFit="1" customWidth="1"/>
    <col min="1542" max="1542" width="2.140625" style="4" customWidth="1"/>
    <col min="1543" max="1543" width="21.42578125" style="4" customWidth="1"/>
    <col min="1544" max="1544" width="8.7109375" style="4" customWidth="1"/>
    <col min="1545" max="1545" width="20.140625" style="4" bestFit="1" customWidth="1"/>
    <col min="1546" max="1546" width="8.7109375" style="4" customWidth="1"/>
    <col min="1547" max="1547" width="6" style="4" bestFit="1" customWidth="1"/>
    <col min="1548" max="1555" width="8.7109375" style="4" bestFit="1" customWidth="1"/>
    <col min="1556" max="1792" width="11.42578125" style="4"/>
    <col min="1793" max="1793" width="5.7109375" style="4" bestFit="1" customWidth="1"/>
    <col min="1794" max="1794" width="5" style="4" bestFit="1" customWidth="1"/>
    <col min="1795" max="1795" width="21" style="4" bestFit="1" customWidth="1"/>
    <col min="1796" max="1796" width="7.28515625" style="4" customWidth="1"/>
    <col min="1797" max="1797" width="5.140625" style="4" bestFit="1" customWidth="1"/>
    <col min="1798" max="1798" width="2.140625" style="4" customWidth="1"/>
    <col min="1799" max="1799" width="21.42578125" style="4" customWidth="1"/>
    <col min="1800" max="1800" width="8.7109375" style="4" customWidth="1"/>
    <col min="1801" max="1801" width="20.140625" style="4" bestFit="1" customWidth="1"/>
    <col min="1802" max="1802" width="8.7109375" style="4" customWidth="1"/>
    <col min="1803" max="1803" width="6" style="4" bestFit="1" customWidth="1"/>
    <col min="1804" max="1811" width="8.7109375" style="4" bestFit="1" customWidth="1"/>
    <col min="1812" max="2048" width="11.42578125" style="4"/>
    <col min="2049" max="2049" width="5.7109375" style="4" bestFit="1" customWidth="1"/>
    <col min="2050" max="2050" width="5" style="4" bestFit="1" customWidth="1"/>
    <col min="2051" max="2051" width="21" style="4" bestFit="1" customWidth="1"/>
    <col min="2052" max="2052" width="7.28515625" style="4" customWidth="1"/>
    <col min="2053" max="2053" width="5.140625" style="4" bestFit="1" customWidth="1"/>
    <col min="2054" max="2054" width="2.140625" style="4" customWidth="1"/>
    <col min="2055" max="2055" width="21.42578125" style="4" customWidth="1"/>
    <col min="2056" max="2056" width="8.7109375" style="4" customWidth="1"/>
    <col min="2057" max="2057" width="20.140625" style="4" bestFit="1" customWidth="1"/>
    <col min="2058" max="2058" width="8.7109375" style="4" customWidth="1"/>
    <col min="2059" max="2059" width="6" style="4" bestFit="1" customWidth="1"/>
    <col min="2060" max="2067" width="8.7109375" style="4" bestFit="1" customWidth="1"/>
    <col min="2068" max="2304" width="11.42578125" style="4"/>
    <col min="2305" max="2305" width="5.7109375" style="4" bestFit="1" customWidth="1"/>
    <col min="2306" max="2306" width="5" style="4" bestFit="1" customWidth="1"/>
    <col min="2307" max="2307" width="21" style="4" bestFit="1" customWidth="1"/>
    <col min="2308" max="2308" width="7.28515625" style="4" customWidth="1"/>
    <col min="2309" max="2309" width="5.140625" style="4" bestFit="1" customWidth="1"/>
    <col min="2310" max="2310" width="2.140625" style="4" customWidth="1"/>
    <col min="2311" max="2311" width="21.42578125" style="4" customWidth="1"/>
    <col min="2312" max="2312" width="8.7109375" style="4" customWidth="1"/>
    <col min="2313" max="2313" width="20.140625" style="4" bestFit="1" customWidth="1"/>
    <col min="2314" max="2314" width="8.7109375" style="4" customWidth="1"/>
    <col min="2315" max="2315" width="6" style="4" bestFit="1" customWidth="1"/>
    <col min="2316" max="2323" width="8.7109375" style="4" bestFit="1" customWidth="1"/>
    <col min="2324" max="2560" width="11.42578125" style="4"/>
    <col min="2561" max="2561" width="5.7109375" style="4" bestFit="1" customWidth="1"/>
    <col min="2562" max="2562" width="5" style="4" bestFit="1" customWidth="1"/>
    <col min="2563" max="2563" width="21" style="4" bestFit="1" customWidth="1"/>
    <col min="2564" max="2564" width="7.28515625" style="4" customWidth="1"/>
    <col min="2565" max="2565" width="5.140625" style="4" bestFit="1" customWidth="1"/>
    <col min="2566" max="2566" width="2.140625" style="4" customWidth="1"/>
    <col min="2567" max="2567" width="21.42578125" style="4" customWidth="1"/>
    <col min="2568" max="2568" width="8.7109375" style="4" customWidth="1"/>
    <col min="2569" max="2569" width="20.140625" style="4" bestFit="1" customWidth="1"/>
    <col min="2570" max="2570" width="8.7109375" style="4" customWidth="1"/>
    <col min="2571" max="2571" width="6" style="4" bestFit="1" customWidth="1"/>
    <col min="2572" max="2579" width="8.7109375" style="4" bestFit="1" customWidth="1"/>
    <col min="2580" max="2816" width="11.42578125" style="4"/>
    <col min="2817" max="2817" width="5.7109375" style="4" bestFit="1" customWidth="1"/>
    <col min="2818" max="2818" width="5" style="4" bestFit="1" customWidth="1"/>
    <col min="2819" max="2819" width="21" style="4" bestFit="1" customWidth="1"/>
    <col min="2820" max="2820" width="7.28515625" style="4" customWidth="1"/>
    <col min="2821" max="2821" width="5.140625" style="4" bestFit="1" customWidth="1"/>
    <col min="2822" max="2822" width="2.140625" style="4" customWidth="1"/>
    <col min="2823" max="2823" width="21.42578125" style="4" customWidth="1"/>
    <col min="2824" max="2824" width="8.7109375" style="4" customWidth="1"/>
    <col min="2825" max="2825" width="20.140625" style="4" bestFit="1" customWidth="1"/>
    <col min="2826" max="2826" width="8.7109375" style="4" customWidth="1"/>
    <col min="2827" max="2827" width="6" style="4" bestFit="1" customWidth="1"/>
    <col min="2828" max="2835" width="8.7109375" style="4" bestFit="1" customWidth="1"/>
    <col min="2836" max="3072" width="11.42578125" style="4"/>
    <col min="3073" max="3073" width="5.7109375" style="4" bestFit="1" customWidth="1"/>
    <col min="3074" max="3074" width="5" style="4" bestFit="1" customWidth="1"/>
    <col min="3075" max="3075" width="21" style="4" bestFit="1" customWidth="1"/>
    <col min="3076" max="3076" width="7.28515625" style="4" customWidth="1"/>
    <col min="3077" max="3077" width="5.140625" style="4" bestFit="1" customWidth="1"/>
    <col min="3078" max="3078" width="2.140625" style="4" customWidth="1"/>
    <col min="3079" max="3079" width="21.42578125" style="4" customWidth="1"/>
    <col min="3080" max="3080" width="8.7109375" style="4" customWidth="1"/>
    <col min="3081" max="3081" width="20.140625" style="4" bestFit="1" customWidth="1"/>
    <col min="3082" max="3082" width="8.7109375" style="4" customWidth="1"/>
    <col min="3083" max="3083" width="6" style="4" bestFit="1" customWidth="1"/>
    <col min="3084" max="3091" width="8.7109375" style="4" bestFit="1" customWidth="1"/>
    <col min="3092" max="3328" width="11.42578125" style="4"/>
    <col min="3329" max="3329" width="5.7109375" style="4" bestFit="1" customWidth="1"/>
    <col min="3330" max="3330" width="5" style="4" bestFit="1" customWidth="1"/>
    <col min="3331" max="3331" width="21" style="4" bestFit="1" customWidth="1"/>
    <col min="3332" max="3332" width="7.28515625" style="4" customWidth="1"/>
    <col min="3333" max="3333" width="5.140625" style="4" bestFit="1" customWidth="1"/>
    <col min="3334" max="3334" width="2.140625" style="4" customWidth="1"/>
    <col min="3335" max="3335" width="21.42578125" style="4" customWidth="1"/>
    <col min="3336" max="3336" width="8.7109375" style="4" customWidth="1"/>
    <col min="3337" max="3337" width="20.140625" style="4" bestFit="1" customWidth="1"/>
    <col min="3338" max="3338" width="8.7109375" style="4" customWidth="1"/>
    <col min="3339" max="3339" width="6" style="4" bestFit="1" customWidth="1"/>
    <col min="3340" max="3347" width="8.7109375" style="4" bestFit="1" customWidth="1"/>
    <col min="3348" max="3584" width="11.42578125" style="4"/>
    <col min="3585" max="3585" width="5.7109375" style="4" bestFit="1" customWidth="1"/>
    <col min="3586" max="3586" width="5" style="4" bestFit="1" customWidth="1"/>
    <col min="3587" max="3587" width="21" style="4" bestFit="1" customWidth="1"/>
    <col min="3588" max="3588" width="7.28515625" style="4" customWidth="1"/>
    <col min="3589" max="3589" width="5.140625" style="4" bestFit="1" customWidth="1"/>
    <col min="3590" max="3590" width="2.140625" style="4" customWidth="1"/>
    <col min="3591" max="3591" width="21.42578125" style="4" customWidth="1"/>
    <col min="3592" max="3592" width="8.7109375" style="4" customWidth="1"/>
    <col min="3593" max="3593" width="20.140625" style="4" bestFit="1" customWidth="1"/>
    <col min="3594" max="3594" width="8.7109375" style="4" customWidth="1"/>
    <col min="3595" max="3595" width="6" style="4" bestFit="1" customWidth="1"/>
    <col min="3596" max="3603" width="8.7109375" style="4" bestFit="1" customWidth="1"/>
    <col min="3604" max="3840" width="11.42578125" style="4"/>
    <col min="3841" max="3841" width="5.7109375" style="4" bestFit="1" customWidth="1"/>
    <col min="3842" max="3842" width="5" style="4" bestFit="1" customWidth="1"/>
    <col min="3843" max="3843" width="21" style="4" bestFit="1" customWidth="1"/>
    <col min="3844" max="3844" width="7.28515625" style="4" customWidth="1"/>
    <col min="3845" max="3845" width="5.140625" style="4" bestFit="1" customWidth="1"/>
    <col min="3846" max="3846" width="2.140625" style="4" customWidth="1"/>
    <col min="3847" max="3847" width="21.42578125" style="4" customWidth="1"/>
    <col min="3848" max="3848" width="8.7109375" style="4" customWidth="1"/>
    <col min="3849" max="3849" width="20.140625" style="4" bestFit="1" customWidth="1"/>
    <col min="3850" max="3850" width="8.7109375" style="4" customWidth="1"/>
    <col min="3851" max="3851" width="6" style="4" bestFit="1" customWidth="1"/>
    <col min="3852" max="3859" width="8.7109375" style="4" bestFit="1" customWidth="1"/>
    <col min="3860" max="4096" width="11.42578125" style="4"/>
    <col min="4097" max="4097" width="5.7109375" style="4" bestFit="1" customWidth="1"/>
    <col min="4098" max="4098" width="5" style="4" bestFit="1" customWidth="1"/>
    <col min="4099" max="4099" width="21" style="4" bestFit="1" customWidth="1"/>
    <col min="4100" max="4100" width="7.28515625" style="4" customWidth="1"/>
    <col min="4101" max="4101" width="5.140625" style="4" bestFit="1" customWidth="1"/>
    <col min="4102" max="4102" width="2.140625" style="4" customWidth="1"/>
    <col min="4103" max="4103" width="21.42578125" style="4" customWidth="1"/>
    <col min="4104" max="4104" width="8.7109375" style="4" customWidth="1"/>
    <col min="4105" max="4105" width="20.140625" style="4" bestFit="1" customWidth="1"/>
    <col min="4106" max="4106" width="8.7109375" style="4" customWidth="1"/>
    <col min="4107" max="4107" width="6" style="4" bestFit="1" customWidth="1"/>
    <col min="4108" max="4115" width="8.7109375" style="4" bestFit="1" customWidth="1"/>
    <col min="4116" max="4352" width="11.42578125" style="4"/>
    <col min="4353" max="4353" width="5.7109375" style="4" bestFit="1" customWidth="1"/>
    <col min="4354" max="4354" width="5" style="4" bestFit="1" customWidth="1"/>
    <col min="4355" max="4355" width="21" style="4" bestFit="1" customWidth="1"/>
    <col min="4356" max="4356" width="7.28515625" style="4" customWidth="1"/>
    <col min="4357" max="4357" width="5.140625" style="4" bestFit="1" customWidth="1"/>
    <col min="4358" max="4358" width="2.140625" style="4" customWidth="1"/>
    <col min="4359" max="4359" width="21.42578125" style="4" customWidth="1"/>
    <col min="4360" max="4360" width="8.7109375" style="4" customWidth="1"/>
    <col min="4361" max="4361" width="20.140625" style="4" bestFit="1" customWidth="1"/>
    <col min="4362" max="4362" width="8.7109375" style="4" customWidth="1"/>
    <col min="4363" max="4363" width="6" style="4" bestFit="1" customWidth="1"/>
    <col min="4364" max="4371" width="8.7109375" style="4" bestFit="1" customWidth="1"/>
    <col min="4372" max="4608" width="11.42578125" style="4"/>
    <col min="4609" max="4609" width="5.7109375" style="4" bestFit="1" customWidth="1"/>
    <col min="4610" max="4610" width="5" style="4" bestFit="1" customWidth="1"/>
    <col min="4611" max="4611" width="21" style="4" bestFit="1" customWidth="1"/>
    <col min="4612" max="4612" width="7.28515625" style="4" customWidth="1"/>
    <col min="4613" max="4613" width="5.140625" style="4" bestFit="1" customWidth="1"/>
    <col min="4614" max="4614" width="2.140625" style="4" customWidth="1"/>
    <col min="4615" max="4615" width="21.42578125" style="4" customWidth="1"/>
    <col min="4616" max="4616" width="8.7109375" style="4" customWidth="1"/>
    <col min="4617" max="4617" width="20.140625" style="4" bestFit="1" customWidth="1"/>
    <col min="4618" max="4618" width="8.7109375" style="4" customWidth="1"/>
    <col min="4619" max="4619" width="6" style="4" bestFit="1" customWidth="1"/>
    <col min="4620" max="4627" width="8.7109375" style="4" bestFit="1" customWidth="1"/>
    <col min="4628" max="4864" width="11.42578125" style="4"/>
    <col min="4865" max="4865" width="5.7109375" style="4" bestFit="1" customWidth="1"/>
    <col min="4866" max="4866" width="5" style="4" bestFit="1" customWidth="1"/>
    <col min="4867" max="4867" width="21" style="4" bestFit="1" customWidth="1"/>
    <col min="4868" max="4868" width="7.28515625" style="4" customWidth="1"/>
    <col min="4869" max="4869" width="5.140625" style="4" bestFit="1" customWidth="1"/>
    <col min="4870" max="4870" width="2.140625" style="4" customWidth="1"/>
    <col min="4871" max="4871" width="21.42578125" style="4" customWidth="1"/>
    <col min="4872" max="4872" width="8.7109375" style="4" customWidth="1"/>
    <col min="4873" max="4873" width="20.140625" style="4" bestFit="1" customWidth="1"/>
    <col min="4874" max="4874" width="8.7109375" style="4" customWidth="1"/>
    <col min="4875" max="4875" width="6" style="4" bestFit="1" customWidth="1"/>
    <col min="4876" max="4883" width="8.7109375" style="4" bestFit="1" customWidth="1"/>
    <col min="4884" max="5120" width="11.42578125" style="4"/>
    <col min="5121" max="5121" width="5.7109375" style="4" bestFit="1" customWidth="1"/>
    <col min="5122" max="5122" width="5" style="4" bestFit="1" customWidth="1"/>
    <col min="5123" max="5123" width="21" style="4" bestFit="1" customWidth="1"/>
    <col min="5124" max="5124" width="7.28515625" style="4" customWidth="1"/>
    <col min="5125" max="5125" width="5.140625" style="4" bestFit="1" customWidth="1"/>
    <col min="5126" max="5126" width="2.140625" style="4" customWidth="1"/>
    <col min="5127" max="5127" width="21.42578125" style="4" customWidth="1"/>
    <col min="5128" max="5128" width="8.7109375" style="4" customWidth="1"/>
    <col min="5129" max="5129" width="20.140625" style="4" bestFit="1" customWidth="1"/>
    <col min="5130" max="5130" width="8.7109375" style="4" customWidth="1"/>
    <col min="5131" max="5131" width="6" style="4" bestFit="1" customWidth="1"/>
    <col min="5132" max="5139" width="8.7109375" style="4" bestFit="1" customWidth="1"/>
    <col min="5140" max="5376" width="11.42578125" style="4"/>
    <col min="5377" max="5377" width="5.7109375" style="4" bestFit="1" customWidth="1"/>
    <col min="5378" max="5378" width="5" style="4" bestFit="1" customWidth="1"/>
    <col min="5379" max="5379" width="21" style="4" bestFit="1" customWidth="1"/>
    <col min="5380" max="5380" width="7.28515625" style="4" customWidth="1"/>
    <col min="5381" max="5381" width="5.140625" style="4" bestFit="1" customWidth="1"/>
    <col min="5382" max="5382" width="2.140625" style="4" customWidth="1"/>
    <col min="5383" max="5383" width="21.42578125" style="4" customWidth="1"/>
    <col min="5384" max="5384" width="8.7109375" style="4" customWidth="1"/>
    <col min="5385" max="5385" width="20.140625" style="4" bestFit="1" customWidth="1"/>
    <col min="5386" max="5386" width="8.7109375" style="4" customWidth="1"/>
    <col min="5387" max="5387" width="6" style="4" bestFit="1" customWidth="1"/>
    <col min="5388" max="5395" width="8.7109375" style="4" bestFit="1" customWidth="1"/>
    <col min="5396" max="5632" width="11.42578125" style="4"/>
    <col min="5633" max="5633" width="5.7109375" style="4" bestFit="1" customWidth="1"/>
    <col min="5634" max="5634" width="5" style="4" bestFit="1" customWidth="1"/>
    <col min="5635" max="5635" width="21" style="4" bestFit="1" customWidth="1"/>
    <col min="5636" max="5636" width="7.28515625" style="4" customWidth="1"/>
    <col min="5637" max="5637" width="5.140625" style="4" bestFit="1" customWidth="1"/>
    <col min="5638" max="5638" width="2.140625" style="4" customWidth="1"/>
    <col min="5639" max="5639" width="21.42578125" style="4" customWidth="1"/>
    <col min="5640" max="5640" width="8.7109375" style="4" customWidth="1"/>
    <col min="5641" max="5641" width="20.140625" style="4" bestFit="1" customWidth="1"/>
    <col min="5642" max="5642" width="8.7109375" style="4" customWidth="1"/>
    <col min="5643" max="5643" width="6" style="4" bestFit="1" customWidth="1"/>
    <col min="5644" max="5651" width="8.7109375" style="4" bestFit="1" customWidth="1"/>
    <col min="5652" max="5888" width="11.42578125" style="4"/>
    <col min="5889" max="5889" width="5.7109375" style="4" bestFit="1" customWidth="1"/>
    <col min="5890" max="5890" width="5" style="4" bestFit="1" customWidth="1"/>
    <col min="5891" max="5891" width="21" style="4" bestFit="1" customWidth="1"/>
    <col min="5892" max="5892" width="7.28515625" style="4" customWidth="1"/>
    <col min="5893" max="5893" width="5.140625" style="4" bestFit="1" customWidth="1"/>
    <col min="5894" max="5894" width="2.140625" style="4" customWidth="1"/>
    <col min="5895" max="5895" width="21.42578125" style="4" customWidth="1"/>
    <col min="5896" max="5896" width="8.7109375" style="4" customWidth="1"/>
    <col min="5897" max="5897" width="20.140625" style="4" bestFit="1" customWidth="1"/>
    <col min="5898" max="5898" width="8.7109375" style="4" customWidth="1"/>
    <col min="5899" max="5899" width="6" style="4" bestFit="1" customWidth="1"/>
    <col min="5900" max="5907" width="8.7109375" style="4" bestFit="1" customWidth="1"/>
    <col min="5908" max="6144" width="11.42578125" style="4"/>
    <col min="6145" max="6145" width="5.7109375" style="4" bestFit="1" customWidth="1"/>
    <col min="6146" max="6146" width="5" style="4" bestFit="1" customWidth="1"/>
    <col min="6147" max="6147" width="21" style="4" bestFit="1" customWidth="1"/>
    <col min="6148" max="6148" width="7.28515625" style="4" customWidth="1"/>
    <col min="6149" max="6149" width="5.140625" style="4" bestFit="1" customWidth="1"/>
    <col min="6150" max="6150" width="2.140625" style="4" customWidth="1"/>
    <col min="6151" max="6151" width="21.42578125" style="4" customWidth="1"/>
    <col min="6152" max="6152" width="8.7109375" style="4" customWidth="1"/>
    <col min="6153" max="6153" width="20.140625" style="4" bestFit="1" customWidth="1"/>
    <col min="6154" max="6154" width="8.7109375" style="4" customWidth="1"/>
    <col min="6155" max="6155" width="6" style="4" bestFit="1" customWidth="1"/>
    <col min="6156" max="6163" width="8.7109375" style="4" bestFit="1" customWidth="1"/>
    <col min="6164" max="6400" width="11.42578125" style="4"/>
    <col min="6401" max="6401" width="5.7109375" style="4" bestFit="1" customWidth="1"/>
    <col min="6402" max="6402" width="5" style="4" bestFit="1" customWidth="1"/>
    <col min="6403" max="6403" width="21" style="4" bestFit="1" customWidth="1"/>
    <col min="6404" max="6404" width="7.28515625" style="4" customWidth="1"/>
    <col min="6405" max="6405" width="5.140625" style="4" bestFit="1" customWidth="1"/>
    <col min="6406" max="6406" width="2.140625" style="4" customWidth="1"/>
    <col min="6407" max="6407" width="21.42578125" style="4" customWidth="1"/>
    <col min="6408" max="6408" width="8.7109375" style="4" customWidth="1"/>
    <col min="6409" max="6409" width="20.140625" style="4" bestFit="1" customWidth="1"/>
    <col min="6410" max="6410" width="8.7109375" style="4" customWidth="1"/>
    <col min="6411" max="6411" width="6" style="4" bestFit="1" customWidth="1"/>
    <col min="6412" max="6419" width="8.7109375" style="4" bestFit="1" customWidth="1"/>
    <col min="6420" max="6656" width="11.42578125" style="4"/>
    <col min="6657" max="6657" width="5.7109375" style="4" bestFit="1" customWidth="1"/>
    <col min="6658" max="6658" width="5" style="4" bestFit="1" customWidth="1"/>
    <col min="6659" max="6659" width="21" style="4" bestFit="1" customWidth="1"/>
    <col min="6660" max="6660" width="7.28515625" style="4" customWidth="1"/>
    <col min="6661" max="6661" width="5.140625" style="4" bestFit="1" customWidth="1"/>
    <col min="6662" max="6662" width="2.140625" style="4" customWidth="1"/>
    <col min="6663" max="6663" width="21.42578125" style="4" customWidth="1"/>
    <col min="6664" max="6664" width="8.7109375" style="4" customWidth="1"/>
    <col min="6665" max="6665" width="20.140625" style="4" bestFit="1" customWidth="1"/>
    <col min="6666" max="6666" width="8.7109375" style="4" customWidth="1"/>
    <col min="6667" max="6667" width="6" style="4" bestFit="1" customWidth="1"/>
    <col min="6668" max="6675" width="8.7109375" style="4" bestFit="1" customWidth="1"/>
    <col min="6676" max="6912" width="11.42578125" style="4"/>
    <col min="6913" max="6913" width="5.7109375" style="4" bestFit="1" customWidth="1"/>
    <col min="6914" max="6914" width="5" style="4" bestFit="1" customWidth="1"/>
    <col min="6915" max="6915" width="21" style="4" bestFit="1" customWidth="1"/>
    <col min="6916" max="6916" width="7.28515625" style="4" customWidth="1"/>
    <col min="6917" max="6917" width="5.140625" style="4" bestFit="1" customWidth="1"/>
    <col min="6918" max="6918" width="2.140625" style="4" customWidth="1"/>
    <col min="6919" max="6919" width="21.42578125" style="4" customWidth="1"/>
    <col min="6920" max="6920" width="8.7109375" style="4" customWidth="1"/>
    <col min="6921" max="6921" width="20.140625" style="4" bestFit="1" customWidth="1"/>
    <col min="6922" max="6922" width="8.7109375" style="4" customWidth="1"/>
    <col min="6923" max="6923" width="6" style="4" bestFit="1" customWidth="1"/>
    <col min="6924" max="6931" width="8.7109375" style="4" bestFit="1" customWidth="1"/>
    <col min="6932" max="7168" width="11.42578125" style="4"/>
    <col min="7169" max="7169" width="5.7109375" style="4" bestFit="1" customWidth="1"/>
    <col min="7170" max="7170" width="5" style="4" bestFit="1" customWidth="1"/>
    <col min="7171" max="7171" width="21" style="4" bestFit="1" customWidth="1"/>
    <col min="7172" max="7172" width="7.28515625" style="4" customWidth="1"/>
    <col min="7173" max="7173" width="5.140625" style="4" bestFit="1" customWidth="1"/>
    <col min="7174" max="7174" width="2.140625" style="4" customWidth="1"/>
    <col min="7175" max="7175" width="21.42578125" style="4" customWidth="1"/>
    <col min="7176" max="7176" width="8.7109375" style="4" customWidth="1"/>
    <col min="7177" max="7177" width="20.140625" style="4" bestFit="1" customWidth="1"/>
    <col min="7178" max="7178" width="8.7109375" style="4" customWidth="1"/>
    <col min="7179" max="7179" width="6" style="4" bestFit="1" customWidth="1"/>
    <col min="7180" max="7187" width="8.7109375" style="4" bestFit="1" customWidth="1"/>
    <col min="7188" max="7424" width="11.42578125" style="4"/>
    <col min="7425" max="7425" width="5.7109375" style="4" bestFit="1" customWidth="1"/>
    <col min="7426" max="7426" width="5" style="4" bestFit="1" customWidth="1"/>
    <col min="7427" max="7427" width="21" style="4" bestFit="1" customWidth="1"/>
    <col min="7428" max="7428" width="7.28515625" style="4" customWidth="1"/>
    <col min="7429" max="7429" width="5.140625" style="4" bestFit="1" customWidth="1"/>
    <col min="7430" max="7430" width="2.140625" style="4" customWidth="1"/>
    <col min="7431" max="7431" width="21.42578125" style="4" customWidth="1"/>
    <col min="7432" max="7432" width="8.7109375" style="4" customWidth="1"/>
    <col min="7433" max="7433" width="20.140625" style="4" bestFit="1" customWidth="1"/>
    <col min="7434" max="7434" width="8.7109375" style="4" customWidth="1"/>
    <col min="7435" max="7435" width="6" style="4" bestFit="1" customWidth="1"/>
    <col min="7436" max="7443" width="8.7109375" style="4" bestFit="1" customWidth="1"/>
    <col min="7444" max="7680" width="11.42578125" style="4"/>
    <col min="7681" max="7681" width="5.7109375" style="4" bestFit="1" customWidth="1"/>
    <col min="7682" max="7682" width="5" style="4" bestFit="1" customWidth="1"/>
    <col min="7683" max="7683" width="21" style="4" bestFit="1" customWidth="1"/>
    <col min="7684" max="7684" width="7.28515625" style="4" customWidth="1"/>
    <col min="7685" max="7685" width="5.140625" style="4" bestFit="1" customWidth="1"/>
    <col min="7686" max="7686" width="2.140625" style="4" customWidth="1"/>
    <col min="7687" max="7687" width="21.42578125" style="4" customWidth="1"/>
    <col min="7688" max="7688" width="8.7109375" style="4" customWidth="1"/>
    <col min="7689" max="7689" width="20.140625" style="4" bestFit="1" customWidth="1"/>
    <col min="7690" max="7690" width="8.7109375" style="4" customWidth="1"/>
    <col min="7691" max="7691" width="6" style="4" bestFit="1" customWidth="1"/>
    <col min="7692" max="7699" width="8.7109375" style="4" bestFit="1" customWidth="1"/>
    <col min="7700" max="7936" width="11.42578125" style="4"/>
    <col min="7937" max="7937" width="5.7109375" style="4" bestFit="1" customWidth="1"/>
    <col min="7938" max="7938" width="5" style="4" bestFit="1" customWidth="1"/>
    <col min="7939" max="7939" width="21" style="4" bestFit="1" customWidth="1"/>
    <col min="7940" max="7940" width="7.28515625" style="4" customWidth="1"/>
    <col min="7941" max="7941" width="5.140625" style="4" bestFit="1" customWidth="1"/>
    <col min="7942" max="7942" width="2.140625" style="4" customWidth="1"/>
    <col min="7943" max="7943" width="21.42578125" style="4" customWidth="1"/>
    <col min="7944" max="7944" width="8.7109375" style="4" customWidth="1"/>
    <col min="7945" max="7945" width="20.140625" style="4" bestFit="1" customWidth="1"/>
    <col min="7946" max="7946" width="8.7109375" style="4" customWidth="1"/>
    <col min="7947" max="7947" width="6" style="4" bestFit="1" customWidth="1"/>
    <col min="7948" max="7955" width="8.7109375" style="4" bestFit="1" customWidth="1"/>
    <col min="7956" max="8192" width="11.42578125" style="4"/>
    <col min="8193" max="8193" width="5.7109375" style="4" bestFit="1" customWidth="1"/>
    <col min="8194" max="8194" width="5" style="4" bestFit="1" customWidth="1"/>
    <col min="8195" max="8195" width="21" style="4" bestFit="1" customWidth="1"/>
    <col min="8196" max="8196" width="7.28515625" style="4" customWidth="1"/>
    <col min="8197" max="8197" width="5.140625" style="4" bestFit="1" customWidth="1"/>
    <col min="8198" max="8198" width="2.140625" style="4" customWidth="1"/>
    <col min="8199" max="8199" width="21.42578125" style="4" customWidth="1"/>
    <col min="8200" max="8200" width="8.7109375" style="4" customWidth="1"/>
    <col min="8201" max="8201" width="20.140625" style="4" bestFit="1" customWidth="1"/>
    <col min="8202" max="8202" width="8.7109375" style="4" customWidth="1"/>
    <col min="8203" max="8203" width="6" style="4" bestFit="1" customWidth="1"/>
    <col min="8204" max="8211" width="8.7109375" style="4" bestFit="1" customWidth="1"/>
    <col min="8212" max="8448" width="11.42578125" style="4"/>
    <col min="8449" max="8449" width="5.7109375" style="4" bestFit="1" customWidth="1"/>
    <col min="8450" max="8450" width="5" style="4" bestFit="1" customWidth="1"/>
    <col min="8451" max="8451" width="21" style="4" bestFit="1" customWidth="1"/>
    <col min="8452" max="8452" width="7.28515625" style="4" customWidth="1"/>
    <col min="8453" max="8453" width="5.140625" style="4" bestFit="1" customWidth="1"/>
    <col min="8454" max="8454" width="2.140625" style="4" customWidth="1"/>
    <col min="8455" max="8455" width="21.42578125" style="4" customWidth="1"/>
    <col min="8456" max="8456" width="8.7109375" style="4" customWidth="1"/>
    <col min="8457" max="8457" width="20.140625" style="4" bestFit="1" customWidth="1"/>
    <col min="8458" max="8458" width="8.7109375" style="4" customWidth="1"/>
    <col min="8459" max="8459" width="6" style="4" bestFit="1" customWidth="1"/>
    <col min="8460" max="8467" width="8.7109375" style="4" bestFit="1" customWidth="1"/>
    <col min="8468" max="8704" width="11.42578125" style="4"/>
    <col min="8705" max="8705" width="5.7109375" style="4" bestFit="1" customWidth="1"/>
    <col min="8706" max="8706" width="5" style="4" bestFit="1" customWidth="1"/>
    <col min="8707" max="8707" width="21" style="4" bestFit="1" customWidth="1"/>
    <col min="8708" max="8708" width="7.28515625" style="4" customWidth="1"/>
    <col min="8709" max="8709" width="5.140625" style="4" bestFit="1" customWidth="1"/>
    <col min="8710" max="8710" width="2.140625" style="4" customWidth="1"/>
    <col min="8711" max="8711" width="21.42578125" style="4" customWidth="1"/>
    <col min="8712" max="8712" width="8.7109375" style="4" customWidth="1"/>
    <col min="8713" max="8713" width="20.140625" style="4" bestFit="1" customWidth="1"/>
    <col min="8714" max="8714" width="8.7109375" style="4" customWidth="1"/>
    <col min="8715" max="8715" width="6" style="4" bestFit="1" customWidth="1"/>
    <col min="8716" max="8723" width="8.7109375" style="4" bestFit="1" customWidth="1"/>
    <col min="8724" max="8960" width="11.42578125" style="4"/>
    <col min="8961" max="8961" width="5.7109375" style="4" bestFit="1" customWidth="1"/>
    <col min="8962" max="8962" width="5" style="4" bestFit="1" customWidth="1"/>
    <col min="8963" max="8963" width="21" style="4" bestFit="1" customWidth="1"/>
    <col min="8964" max="8964" width="7.28515625" style="4" customWidth="1"/>
    <col min="8965" max="8965" width="5.140625" style="4" bestFit="1" customWidth="1"/>
    <col min="8966" max="8966" width="2.140625" style="4" customWidth="1"/>
    <col min="8967" max="8967" width="21.42578125" style="4" customWidth="1"/>
    <col min="8968" max="8968" width="8.7109375" style="4" customWidth="1"/>
    <col min="8969" max="8969" width="20.140625" style="4" bestFit="1" customWidth="1"/>
    <col min="8970" max="8970" width="8.7109375" style="4" customWidth="1"/>
    <col min="8971" max="8971" width="6" style="4" bestFit="1" customWidth="1"/>
    <col min="8972" max="8979" width="8.7109375" style="4" bestFit="1" customWidth="1"/>
    <col min="8980" max="9216" width="11.42578125" style="4"/>
    <col min="9217" max="9217" width="5.7109375" style="4" bestFit="1" customWidth="1"/>
    <col min="9218" max="9218" width="5" style="4" bestFit="1" customWidth="1"/>
    <col min="9219" max="9219" width="21" style="4" bestFit="1" customWidth="1"/>
    <col min="9220" max="9220" width="7.28515625" style="4" customWidth="1"/>
    <col min="9221" max="9221" width="5.140625" style="4" bestFit="1" customWidth="1"/>
    <col min="9222" max="9222" width="2.140625" style="4" customWidth="1"/>
    <col min="9223" max="9223" width="21.42578125" style="4" customWidth="1"/>
    <col min="9224" max="9224" width="8.7109375" style="4" customWidth="1"/>
    <col min="9225" max="9225" width="20.140625" style="4" bestFit="1" customWidth="1"/>
    <col min="9226" max="9226" width="8.7109375" style="4" customWidth="1"/>
    <col min="9227" max="9227" width="6" style="4" bestFit="1" customWidth="1"/>
    <col min="9228" max="9235" width="8.7109375" style="4" bestFit="1" customWidth="1"/>
    <col min="9236" max="9472" width="11.42578125" style="4"/>
    <col min="9473" max="9473" width="5.7109375" style="4" bestFit="1" customWidth="1"/>
    <col min="9474" max="9474" width="5" style="4" bestFit="1" customWidth="1"/>
    <col min="9475" max="9475" width="21" style="4" bestFit="1" customWidth="1"/>
    <col min="9476" max="9476" width="7.28515625" style="4" customWidth="1"/>
    <col min="9477" max="9477" width="5.140625" style="4" bestFit="1" customWidth="1"/>
    <col min="9478" max="9478" width="2.140625" style="4" customWidth="1"/>
    <col min="9479" max="9479" width="21.42578125" style="4" customWidth="1"/>
    <col min="9480" max="9480" width="8.7109375" style="4" customWidth="1"/>
    <col min="9481" max="9481" width="20.140625" style="4" bestFit="1" customWidth="1"/>
    <col min="9482" max="9482" width="8.7109375" style="4" customWidth="1"/>
    <col min="9483" max="9483" width="6" style="4" bestFit="1" customWidth="1"/>
    <col min="9484" max="9491" width="8.7109375" style="4" bestFit="1" customWidth="1"/>
    <col min="9492" max="9728" width="11.42578125" style="4"/>
    <col min="9729" max="9729" width="5.7109375" style="4" bestFit="1" customWidth="1"/>
    <col min="9730" max="9730" width="5" style="4" bestFit="1" customWidth="1"/>
    <col min="9731" max="9731" width="21" style="4" bestFit="1" customWidth="1"/>
    <col min="9732" max="9732" width="7.28515625" style="4" customWidth="1"/>
    <col min="9733" max="9733" width="5.140625" style="4" bestFit="1" customWidth="1"/>
    <col min="9734" max="9734" width="2.140625" style="4" customWidth="1"/>
    <col min="9735" max="9735" width="21.42578125" style="4" customWidth="1"/>
    <col min="9736" max="9736" width="8.7109375" style="4" customWidth="1"/>
    <col min="9737" max="9737" width="20.140625" style="4" bestFit="1" customWidth="1"/>
    <col min="9738" max="9738" width="8.7109375" style="4" customWidth="1"/>
    <col min="9739" max="9739" width="6" style="4" bestFit="1" customWidth="1"/>
    <col min="9740" max="9747" width="8.7109375" style="4" bestFit="1" customWidth="1"/>
    <col min="9748" max="9984" width="11.42578125" style="4"/>
    <col min="9985" max="9985" width="5.7109375" style="4" bestFit="1" customWidth="1"/>
    <col min="9986" max="9986" width="5" style="4" bestFit="1" customWidth="1"/>
    <col min="9987" max="9987" width="21" style="4" bestFit="1" customWidth="1"/>
    <col min="9988" max="9988" width="7.28515625" style="4" customWidth="1"/>
    <col min="9989" max="9989" width="5.140625" style="4" bestFit="1" customWidth="1"/>
    <col min="9990" max="9990" width="2.140625" style="4" customWidth="1"/>
    <col min="9991" max="9991" width="21.42578125" style="4" customWidth="1"/>
    <col min="9992" max="9992" width="8.7109375" style="4" customWidth="1"/>
    <col min="9993" max="9993" width="20.140625" style="4" bestFit="1" customWidth="1"/>
    <col min="9994" max="9994" width="8.7109375" style="4" customWidth="1"/>
    <col min="9995" max="9995" width="6" style="4" bestFit="1" customWidth="1"/>
    <col min="9996" max="10003" width="8.7109375" style="4" bestFit="1" customWidth="1"/>
    <col min="10004" max="10240" width="11.42578125" style="4"/>
    <col min="10241" max="10241" width="5.7109375" style="4" bestFit="1" customWidth="1"/>
    <col min="10242" max="10242" width="5" style="4" bestFit="1" customWidth="1"/>
    <col min="10243" max="10243" width="21" style="4" bestFit="1" customWidth="1"/>
    <col min="10244" max="10244" width="7.28515625" style="4" customWidth="1"/>
    <col min="10245" max="10245" width="5.140625" style="4" bestFit="1" customWidth="1"/>
    <col min="10246" max="10246" width="2.140625" style="4" customWidth="1"/>
    <col min="10247" max="10247" width="21.42578125" style="4" customWidth="1"/>
    <col min="10248" max="10248" width="8.7109375" style="4" customWidth="1"/>
    <col min="10249" max="10249" width="20.140625" style="4" bestFit="1" customWidth="1"/>
    <col min="10250" max="10250" width="8.7109375" style="4" customWidth="1"/>
    <col min="10251" max="10251" width="6" style="4" bestFit="1" customWidth="1"/>
    <col min="10252" max="10259" width="8.7109375" style="4" bestFit="1" customWidth="1"/>
    <col min="10260" max="10496" width="11.42578125" style="4"/>
    <col min="10497" max="10497" width="5.7109375" style="4" bestFit="1" customWidth="1"/>
    <col min="10498" max="10498" width="5" style="4" bestFit="1" customWidth="1"/>
    <col min="10499" max="10499" width="21" style="4" bestFit="1" customWidth="1"/>
    <col min="10500" max="10500" width="7.28515625" style="4" customWidth="1"/>
    <col min="10501" max="10501" width="5.140625" style="4" bestFit="1" customWidth="1"/>
    <col min="10502" max="10502" width="2.140625" style="4" customWidth="1"/>
    <col min="10503" max="10503" width="21.42578125" style="4" customWidth="1"/>
    <col min="10504" max="10504" width="8.7109375" style="4" customWidth="1"/>
    <col min="10505" max="10505" width="20.140625" style="4" bestFit="1" customWidth="1"/>
    <col min="10506" max="10506" width="8.7109375" style="4" customWidth="1"/>
    <col min="10507" max="10507" width="6" style="4" bestFit="1" customWidth="1"/>
    <col min="10508" max="10515" width="8.7109375" style="4" bestFit="1" customWidth="1"/>
    <col min="10516" max="10752" width="11.42578125" style="4"/>
    <col min="10753" max="10753" width="5.7109375" style="4" bestFit="1" customWidth="1"/>
    <col min="10754" max="10754" width="5" style="4" bestFit="1" customWidth="1"/>
    <col min="10755" max="10755" width="21" style="4" bestFit="1" customWidth="1"/>
    <col min="10756" max="10756" width="7.28515625" style="4" customWidth="1"/>
    <col min="10757" max="10757" width="5.140625" style="4" bestFit="1" customWidth="1"/>
    <col min="10758" max="10758" width="2.140625" style="4" customWidth="1"/>
    <col min="10759" max="10759" width="21.42578125" style="4" customWidth="1"/>
    <col min="10760" max="10760" width="8.7109375" style="4" customWidth="1"/>
    <col min="10761" max="10761" width="20.140625" style="4" bestFit="1" customWidth="1"/>
    <col min="10762" max="10762" width="8.7109375" style="4" customWidth="1"/>
    <col min="10763" max="10763" width="6" style="4" bestFit="1" customWidth="1"/>
    <col min="10764" max="10771" width="8.7109375" style="4" bestFit="1" customWidth="1"/>
    <col min="10772" max="11008" width="11.42578125" style="4"/>
    <col min="11009" max="11009" width="5.7109375" style="4" bestFit="1" customWidth="1"/>
    <col min="11010" max="11010" width="5" style="4" bestFit="1" customWidth="1"/>
    <col min="11011" max="11011" width="21" style="4" bestFit="1" customWidth="1"/>
    <col min="11012" max="11012" width="7.28515625" style="4" customWidth="1"/>
    <col min="11013" max="11013" width="5.140625" style="4" bestFit="1" customWidth="1"/>
    <col min="11014" max="11014" width="2.140625" style="4" customWidth="1"/>
    <col min="11015" max="11015" width="21.42578125" style="4" customWidth="1"/>
    <col min="11016" max="11016" width="8.7109375" style="4" customWidth="1"/>
    <col min="11017" max="11017" width="20.140625" style="4" bestFit="1" customWidth="1"/>
    <col min="11018" max="11018" width="8.7109375" style="4" customWidth="1"/>
    <col min="11019" max="11019" width="6" style="4" bestFit="1" customWidth="1"/>
    <col min="11020" max="11027" width="8.7109375" style="4" bestFit="1" customWidth="1"/>
    <col min="11028" max="11264" width="11.42578125" style="4"/>
    <col min="11265" max="11265" width="5.7109375" style="4" bestFit="1" customWidth="1"/>
    <col min="11266" max="11266" width="5" style="4" bestFit="1" customWidth="1"/>
    <col min="11267" max="11267" width="21" style="4" bestFit="1" customWidth="1"/>
    <col min="11268" max="11268" width="7.28515625" style="4" customWidth="1"/>
    <col min="11269" max="11269" width="5.140625" style="4" bestFit="1" customWidth="1"/>
    <col min="11270" max="11270" width="2.140625" style="4" customWidth="1"/>
    <col min="11271" max="11271" width="21.42578125" style="4" customWidth="1"/>
    <col min="11272" max="11272" width="8.7109375" style="4" customWidth="1"/>
    <col min="11273" max="11273" width="20.140625" style="4" bestFit="1" customWidth="1"/>
    <col min="11274" max="11274" width="8.7109375" style="4" customWidth="1"/>
    <col min="11275" max="11275" width="6" style="4" bestFit="1" customWidth="1"/>
    <col min="11276" max="11283" width="8.7109375" style="4" bestFit="1" customWidth="1"/>
    <col min="11284" max="11520" width="11.42578125" style="4"/>
    <col min="11521" max="11521" width="5.7109375" style="4" bestFit="1" customWidth="1"/>
    <col min="11522" max="11522" width="5" style="4" bestFit="1" customWidth="1"/>
    <col min="11523" max="11523" width="21" style="4" bestFit="1" customWidth="1"/>
    <col min="11524" max="11524" width="7.28515625" style="4" customWidth="1"/>
    <col min="11525" max="11525" width="5.140625" style="4" bestFit="1" customWidth="1"/>
    <col min="11526" max="11526" width="2.140625" style="4" customWidth="1"/>
    <col min="11527" max="11527" width="21.42578125" style="4" customWidth="1"/>
    <col min="11528" max="11528" width="8.7109375" style="4" customWidth="1"/>
    <col min="11529" max="11529" width="20.140625" style="4" bestFit="1" customWidth="1"/>
    <col min="11530" max="11530" width="8.7109375" style="4" customWidth="1"/>
    <col min="11531" max="11531" width="6" style="4" bestFit="1" customWidth="1"/>
    <col min="11532" max="11539" width="8.7109375" style="4" bestFit="1" customWidth="1"/>
    <col min="11540" max="11776" width="11.42578125" style="4"/>
    <col min="11777" max="11777" width="5.7109375" style="4" bestFit="1" customWidth="1"/>
    <col min="11778" max="11778" width="5" style="4" bestFit="1" customWidth="1"/>
    <col min="11779" max="11779" width="21" style="4" bestFit="1" customWidth="1"/>
    <col min="11780" max="11780" width="7.28515625" style="4" customWidth="1"/>
    <col min="11781" max="11781" width="5.140625" style="4" bestFit="1" customWidth="1"/>
    <col min="11782" max="11782" width="2.140625" style="4" customWidth="1"/>
    <col min="11783" max="11783" width="21.42578125" style="4" customWidth="1"/>
    <col min="11784" max="11784" width="8.7109375" style="4" customWidth="1"/>
    <col min="11785" max="11785" width="20.140625" style="4" bestFit="1" customWidth="1"/>
    <col min="11786" max="11786" width="8.7109375" style="4" customWidth="1"/>
    <col min="11787" max="11787" width="6" style="4" bestFit="1" customWidth="1"/>
    <col min="11788" max="11795" width="8.7109375" style="4" bestFit="1" customWidth="1"/>
    <col min="11796" max="12032" width="11.42578125" style="4"/>
    <col min="12033" max="12033" width="5.7109375" style="4" bestFit="1" customWidth="1"/>
    <col min="12034" max="12034" width="5" style="4" bestFit="1" customWidth="1"/>
    <col min="12035" max="12035" width="21" style="4" bestFit="1" customWidth="1"/>
    <col min="12036" max="12036" width="7.28515625" style="4" customWidth="1"/>
    <col min="12037" max="12037" width="5.140625" style="4" bestFit="1" customWidth="1"/>
    <col min="12038" max="12038" width="2.140625" style="4" customWidth="1"/>
    <col min="12039" max="12039" width="21.42578125" style="4" customWidth="1"/>
    <col min="12040" max="12040" width="8.7109375" style="4" customWidth="1"/>
    <col min="12041" max="12041" width="20.140625" style="4" bestFit="1" customWidth="1"/>
    <col min="12042" max="12042" width="8.7109375" style="4" customWidth="1"/>
    <col min="12043" max="12043" width="6" style="4" bestFit="1" customWidth="1"/>
    <col min="12044" max="12051" width="8.7109375" style="4" bestFit="1" customWidth="1"/>
    <col min="12052" max="12288" width="11.42578125" style="4"/>
    <col min="12289" max="12289" width="5.7109375" style="4" bestFit="1" customWidth="1"/>
    <col min="12290" max="12290" width="5" style="4" bestFit="1" customWidth="1"/>
    <col min="12291" max="12291" width="21" style="4" bestFit="1" customWidth="1"/>
    <col min="12292" max="12292" width="7.28515625" style="4" customWidth="1"/>
    <col min="12293" max="12293" width="5.140625" style="4" bestFit="1" customWidth="1"/>
    <col min="12294" max="12294" width="2.140625" style="4" customWidth="1"/>
    <col min="12295" max="12295" width="21.42578125" style="4" customWidth="1"/>
    <col min="12296" max="12296" width="8.7109375" style="4" customWidth="1"/>
    <col min="12297" max="12297" width="20.140625" style="4" bestFit="1" customWidth="1"/>
    <col min="12298" max="12298" width="8.7109375" style="4" customWidth="1"/>
    <col min="12299" max="12299" width="6" style="4" bestFit="1" customWidth="1"/>
    <col min="12300" max="12307" width="8.7109375" style="4" bestFit="1" customWidth="1"/>
    <col min="12308" max="12544" width="11.42578125" style="4"/>
    <col min="12545" max="12545" width="5.7109375" style="4" bestFit="1" customWidth="1"/>
    <col min="12546" max="12546" width="5" style="4" bestFit="1" customWidth="1"/>
    <col min="12547" max="12547" width="21" style="4" bestFit="1" customWidth="1"/>
    <col min="12548" max="12548" width="7.28515625" style="4" customWidth="1"/>
    <col min="12549" max="12549" width="5.140625" style="4" bestFit="1" customWidth="1"/>
    <col min="12550" max="12550" width="2.140625" style="4" customWidth="1"/>
    <col min="12551" max="12551" width="21.42578125" style="4" customWidth="1"/>
    <col min="12552" max="12552" width="8.7109375" style="4" customWidth="1"/>
    <col min="12553" max="12553" width="20.140625" style="4" bestFit="1" customWidth="1"/>
    <col min="12554" max="12554" width="8.7109375" style="4" customWidth="1"/>
    <col min="12555" max="12555" width="6" style="4" bestFit="1" customWidth="1"/>
    <col min="12556" max="12563" width="8.7109375" style="4" bestFit="1" customWidth="1"/>
    <col min="12564" max="12800" width="11.42578125" style="4"/>
    <col min="12801" max="12801" width="5.7109375" style="4" bestFit="1" customWidth="1"/>
    <col min="12802" max="12802" width="5" style="4" bestFit="1" customWidth="1"/>
    <col min="12803" max="12803" width="21" style="4" bestFit="1" customWidth="1"/>
    <col min="12804" max="12804" width="7.28515625" style="4" customWidth="1"/>
    <col min="12805" max="12805" width="5.140625" style="4" bestFit="1" customWidth="1"/>
    <col min="12806" max="12806" width="2.140625" style="4" customWidth="1"/>
    <col min="12807" max="12807" width="21.42578125" style="4" customWidth="1"/>
    <col min="12808" max="12808" width="8.7109375" style="4" customWidth="1"/>
    <col min="12809" max="12809" width="20.140625" style="4" bestFit="1" customWidth="1"/>
    <col min="12810" max="12810" width="8.7109375" style="4" customWidth="1"/>
    <col min="12811" max="12811" width="6" style="4" bestFit="1" customWidth="1"/>
    <col min="12812" max="12819" width="8.7109375" style="4" bestFit="1" customWidth="1"/>
    <col min="12820" max="13056" width="11.42578125" style="4"/>
    <col min="13057" max="13057" width="5.7109375" style="4" bestFit="1" customWidth="1"/>
    <col min="13058" max="13058" width="5" style="4" bestFit="1" customWidth="1"/>
    <col min="13059" max="13059" width="21" style="4" bestFit="1" customWidth="1"/>
    <col min="13060" max="13060" width="7.28515625" style="4" customWidth="1"/>
    <col min="13061" max="13061" width="5.140625" style="4" bestFit="1" customWidth="1"/>
    <col min="13062" max="13062" width="2.140625" style="4" customWidth="1"/>
    <col min="13063" max="13063" width="21.42578125" style="4" customWidth="1"/>
    <col min="13064" max="13064" width="8.7109375" style="4" customWidth="1"/>
    <col min="13065" max="13065" width="20.140625" style="4" bestFit="1" customWidth="1"/>
    <col min="13066" max="13066" width="8.7109375" style="4" customWidth="1"/>
    <col min="13067" max="13067" width="6" style="4" bestFit="1" customWidth="1"/>
    <col min="13068" max="13075" width="8.7109375" style="4" bestFit="1" customWidth="1"/>
    <col min="13076" max="13312" width="11.42578125" style="4"/>
    <col min="13313" max="13313" width="5.7109375" style="4" bestFit="1" customWidth="1"/>
    <col min="13314" max="13314" width="5" style="4" bestFit="1" customWidth="1"/>
    <col min="13315" max="13315" width="21" style="4" bestFit="1" customWidth="1"/>
    <col min="13316" max="13316" width="7.28515625" style="4" customWidth="1"/>
    <col min="13317" max="13317" width="5.140625" style="4" bestFit="1" customWidth="1"/>
    <col min="13318" max="13318" width="2.140625" style="4" customWidth="1"/>
    <col min="13319" max="13319" width="21.42578125" style="4" customWidth="1"/>
    <col min="13320" max="13320" width="8.7109375" style="4" customWidth="1"/>
    <col min="13321" max="13321" width="20.140625" style="4" bestFit="1" customWidth="1"/>
    <col min="13322" max="13322" width="8.7109375" style="4" customWidth="1"/>
    <col min="13323" max="13323" width="6" style="4" bestFit="1" customWidth="1"/>
    <col min="13324" max="13331" width="8.7109375" style="4" bestFit="1" customWidth="1"/>
    <col min="13332" max="13568" width="11.42578125" style="4"/>
    <col min="13569" max="13569" width="5.7109375" style="4" bestFit="1" customWidth="1"/>
    <col min="13570" max="13570" width="5" style="4" bestFit="1" customWidth="1"/>
    <col min="13571" max="13571" width="21" style="4" bestFit="1" customWidth="1"/>
    <col min="13572" max="13572" width="7.28515625" style="4" customWidth="1"/>
    <col min="13573" max="13573" width="5.140625" style="4" bestFit="1" customWidth="1"/>
    <col min="13574" max="13574" width="2.140625" style="4" customWidth="1"/>
    <col min="13575" max="13575" width="21.42578125" style="4" customWidth="1"/>
    <col min="13576" max="13576" width="8.7109375" style="4" customWidth="1"/>
    <col min="13577" max="13577" width="20.140625" style="4" bestFit="1" customWidth="1"/>
    <col min="13578" max="13578" width="8.7109375" style="4" customWidth="1"/>
    <col min="13579" max="13579" width="6" style="4" bestFit="1" customWidth="1"/>
    <col min="13580" max="13587" width="8.7109375" style="4" bestFit="1" customWidth="1"/>
    <col min="13588" max="13824" width="11.42578125" style="4"/>
    <col min="13825" max="13825" width="5.7109375" style="4" bestFit="1" customWidth="1"/>
    <col min="13826" max="13826" width="5" style="4" bestFit="1" customWidth="1"/>
    <col min="13827" max="13827" width="21" style="4" bestFit="1" customWidth="1"/>
    <col min="13828" max="13828" width="7.28515625" style="4" customWidth="1"/>
    <col min="13829" max="13829" width="5.140625" style="4" bestFit="1" customWidth="1"/>
    <col min="13830" max="13830" width="2.140625" style="4" customWidth="1"/>
    <col min="13831" max="13831" width="21.42578125" style="4" customWidth="1"/>
    <col min="13832" max="13832" width="8.7109375" style="4" customWidth="1"/>
    <col min="13833" max="13833" width="20.140625" style="4" bestFit="1" customWidth="1"/>
    <col min="13834" max="13834" width="8.7109375" style="4" customWidth="1"/>
    <col min="13835" max="13835" width="6" style="4" bestFit="1" customWidth="1"/>
    <col min="13836" max="13843" width="8.7109375" style="4" bestFit="1" customWidth="1"/>
    <col min="13844" max="14080" width="11.42578125" style="4"/>
    <col min="14081" max="14081" width="5.7109375" style="4" bestFit="1" customWidth="1"/>
    <col min="14082" max="14082" width="5" style="4" bestFit="1" customWidth="1"/>
    <col min="14083" max="14083" width="21" style="4" bestFit="1" customWidth="1"/>
    <col min="14084" max="14084" width="7.28515625" style="4" customWidth="1"/>
    <col min="14085" max="14085" width="5.140625" style="4" bestFit="1" customWidth="1"/>
    <col min="14086" max="14086" width="2.140625" style="4" customWidth="1"/>
    <col min="14087" max="14087" width="21.42578125" style="4" customWidth="1"/>
    <col min="14088" max="14088" width="8.7109375" style="4" customWidth="1"/>
    <col min="14089" max="14089" width="20.140625" style="4" bestFit="1" customWidth="1"/>
    <col min="14090" max="14090" width="8.7109375" style="4" customWidth="1"/>
    <col min="14091" max="14091" width="6" style="4" bestFit="1" customWidth="1"/>
    <col min="14092" max="14099" width="8.7109375" style="4" bestFit="1" customWidth="1"/>
    <col min="14100" max="14336" width="11.42578125" style="4"/>
    <col min="14337" max="14337" width="5.7109375" style="4" bestFit="1" customWidth="1"/>
    <col min="14338" max="14338" width="5" style="4" bestFit="1" customWidth="1"/>
    <col min="14339" max="14339" width="21" style="4" bestFit="1" customWidth="1"/>
    <col min="14340" max="14340" width="7.28515625" style="4" customWidth="1"/>
    <col min="14341" max="14341" width="5.140625" style="4" bestFit="1" customWidth="1"/>
    <col min="14342" max="14342" width="2.140625" style="4" customWidth="1"/>
    <col min="14343" max="14343" width="21.42578125" style="4" customWidth="1"/>
    <col min="14344" max="14344" width="8.7109375" style="4" customWidth="1"/>
    <col min="14345" max="14345" width="20.140625" style="4" bestFit="1" customWidth="1"/>
    <col min="14346" max="14346" width="8.7109375" style="4" customWidth="1"/>
    <col min="14347" max="14347" width="6" style="4" bestFit="1" customWidth="1"/>
    <col min="14348" max="14355" width="8.7109375" style="4" bestFit="1" customWidth="1"/>
    <col min="14356" max="14592" width="11.42578125" style="4"/>
    <col min="14593" max="14593" width="5.7109375" style="4" bestFit="1" customWidth="1"/>
    <col min="14594" max="14594" width="5" style="4" bestFit="1" customWidth="1"/>
    <col min="14595" max="14595" width="21" style="4" bestFit="1" customWidth="1"/>
    <col min="14596" max="14596" width="7.28515625" style="4" customWidth="1"/>
    <col min="14597" max="14597" width="5.140625" style="4" bestFit="1" customWidth="1"/>
    <col min="14598" max="14598" width="2.140625" style="4" customWidth="1"/>
    <col min="14599" max="14599" width="21.42578125" style="4" customWidth="1"/>
    <col min="14600" max="14600" width="8.7109375" style="4" customWidth="1"/>
    <col min="14601" max="14601" width="20.140625" style="4" bestFit="1" customWidth="1"/>
    <col min="14602" max="14602" width="8.7109375" style="4" customWidth="1"/>
    <col min="14603" max="14603" width="6" style="4" bestFit="1" customWidth="1"/>
    <col min="14604" max="14611" width="8.7109375" style="4" bestFit="1" customWidth="1"/>
    <col min="14612" max="14848" width="11.42578125" style="4"/>
    <col min="14849" max="14849" width="5.7109375" style="4" bestFit="1" customWidth="1"/>
    <col min="14850" max="14850" width="5" style="4" bestFit="1" customWidth="1"/>
    <col min="14851" max="14851" width="21" style="4" bestFit="1" customWidth="1"/>
    <col min="14852" max="14852" width="7.28515625" style="4" customWidth="1"/>
    <col min="14853" max="14853" width="5.140625" style="4" bestFit="1" customWidth="1"/>
    <col min="14854" max="14854" width="2.140625" style="4" customWidth="1"/>
    <col min="14855" max="14855" width="21.42578125" style="4" customWidth="1"/>
    <col min="14856" max="14856" width="8.7109375" style="4" customWidth="1"/>
    <col min="14857" max="14857" width="20.140625" style="4" bestFit="1" customWidth="1"/>
    <col min="14858" max="14858" width="8.7109375" style="4" customWidth="1"/>
    <col min="14859" max="14859" width="6" style="4" bestFit="1" customWidth="1"/>
    <col min="14860" max="14867" width="8.7109375" style="4" bestFit="1" customWidth="1"/>
    <col min="14868" max="15104" width="11.42578125" style="4"/>
    <col min="15105" max="15105" width="5.7109375" style="4" bestFit="1" customWidth="1"/>
    <col min="15106" max="15106" width="5" style="4" bestFit="1" customWidth="1"/>
    <col min="15107" max="15107" width="21" style="4" bestFit="1" customWidth="1"/>
    <col min="15108" max="15108" width="7.28515625" style="4" customWidth="1"/>
    <col min="15109" max="15109" width="5.140625" style="4" bestFit="1" customWidth="1"/>
    <col min="15110" max="15110" width="2.140625" style="4" customWidth="1"/>
    <col min="15111" max="15111" width="21.42578125" style="4" customWidth="1"/>
    <col min="15112" max="15112" width="8.7109375" style="4" customWidth="1"/>
    <col min="15113" max="15113" width="20.140625" style="4" bestFit="1" customWidth="1"/>
    <col min="15114" max="15114" width="8.7109375" style="4" customWidth="1"/>
    <col min="15115" max="15115" width="6" style="4" bestFit="1" customWidth="1"/>
    <col min="15116" max="15123" width="8.7109375" style="4" bestFit="1" customWidth="1"/>
    <col min="15124" max="15360" width="11.42578125" style="4"/>
    <col min="15361" max="15361" width="5.7109375" style="4" bestFit="1" customWidth="1"/>
    <col min="15362" max="15362" width="5" style="4" bestFit="1" customWidth="1"/>
    <col min="15363" max="15363" width="21" style="4" bestFit="1" customWidth="1"/>
    <col min="15364" max="15364" width="7.28515625" style="4" customWidth="1"/>
    <col min="15365" max="15365" width="5.140625" style="4" bestFit="1" customWidth="1"/>
    <col min="15366" max="15366" width="2.140625" style="4" customWidth="1"/>
    <col min="15367" max="15367" width="21.42578125" style="4" customWidth="1"/>
    <col min="15368" max="15368" width="8.7109375" style="4" customWidth="1"/>
    <col min="15369" max="15369" width="20.140625" style="4" bestFit="1" customWidth="1"/>
    <col min="15370" max="15370" width="8.7109375" style="4" customWidth="1"/>
    <col min="15371" max="15371" width="6" style="4" bestFit="1" customWidth="1"/>
    <col min="15372" max="15379" width="8.7109375" style="4" bestFit="1" customWidth="1"/>
    <col min="15380" max="15616" width="11.42578125" style="4"/>
    <col min="15617" max="15617" width="5.7109375" style="4" bestFit="1" customWidth="1"/>
    <col min="15618" max="15618" width="5" style="4" bestFit="1" customWidth="1"/>
    <col min="15619" max="15619" width="21" style="4" bestFit="1" customWidth="1"/>
    <col min="15620" max="15620" width="7.28515625" style="4" customWidth="1"/>
    <col min="15621" max="15621" width="5.140625" style="4" bestFit="1" customWidth="1"/>
    <col min="15622" max="15622" width="2.140625" style="4" customWidth="1"/>
    <col min="15623" max="15623" width="21.42578125" style="4" customWidth="1"/>
    <col min="15624" max="15624" width="8.7109375" style="4" customWidth="1"/>
    <col min="15625" max="15625" width="20.140625" style="4" bestFit="1" customWidth="1"/>
    <col min="15626" max="15626" width="8.7109375" style="4" customWidth="1"/>
    <col min="15627" max="15627" width="6" style="4" bestFit="1" customWidth="1"/>
    <col min="15628" max="15635" width="8.7109375" style="4" bestFit="1" customWidth="1"/>
    <col min="15636" max="15872" width="11.42578125" style="4"/>
    <col min="15873" max="15873" width="5.7109375" style="4" bestFit="1" customWidth="1"/>
    <col min="15874" max="15874" width="5" style="4" bestFit="1" customWidth="1"/>
    <col min="15875" max="15875" width="21" style="4" bestFit="1" customWidth="1"/>
    <col min="15876" max="15876" width="7.28515625" style="4" customWidth="1"/>
    <col min="15877" max="15877" width="5.140625" style="4" bestFit="1" customWidth="1"/>
    <col min="15878" max="15878" width="2.140625" style="4" customWidth="1"/>
    <col min="15879" max="15879" width="21.42578125" style="4" customWidth="1"/>
    <col min="15880" max="15880" width="8.7109375" style="4" customWidth="1"/>
    <col min="15881" max="15881" width="20.140625" style="4" bestFit="1" customWidth="1"/>
    <col min="15882" max="15882" width="8.7109375" style="4" customWidth="1"/>
    <col min="15883" max="15883" width="6" style="4" bestFit="1" customWidth="1"/>
    <col min="15884" max="15891" width="8.7109375" style="4" bestFit="1" customWidth="1"/>
    <col min="15892" max="16128" width="11.42578125" style="4"/>
    <col min="16129" max="16129" width="5.7109375" style="4" bestFit="1" customWidth="1"/>
    <col min="16130" max="16130" width="5" style="4" bestFit="1" customWidth="1"/>
    <col min="16131" max="16131" width="21" style="4" bestFit="1" customWidth="1"/>
    <col min="16132" max="16132" width="7.28515625" style="4" customWidth="1"/>
    <col min="16133" max="16133" width="5.140625" style="4" bestFit="1" customWidth="1"/>
    <col min="16134" max="16134" width="2.140625" style="4" customWidth="1"/>
    <col min="16135" max="16135" width="21.42578125" style="4" customWidth="1"/>
    <col min="16136" max="16136" width="8.7109375" style="4" customWidth="1"/>
    <col min="16137" max="16137" width="20.140625" style="4" bestFit="1" customWidth="1"/>
    <col min="16138" max="16138" width="8.7109375" style="4" customWidth="1"/>
    <col min="16139" max="16139" width="6" style="4" bestFit="1" customWidth="1"/>
    <col min="16140" max="16147" width="8.7109375" style="4" bestFit="1" customWidth="1"/>
    <col min="16148" max="16384" width="11.42578125" style="4"/>
  </cols>
  <sheetData>
    <row r="1" spans="1:19" x14ac:dyDescent="0.2">
      <c r="A1" s="1"/>
      <c r="C1" s="3"/>
      <c r="D1" s="3"/>
      <c r="E1" s="1"/>
      <c r="F1" s="1"/>
      <c r="G1" s="4"/>
    </row>
    <row r="2" spans="1:19" ht="15" x14ac:dyDescent="0.25">
      <c r="A2" s="3" t="s">
        <v>0</v>
      </c>
      <c r="B2" s="5" t="s">
        <v>1</v>
      </c>
      <c r="C2" s="3" t="s">
        <v>2</v>
      </c>
      <c r="D2" s="3"/>
      <c r="E2" s="1" t="s">
        <v>3</v>
      </c>
      <c r="F2" s="1"/>
      <c r="G2" s="596" t="s">
        <v>557</v>
      </c>
      <c r="H2" s="597" t="s">
        <v>566</v>
      </c>
      <c r="I2" s="428" t="s">
        <v>568</v>
      </c>
      <c r="J2" s="428"/>
      <c r="K2" s="598"/>
      <c r="L2" s="601" t="s">
        <v>567</v>
      </c>
      <c r="M2" s="599"/>
      <c r="N2" s="766"/>
      <c r="O2" s="767"/>
      <c r="P2" s="767"/>
      <c r="Q2" s="767"/>
      <c r="R2" s="767"/>
      <c r="S2" s="767"/>
    </row>
    <row r="3" spans="1:19" x14ac:dyDescent="0.2">
      <c r="A3" s="1"/>
      <c r="B3" s="6"/>
      <c r="C3" s="3"/>
      <c r="D3" s="3"/>
      <c r="E3" s="1"/>
      <c r="F3" s="1"/>
      <c r="G3" s="94" t="s">
        <v>4</v>
      </c>
      <c r="H3" s="600">
        <v>40908</v>
      </c>
      <c r="I3" s="600">
        <v>41274</v>
      </c>
      <c r="J3" s="600">
        <v>41639</v>
      </c>
      <c r="K3" s="600">
        <v>42004</v>
      </c>
      <c r="L3" s="600">
        <v>42369</v>
      </c>
      <c r="M3" s="600">
        <v>42735</v>
      </c>
      <c r="N3" s="431">
        <v>43100</v>
      </c>
      <c r="O3" s="431">
        <v>43465</v>
      </c>
      <c r="P3" s="431">
        <v>43830</v>
      </c>
      <c r="Q3" s="431">
        <v>44196</v>
      </c>
      <c r="R3" s="431">
        <v>44561</v>
      </c>
      <c r="S3" s="431">
        <v>44926</v>
      </c>
    </row>
    <row r="4" spans="1:19" x14ac:dyDescent="0.2">
      <c r="A4" s="7"/>
      <c r="B4" s="2" t="s">
        <v>5</v>
      </c>
      <c r="C4" s="3">
        <v>1</v>
      </c>
      <c r="D4" s="3"/>
      <c r="E4" s="5"/>
      <c r="F4" s="7"/>
      <c r="G4" s="103" t="s">
        <v>6</v>
      </c>
      <c r="H4" s="77">
        <f t="shared" ref="H4:R4" si="0">H5+H10</f>
        <v>55874</v>
      </c>
      <c r="I4" s="77">
        <f t="shared" si="0"/>
        <v>82472</v>
      </c>
      <c r="J4" s="77">
        <f t="shared" si="0"/>
        <v>111712</v>
      </c>
      <c r="K4" s="77">
        <f t="shared" si="0"/>
        <v>108751</v>
      </c>
      <c r="L4" s="77">
        <f t="shared" si="0"/>
        <v>110292</v>
      </c>
      <c r="M4" s="77">
        <f t="shared" si="0"/>
        <v>222340</v>
      </c>
      <c r="N4" s="77">
        <f t="shared" si="0"/>
        <v>387374</v>
      </c>
      <c r="O4" s="77">
        <f t="shared" si="0"/>
        <v>242821</v>
      </c>
      <c r="P4" s="77">
        <f t="shared" si="0"/>
        <v>393465.5</v>
      </c>
      <c r="Q4" s="77">
        <f t="shared" si="0"/>
        <v>425841</v>
      </c>
      <c r="R4" s="77">
        <f t="shared" si="0"/>
        <v>2840559</v>
      </c>
      <c r="S4" s="77">
        <f>S5+S10</f>
        <v>2795007</v>
      </c>
    </row>
    <row r="5" spans="1:19" x14ac:dyDescent="0.2">
      <c r="B5" s="2" t="s">
        <v>7</v>
      </c>
      <c r="C5" s="3">
        <v>10</v>
      </c>
      <c r="D5" s="3"/>
      <c r="G5" s="110" t="s">
        <v>8</v>
      </c>
      <c r="H5" s="77">
        <f t="shared" ref="H5:Q5" si="1">SUM(H6:H9)</f>
        <v>40583</v>
      </c>
      <c r="I5" s="77">
        <f t="shared" si="1"/>
        <v>67373</v>
      </c>
      <c r="J5" s="77">
        <f t="shared" si="1"/>
        <v>95643</v>
      </c>
      <c r="K5" s="77">
        <f t="shared" si="1"/>
        <v>78821</v>
      </c>
      <c r="L5" s="77">
        <f t="shared" si="1"/>
        <v>78262</v>
      </c>
      <c r="M5" s="77">
        <f t="shared" si="1"/>
        <v>172124</v>
      </c>
      <c r="N5" s="77">
        <f t="shared" si="1"/>
        <v>237003</v>
      </c>
      <c r="O5" s="77">
        <f t="shared" si="1"/>
        <v>7450</v>
      </c>
      <c r="P5" s="77">
        <f t="shared" si="1"/>
        <v>152428.5</v>
      </c>
      <c r="Q5" s="77">
        <f t="shared" si="1"/>
        <v>189138</v>
      </c>
      <c r="R5" s="77">
        <f>SUM(R6:R9)</f>
        <v>208190</v>
      </c>
      <c r="S5" s="77">
        <f>SUM(S6:S9)</f>
        <v>212638</v>
      </c>
    </row>
    <row r="6" spans="1:19" ht="12" x14ac:dyDescent="0.2">
      <c r="B6" s="2" t="s">
        <v>9</v>
      </c>
      <c r="C6" s="10" t="s">
        <v>10</v>
      </c>
      <c r="E6" s="11" t="s">
        <v>11</v>
      </c>
      <c r="G6" s="110" t="s">
        <v>12</v>
      </c>
      <c r="H6" s="76">
        <v>10575</v>
      </c>
      <c r="I6" s="76">
        <v>42040</v>
      </c>
      <c r="J6" s="76">
        <v>70256</v>
      </c>
      <c r="K6" s="76">
        <v>54629</v>
      </c>
      <c r="L6" s="76">
        <v>25924</v>
      </c>
      <c r="M6" s="76">
        <v>29461</v>
      </c>
      <c r="N6" s="76">
        <v>179008</v>
      </c>
      <c r="O6" s="76">
        <v>1860</v>
      </c>
      <c r="P6" s="76">
        <v>91925</v>
      </c>
      <c r="Q6" s="76">
        <v>132383</v>
      </c>
      <c r="R6" s="76">
        <v>126658</v>
      </c>
      <c r="S6" s="76">
        <v>139500</v>
      </c>
    </row>
    <row r="7" spans="1:19" ht="12" x14ac:dyDescent="0.2">
      <c r="B7" s="2" t="s">
        <v>13</v>
      </c>
      <c r="C7" s="10" t="s">
        <v>14</v>
      </c>
      <c r="E7" s="11" t="s">
        <v>11</v>
      </c>
      <c r="G7" s="110" t="s">
        <v>15</v>
      </c>
      <c r="H7" s="76">
        <v>14484</v>
      </c>
      <c r="I7" s="76">
        <v>9809</v>
      </c>
      <c r="J7" s="76">
        <v>9863</v>
      </c>
      <c r="K7" s="76">
        <v>8668</v>
      </c>
      <c r="L7" s="76">
        <v>36814</v>
      </c>
      <c r="M7" s="76">
        <v>127139</v>
      </c>
      <c r="N7" s="76">
        <v>57995</v>
      </c>
      <c r="O7" s="76">
        <f>590+5000</f>
        <v>5590</v>
      </c>
      <c r="P7" s="76">
        <f>121007/2</f>
        <v>60503.5</v>
      </c>
      <c r="Q7" s="76">
        <f>113510/2</f>
        <v>56755</v>
      </c>
      <c r="R7" s="76">
        <f>81532</f>
        <v>81532</v>
      </c>
      <c r="S7" s="76">
        <f>73138</f>
        <v>73138</v>
      </c>
    </row>
    <row r="8" spans="1:19" ht="12" x14ac:dyDescent="0.2">
      <c r="B8" s="2" t="s">
        <v>16</v>
      </c>
      <c r="C8" s="10" t="s">
        <v>17</v>
      </c>
      <c r="E8" s="11" t="s">
        <v>11</v>
      </c>
      <c r="G8" s="110" t="s">
        <v>18</v>
      </c>
      <c r="H8" s="76">
        <v>0</v>
      </c>
      <c r="I8" s="76">
        <v>0</v>
      </c>
      <c r="J8" s="76">
        <v>0</v>
      </c>
      <c r="K8" s="76">
        <v>0</v>
      </c>
      <c r="L8" s="76">
        <v>0</v>
      </c>
      <c r="M8" s="76">
        <v>0</v>
      </c>
      <c r="N8" s="76">
        <v>0</v>
      </c>
      <c r="O8" s="76">
        <v>0</v>
      </c>
      <c r="P8" s="76">
        <v>0</v>
      </c>
      <c r="Q8" s="76">
        <v>0</v>
      </c>
      <c r="R8" s="76">
        <v>0</v>
      </c>
      <c r="S8" s="76">
        <v>0</v>
      </c>
    </row>
    <row r="9" spans="1:19" x14ac:dyDescent="0.2">
      <c r="B9" s="2" t="s">
        <v>19</v>
      </c>
      <c r="C9" s="10">
        <v>108</v>
      </c>
      <c r="E9" s="12"/>
      <c r="G9" s="110" t="s">
        <v>20</v>
      </c>
      <c r="H9" s="76">
        <v>15524</v>
      </c>
      <c r="I9" s="76">
        <v>15524</v>
      </c>
      <c r="J9" s="76">
        <v>15524</v>
      </c>
      <c r="K9" s="76">
        <v>15524</v>
      </c>
      <c r="L9" s="76">
        <v>15524</v>
      </c>
      <c r="M9" s="76">
        <v>15524</v>
      </c>
      <c r="N9" s="76">
        <v>0</v>
      </c>
      <c r="O9" s="76">
        <v>0</v>
      </c>
      <c r="P9" s="76">
        <v>0</v>
      </c>
      <c r="Q9" s="76">
        <v>0</v>
      </c>
      <c r="R9" s="76">
        <v>0</v>
      </c>
      <c r="S9" s="76">
        <v>0</v>
      </c>
    </row>
    <row r="10" spans="1:19" x14ac:dyDescent="0.2">
      <c r="A10" s="13"/>
      <c r="B10" s="2" t="s">
        <v>21</v>
      </c>
      <c r="C10" s="14">
        <v>15</v>
      </c>
      <c r="D10" s="14"/>
      <c r="E10" s="12"/>
      <c r="F10" s="13"/>
      <c r="G10" s="110" t="s">
        <v>22</v>
      </c>
      <c r="H10" s="77">
        <f>SUM(H11:H16)</f>
        <v>15291</v>
      </c>
      <c r="I10" s="77">
        <f t="shared" ref="I10:R10" si="2">SUM(I11:I16)</f>
        <v>15099</v>
      </c>
      <c r="J10" s="77">
        <f t="shared" si="2"/>
        <v>16069</v>
      </c>
      <c r="K10" s="77">
        <f t="shared" si="2"/>
        <v>29930</v>
      </c>
      <c r="L10" s="77">
        <f t="shared" si="2"/>
        <v>32030</v>
      </c>
      <c r="M10" s="77">
        <f t="shared" si="2"/>
        <v>50216</v>
      </c>
      <c r="N10" s="77">
        <f t="shared" si="2"/>
        <v>150371</v>
      </c>
      <c r="O10" s="77">
        <f t="shared" si="2"/>
        <v>235371</v>
      </c>
      <c r="P10" s="77">
        <f t="shared" si="2"/>
        <v>241037</v>
      </c>
      <c r="Q10" s="77">
        <f t="shared" si="2"/>
        <v>236703</v>
      </c>
      <c r="R10" s="77">
        <f t="shared" si="2"/>
        <v>2632369</v>
      </c>
      <c r="S10" s="77">
        <f>SUM(S11:S16)</f>
        <v>2582369</v>
      </c>
    </row>
    <row r="11" spans="1:19" ht="12" x14ac:dyDescent="0.2">
      <c r="A11" s="13"/>
      <c r="B11" s="2" t="s">
        <v>23</v>
      </c>
      <c r="C11" s="14">
        <v>150</v>
      </c>
      <c r="D11" s="14"/>
      <c r="E11" s="11" t="s">
        <v>11</v>
      </c>
      <c r="F11" s="13"/>
      <c r="G11" s="110" t="s">
        <v>24</v>
      </c>
      <c r="H11" s="76">
        <v>0</v>
      </c>
      <c r="I11" s="76">
        <v>0</v>
      </c>
      <c r="J11" s="76">
        <v>0</v>
      </c>
      <c r="K11" s="76">
        <v>0</v>
      </c>
      <c r="L11" s="76">
        <v>0</v>
      </c>
      <c r="M11" s="76">
        <v>0</v>
      </c>
      <c r="N11" s="76">
        <v>0</v>
      </c>
      <c r="O11" s="76">
        <v>0</v>
      </c>
      <c r="P11" s="76">
        <v>0</v>
      </c>
      <c r="Q11" s="76">
        <v>0</v>
      </c>
      <c r="R11" s="76">
        <v>0</v>
      </c>
      <c r="S11" s="76">
        <v>0</v>
      </c>
    </row>
    <row r="12" spans="1:19" ht="12" x14ac:dyDescent="0.2">
      <c r="A12" s="13"/>
      <c r="B12" s="2" t="s">
        <v>25</v>
      </c>
      <c r="C12" s="14">
        <v>151</v>
      </c>
      <c r="D12" s="14"/>
      <c r="E12" s="11" t="s">
        <v>11</v>
      </c>
      <c r="F12" s="13"/>
      <c r="G12" s="110" t="s">
        <v>26</v>
      </c>
      <c r="H12" s="76">
        <v>0</v>
      </c>
      <c r="I12" s="76">
        <v>0</v>
      </c>
      <c r="J12" s="76">
        <v>0</v>
      </c>
      <c r="K12" s="76">
        <v>0</v>
      </c>
      <c r="L12" s="76">
        <v>0</v>
      </c>
      <c r="M12" s="76">
        <v>0</v>
      </c>
      <c r="N12" s="76">
        <v>0</v>
      </c>
      <c r="O12" s="76">
        <v>0</v>
      </c>
      <c r="P12" s="76">
        <v>0</v>
      </c>
      <c r="Q12" s="76">
        <v>0</v>
      </c>
      <c r="R12" s="76">
        <v>0</v>
      </c>
      <c r="S12" s="76">
        <v>0</v>
      </c>
    </row>
    <row r="13" spans="1:19" ht="12" x14ac:dyDescent="0.2">
      <c r="B13" s="2" t="s">
        <v>27</v>
      </c>
      <c r="C13" s="10" t="s">
        <v>28</v>
      </c>
      <c r="E13" s="11" t="s">
        <v>11</v>
      </c>
      <c r="G13" s="110" t="s">
        <v>29</v>
      </c>
      <c r="H13" s="76">
        <v>0</v>
      </c>
      <c r="I13" s="76">
        <v>0</v>
      </c>
      <c r="J13" s="76">
        <v>0</v>
      </c>
      <c r="K13" s="76">
        <v>0</v>
      </c>
      <c r="L13" s="76">
        <v>0</v>
      </c>
      <c r="M13" s="76">
        <v>0</v>
      </c>
      <c r="N13" s="76">
        <v>0</v>
      </c>
      <c r="O13" s="76">
        <v>0</v>
      </c>
      <c r="P13" s="76">
        <v>0</v>
      </c>
      <c r="Q13" s="76">
        <v>0</v>
      </c>
      <c r="R13" s="76">
        <v>0</v>
      </c>
      <c r="S13" s="76">
        <v>0</v>
      </c>
    </row>
    <row r="14" spans="1:19" ht="12" x14ac:dyDescent="0.2">
      <c r="B14" s="2" t="s">
        <v>30</v>
      </c>
      <c r="C14" s="10">
        <v>154</v>
      </c>
      <c r="E14" s="11" t="s">
        <v>11</v>
      </c>
      <c r="G14" s="110" t="s">
        <v>31</v>
      </c>
      <c r="H14" s="76">
        <v>0</v>
      </c>
      <c r="I14" s="76">
        <v>0</v>
      </c>
      <c r="J14" s="76">
        <v>0</v>
      </c>
      <c r="K14" s="76">
        <v>0</v>
      </c>
      <c r="L14" s="76">
        <v>0</v>
      </c>
      <c r="M14" s="76">
        <v>0</v>
      </c>
      <c r="N14" s="76">
        <v>0</v>
      </c>
      <c r="O14" s="76">
        <v>0</v>
      </c>
      <c r="P14" s="76">
        <v>0</v>
      </c>
      <c r="Q14" s="76">
        <v>0</v>
      </c>
      <c r="R14" s="76">
        <v>0</v>
      </c>
      <c r="S14" s="76">
        <v>0</v>
      </c>
    </row>
    <row r="15" spans="1:19" ht="12" x14ac:dyDescent="0.2">
      <c r="B15" s="2" t="s">
        <v>32</v>
      </c>
      <c r="C15" s="10" t="s">
        <v>33</v>
      </c>
      <c r="E15" s="11" t="s">
        <v>11</v>
      </c>
      <c r="G15" s="110" t="s">
        <v>34</v>
      </c>
      <c r="H15" s="76">
        <v>15291</v>
      </c>
      <c r="I15" s="76">
        <v>15099</v>
      </c>
      <c r="J15" s="76">
        <v>16069</v>
      </c>
      <c r="K15" s="76">
        <v>29930</v>
      </c>
      <c r="L15" s="76">
        <v>32030</v>
      </c>
      <c r="M15" s="76">
        <v>50216</v>
      </c>
      <c r="N15" s="76">
        <v>150371</v>
      </c>
      <c r="O15" s="76">
        <v>235371</v>
      </c>
      <c r="P15" s="76">
        <v>241037</v>
      </c>
      <c r="Q15" s="76">
        <v>236703</v>
      </c>
      <c r="R15" s="76">
        <v>2632369</v>
      </c>
      <c r="S15" s="76">
        <v>2582369</v>
      </c>
    </row>
    <row r="16" spans="1:19" ht="12" x14ac:dyDescent="0.2">
      <c r="B16" s="2" t="s">
        <v>35</v>
      </c>
      <c r="C16" s="10">
        <v>157</v>
      </c>
      <c r="E16" s="11" t="s">
        <v>11</v>
      </c>
      <c r="G16" s="110" t="s">
        <v>36</v>
      </c>
      <c r="H16" s="76">
        <v>0</v>
      </c>
      <c r="I16" s="76">
        <v>0</v>
      </c>
      <c r="J16" s="76">
        <v>0</v>
      </c>
      <c r="K16" s="76">
        <v>0</v>
      </c>
      <c r="L16" s="76">
        <v>0</v>
      </c>
      <c r="M16" s="76">
        <v>0</v>
      </c>
      <c r="N16" s="76">
        <v>0</v>
      </c>
      <c r="O16" s="76">
        <v>0</v>
      </c>
      <c r="P16" s="76">
        <v>0</v>
      </c>
      <c r="Q16" s="76">
        <v>0</v>
      </c>
      <c r="R16" s="76">
        <v>0</v>
      </c>
      <c r="S16" s="76">
        <v>0</v>
      </c>
    </row>
    <row r="17" spans="1:19" s="438" customFormat="1" ht="12" x14ac:dyDescent="0.2">
      <c r="A17" s="15"/>
      <c r="B17" s="2" t="s">
        <v>37</v>
      </c>
      <c r="C17" s="15" t="s">
        <v>38</v>
      </c>
      <c r="D17" s="15"/>
      <c r="E17" s="11" t="s">
        <v>11</v>
      </c>
      <c r="F17" s="16"/>
      <c r="G17" s="436" t="s">
        <v>39</v>
      </c>
      <c r="H17" s="80">
        <v>0</v>
      </c>
      <c r="I17" s="80">
        <v>0</v>
      </c>
      <c r="J17" s="80">
        <v>0</v>
      </c>
      <c r="K17" s="80">
        <v>0</v>
      </c>
      <c r="L17" s="80">
        <v>0</v>
      </c>
      <c r="M17" s="80">
        <v>0</v>
      </c>
      <c r="N17" s="80">
        <v>0</v>
      </c>
      <c r="O17" s="80">
        <v>0</v>
      </c>
      <c r="P17" s="80">
        <v>0</v>
      </c>
      <c r="Q17" s="80">
        <v>0</v>
      </c>
      <c r="R17" s="80">
        <v>0</v>
      </c>
      <c r="S17" s="80">
        <v>0</v>
      </c>
    </row>
    <row r="18" spans="1:19" x14ac:dyDescent="0.2">
      <c r="B18" s="2" t="s">
        <v>40</v>
      </c>
      <c r="C18" s="10">
        <v>2</v>
      </c>
      <c r="E18" s="12"/>
      <c r="G18" s="110" t="s">
        <v>41</v>
      </c>
      <c r="H18" s="77">
        <f>H19+H27</f>
        <v>55874</v>
      </c>
      <c r="I18" s="77">
        <f t="shared" ref="I18:R18" si="3">I19+I27</f>
        <v>82472</v>
      </c>
      <c r="J18" s="77">
        <f t="shared" si="3"/>
        <v>111712</v>
      </c>
      <c r="K18" s="77">
        <f t="shared" si="3"/>
        <v>108751</v>
      </c>
      <c r="L18" s="77">
        <f t="shared" si="3"/>
        <v>110292</v>
      </c>
      <c r="M18" s="77">
        <f t="shared" si="3"/>
        <v>222340</v>
      </c>
      <c r="N18" s="77">
        <f t="shared" si="3"/>
        <v>387374</v>
      </c>
      <c r="O18" s="77">
        <f t="shared" si="3"/>
        <v>242821.16666666666</v>
      </c>
      <c r="P18" s="77">
        <f t="shared" si="3"/>
        <v>393465.33333333337</v>
      </c>
      <c r="Q18" s="77">
        <f t="shared" si="3"/>
        <v>425841</v>
      </c>
      <c r="R18" s="77">
        <f t="shared" si="3"/>
        <v>2840559.3333333335</v>
      </c>
      <c r="S18" s="77">
        <f>S19+S27</f>
        <v>2795007.45</v>
      </c>
    </row>
    <row r="19" spans="1:19" x14ac:dyDescent="0.2">
      <c r="B19" s="2" t="s">
        <v>42</v>
      </c>
      <c r="C19" s="10" t="s">
        <v>43</v>
      </c>
      <c r="E19" s="12"/>
      <c r="G19" s="110" t="s">
        <v>44</v>
      </c>
      <c r="H19" s="77">
        <f>SUM(H21:H26)</f>
        <v>22370</v>
      </c>
      <c r="I19" s="77">
        <f t="shared" ref="I19:R19" si="4">SUM(I21:I26)</f>
        <v>23262</v>
      </c>
      <c r="J19" s="77">
        <f t="shared" si="4"/>
        <v>14683</v>
      </c>
      <c r="K19" s="77">
        <f t="shared" si="4"/>
        <v>11825</v>
      </c>
      <c r="L19" s="77">
        <f t="shared" si="4"/>
        <v>48505</v>
      </c>
      <c r="M19" s="77">
        <f t="shared" si="4"/>
        <v>29064</v>
      </c>
      <c r="N19" s="77">
        <f t="shared" si="4"/>
        <v>220685</v>
      </c>
      <c r="O19" s="77">
        <f t="shared" si="4"/>
        <v>70282.166666666657</v>
      </c>
      <c r="P19" s="77">
        <f t="shared" si="4"/>
        <v>226696.33333333334</v>
      </c>
      <c r="Q19" s="77">
        <f t="shared" si="4"/>
        <v>222034</v>
      </c>
      <c r="R19" s="77">
        <f t="shared" si="4"/>
        <v>2658898.3333333335</v>
      </c>
      <c r="S19" s="77">
        <f>SUM(S21:S26)</f>
        <v>2598318.4500000002</v>
      </c>
    </row>
    <row r="20" spans="1:19" s="439" customFormat="1" ht="12" x14ac:dyDescent="0.2">
      <c r="A20" s="17"/>
      <c r="B20" s="2" t="s">
        <v>45</v>
      </c>
      <c r="C20" s="15" t="s">
        <v>46</v>
      </c>
      <c r="D20" s="15"/>
      <c r="E20" s="11" t="s">
        <v>11</v>
      </c>
      <c r="F20" s="17"/>
      <c r="G20" s="436" t="s">
        <v>47</v>
      </c>
      <c r="H20" s="82">
        <v>0</v>
      </c>
      <c r="I20" s="82">
        <v>0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82">
        <v>0</v>
      </c>
      <c r="P20" s="82">
        <v>0</v>
      </c>
      <c r="Q20" s="82">
        <v>0</v>
      </c>
      <c r="R20" s="82">
        <v>0</v>
      </c>
      <c r="S20" s="82">
        <v>0</v>
      </c>
    </row>
    <row r="21" spans="1:19" ht="12" x14ac:dyDescent="0.2">
      <c r="B21" s="2" t="s">
        <v>48</v>
      </c>
      <c r="C21" s="18" t="s">
        <v>49</v>
      </c>
      <c r="D21" s="18"/>
      <c r="E21" s="11" t="s">
        <v>11</v>
      </c>
      <c r="G21" s="110" t="s">
        <v>50</v>
      </c>
      <c r="H21" s="76">
        <v>17988</v>
      </c>
      <c r="I21" s="76">
        <v>18236</v>
      </c>
      <c r="J21" s="76">
        <v>14683</v>
      </c>
      <c r="K21" s="76">
        <v>11825</v>
      </c>
      <c r="L21" s="76">
        <v>23435</v>
      </c>
      <c r="M21" s="76">
        <v>24564</v>
      </c>
      <c r="N21" s="76">
        <v>48885</v>
      </c>
      <c r="O21" s="76">
        <f>59150/12+49600</f>
        <v>54529.166666666664</v>
      </c>
      <c r="P21" s="76">
        <f>57436/12+40400</f>
        <v>45186.333333333336</v>
      </c>
      <c r="Q21" s="76">
        <f>65628/12+46300</f>
        <v>51769</v>
      </c>
      <c r="R21" s="76">
        <f>62812/12+40600</f>
        <v>45834.333333333336</v>
      </c>
      <c r="S21" s="76">
        <f>65628/12+65628/12*5%+46300</f>
        <v>52042.45</v>
      </c>
    </row>
    <row r="22" spans="1:19" ht="12" x14ac:dyDescent="0.2">
      <c r="B22" s="2" t="s">
        <v>51</v>
      </c>
      <c r="C22" s="10" t="s">
        <v>52</v>
      </c>
      <c r="E22" s="11" t="s">
        <v>11</v>
      </c>
      <c r="G22" s="110" t="s">
        <v>53</v>
      </c>
      <c r="H22" s="76">
        <v>0</v>
      </c>
      <c r="I22" s="76">
        <v>0</v>
      </c>
      <c r="J22" s="76">
        <v>0</v>
      </c>
      <c r="K22" s="76">
        <v>0</v>
      </c>
      <c r="L22" s="76">
        <v>0</v>
      </c>
      <c r="M22" s="76">
        <v>0</v>
      </c>
      <c r="N22" s="76">
        <v>0</v>
      </c>
      <c r="O22" s="76">
        <v>0</v>
      </c>
      <c r="P22" s="76">
        <v>0</v>
      </c>
      <c r="Q22" s="76">
        <v>0</v>
      </c>
      <c r="R22" s="76">
        <v>0</v>
      </c>
      <c r="S22" s="76">
        <v>0</v>
      </c>
    </row>
    <row r="23" spans="1:19" ht="12" x14ac:dyDescent="0.2">
      <c r="B23" s="2" t="s">
        <v>54</v>
      </c>
      <c r="C23" s="10">
        <v>257</v>
      </c>
      <c r="E23" s="11" t="s">
        <v>11</v>
      </c>
      <c r="G23" s="110" t="s">
        <v>55</v>
      </c>
      <c r="H23" s="76">
        <v>4382</v>
      </c>
      <c r="I23" s="76">
        <v>5026</v>
      </c>
      <c r="J23" s="76">
        <v>0</v>
      </c>
      <c r="K23" s="76">
        <v>0</v>
      </c>
      <c r="L23" s="76">
        <v>25070</v>
      </c>
      <c r="M23" s="76">
        <v>4500</v>
      </c>
      <c r="N23" s="76">
        <v>171800</v>
      </c>
      <c r="O23" s="76">
        <v>15753</v>
      </c>
      <c r="P23" s="76">
        <v>181510</v>
      </c>
      <c r="Q23" s="76">
        <v>170265</v>
      </c>
      <c r="R23" s="76">
        <f>2450000+163064</f>
        <v>2613064</v>
      </c>
      <c r="S23" s="76">
        <f>2400000+146276</f>
        <v>2546276</v>
      </c>
    </row>
    <row r="24" spans="1:19" ht="12" x14ac:dyDescent="0.2">
      <c r="A24" s="19"/>
      <c r="B24" s="2" t="s">
        <v>56</v>
      </c>
      <c r="C24" s="10" t="s">
        <v>57</v>
      </c>
      <c r="E24" s="11" t="s">
        <v>11</v>
      </c>
      <c r="F24" s="19"/>
      <c r="G24" s="110" t="s">
        <v>58</v>
      </c>
      <c r="H24" s="76">
        <v>0</v>
      </c>
      <c r="I24" s="76">
        <v>0</v>
      </c>
      <c r="J24" s="76">
        <v>0</v>
      </c>
      <c r="K24" s="76">
        <v>0</v>
      </c>
      <c r="L24" s="76">
        <v>0</v>
      </c>
      <c r="M24" s="76">
        <v>0</v>
      </c>
      <c r="N24" s="76">
        <v>0</v>
      </c>
      <c r="O24" s="76">
        <v>0</v>
      </c>
      <c r="P24" s="76">
        <v>0</v>
      </c>
      <c r="Q24" s="76">
        <v>0</v>
      </c>
      <c r="R24" s="76">
        <v>0</v>
      </c>
      <c r="S24" s="76">
        <v>0</v>
      </c>
    </row>
    <row r="25" spans="1:19" ht="12" x14ac:dyDescent="0.2">
      <c r="A25" s="19"/>
      <c r="B25" s="2" t="s">
        <v>59</v>
      </c>
      <c r="C25" s="10" t="s">
        <v>60</v>
      </c>
      <c r="E25" s="11" t="s">
        <v>11</v>
      </c>
      <c r="F25" s="19"/>
      <c r="G25" s="110" t="s">
        <v>61</v>
      </c>
      <c r="H25" s="76">
        <v>0</v>
      </c>
      <c r="I25" s="76">
        <v>0</v>
      </c>
      <c r="J25" s="76">
        <v>0</v>
      </c>
      <c r="K25" s="76">
        <v>0</v>
      </c>
      <c r="L25" s="76">
        <v>0</v>
      </c>
      <c r="M25" s="76">
        <v>0</v>
      </c>
      <c r="N25" s="76">
        <v>0</v>
      </c>
      <c r="O25" s="76">
        <v>0</v>
      </c>
      <c r="P25" s="76">
        <v>0</v>
      </c>
      <c r="Q25" s="76">
        <v>0</v>
      </c>
      <c r="R25" s="76">
        <v>0</v>
      </c>
      <c r="S25" s="76">
        <v>0</v>
      </c>
    </row>
    <row r="26" spans="1:19" ht="12" x14ac:dyDescent="0.2">
      <c r="B26" s="2" t="s">
        <v>62</v>
      </c>
      <c r="C26" s="10">
        <v>28</v>
      </c>
      <c r="E26" s="11" t="s">
        <v>11</v>
      </c>
      <c r="G26" s="110" t="s">
        <v>63</v>
      </c>
      <c r="H26" s="76">
        <v>0</v>
      </c>
      <c r="I26" s="76">
        <v>0</v>
      </c>
      <c r="J26" s="76">
        <v>0</v>
      </c>
      <c r="K26" s="76">
        <v>0</v>
      </c>
      <c r="L26" s="76">
        <v>0</v>
      </c>
      <c r="M26" s="76">
        <v>0</v>
      </c>
      <c r="N26" s="76">
        <v>0</v>
      </c>
      <c r="O26" s="76">
        <v>0</v>
      </c>
      <c r="P26" s="76">
        <v>0</v>
      </c>
      <c r="Q26" s="76">
        <v>0</v>
      </c>
      <c r="R26" s="76">
        <v>0</v>
      </c>
      <c r="S26" s="76">
        <v>0</v>
      </c>
    </row>
    <row r="27" spans="1:19" x14ac:dyDescent="0.2">
      <c r="B27" s="2" t="s">
        <v>64</v>
      </c>
      <c r="C27" s="10">
        <v>29</v>
      </c>
      <c r="E27" s="12"/>
      <c r="G27" s="110" t="s">
        <v>65</v>
      </c>
      <c r="H27" s="77">
        <f>SUM(H28:H30)</f>
        <v>33504</v>
      </c>
      <c r="I27" s="77">
        <f t="shared" ref="I27:R27" si="5">SUM(I28:I30)</f>
        <v>59210</v>
      </c>
      <c r="J27" s="77">
        <f t="shared" si="5"/>
        <v>97029</v>
      </c>
      <c r="K27" s="77">
        <f t="shared" si="5"/>
        <v>96926</v>
      </c>
      <c r="L27" s="77">
        <f t="shared" si="5"/>
        <v>61787</v>
      </c>
      <c r="M27" s="77">
        <f t="shared" si="5"/>
        <v>193276</v>
      </c>
      <c r="N27" s="77">
        <f t="shared" si="5"/>
        <v>166689</v>
      </c>
      <c r="O27" s="77">
        <f t="shared" si="5"/>
        <v>172539</v>
      </c>
      <c r="P27" s="77">
        <f t="shared" si="5"/>
        <v>166769</v>
      </c>
      <c r="Q27" s="77">
        <f t="shared" si="5"/>
        <v>203807</v>
      </c>
      <c r="R27" s="77">
        <f t="shared" si="5"/>
        <v>181661</v>
      </c>
      <c r="S27" s="77">
        <f>SUM(S28:S30)</f>
        <v>196689</v>
      </c>
    </row>
    <row r="28" spans="1:19" ht="12" x14ac:dyDescent="0.2">
      <c r="B28" s="2" t="s">
        <v>66</v>
      </c>
      <c r="C28" s="8" t="s">
        <v>67</v>
      </c>
      <c r="D28" s="8"/>
      <c r="E28" s="11" t="s">
        <v>11</v>
      </c>
      <c r="G28" s="110" t="s">
        <v>68</v>
      </c>
      <c r="H28" s="76">
        <v>0</v>
      </c>
      <c r="I28" s="76">
        <v>0</v>
      </c>
      <c r="J28" s="76">
        <v>0</v>
      </c>
      <c r="K28" s="76">
        <v>0</v>
      </c>
      <c r="L28" s="76">
        <v>0</v>
      </c>
      <c r="M28" s="76">
        <v>0</v>
      </c>
      <c r="N28" s="76">
        <v>0</v>
      </c>
      <c r="O28" s="76">
        <v>0</v>
      </c>
      <c r="P28" s="76">
        <v>0</v>
      </c>
      <c r="Q28" s="76">
        <v>0</v>
      </c>
      <c r="R28" s="76">
        <v>0</v>
      </c>
      <c r="S28" s="76">
        <v>0</v>
      </c>
    </row>
    <row r="29" spans="1:19" ht="12" x14ac:dyDescent="0.2">
      <c r="B29" s="2" t="s">
        <v>69</v>
      </c>
      <c r="C29" s="10">
        <v>298</v>
      </c>
      <c r="E29" s="11" t="s">
        <v>11</v>
      </c>
      <c r="G29" s="110" t="s">
        <v>70</v>
      </c>
      <c r="H29" s="76">
        <v>11037</v>
      </c>
      <c r="I29" s="76">
        <v>33504</v>
      </c>
      <c r="J29" s="76">
        <v>59210</v>
      </c>
      <c r="K29" s="76">
        <v>97029</v>
      </c>
      <c r="L29" s="76">
        <v>96926</v>
      </c>
      <c r="M29" s="76">
        <v>61787</v>
      </c>
      <c r="N29" s="76">
        <v>166634</v>
      </c>
      <c r="O29" s="76">
        <v>166689</v>
      </c>
      <c r="P29" s="76">
        <v>172539</v>
      </c>
      <c r="Q29" s="76">
        <v>166769</v>
      </c>
      <c r="R29" s="76">
        <v>203807</v>
      </c>
      <c r="S29" s="76">
        <v>181661</v>
      </c>
    </row>
    <row r="30" spans="1:19" ht="12" x14ac:dyDescent="0.2">
      <c r="B30" s="2" t="s">
        <v>71</v>
      </c>
      <c r="C30" s="10">
        <v>299</v>
      </c>
      <c r="E30" s="11" t="s">
        <v>72</v>
      </c>
      <c r="G30" s="110" t="s">
        <v>73</v>
      </c>
      <c r="H30" s="76">
        <v>22467</v>
      </c>
      <c r="I30" s="76">
        <v>25706</v>
      </c>
      <c r="J30" s="76">
        <v>37819</v>
      </c>
      <c r="K30" s="76">
        <v>-103</v>
      </c>
      <c r="L30" s="76">
        <v>-35139</v>
      </c>
      <c r="M30" s="76">
        <v>131489</v>
      </c>
      <c r="N30" s="76">
        <v>55</v>
      </c>
      <c r="O30" s="76">
        <v>5850</v>
      </c>
      <c r="P30" s="76">
        <v>-5770</v>
      </c>
      <c r="Q30" s="76">
        <v>37038</v>
      </c>
      <c r="R30" s="76">
        <v>-22146</v>
      </c>
      <c r="S30" s="76">
        <v>15028</v>
      </c>
    </row>
    <row r="31" spans="1:19" s="442" customFormat="1" x14ac:dyDescent="0.2">
      <c r="A31" s="20"/>
      <c r="B31" s="6"/>
      <c r="C31" s="21"/>
      <c r="D31" s="21"/>
      <c r="E31" s="22"/>
      <c r="F31" s="20"/>
      <c r="G31" s="440" t="s">
        <v>74</v>
      </c>
      <c r="H31" s="85">
        <f t="shared" ref="H31:R31" si="6">H4-H18</f>
        <v>0</v>
      </c>
      <c r="I31" s="85">
        <f t="shared" si="6"/>
        <v>0</v>
      </c>
      <c r="J31" s="85">
        <f t="shared" si="6"/>
        <v>0</v>
      </c>
      <c r="K31" s="85">
        <f t="shared" si="6"/>
        <v>0</v>
      </c>
      <c r="L31" s="85">
        <f t="shared" si="6"/>
        <v>0</v>
      </c>
      <c r="M31" s="85">
        <f t="shared" si="6"/>
        <v>0</v>
      </c>
      <c r="N31" s="85">
        <f t="shared" si="6"/>
        <v>0</v>
      </c>
      <c r="O31" s="85">
        <f t="shared" si="6"/>
        <v>-0.16666666665696539</v>
      </c>
      <c r="P31" s="85">
        <f t="shared" si="6"/>
        <v>0.16666666662786156</v>
      </c>
      <c r="Q31" s="85">
        <f t="shared" si="6"/>
        <v>0</v>
      </c>
      <c r="R31" s="85">
        <f t="shared" si="6"/>
        <v>-0.33333333348855376</v>
      </c>
      <c r="S31" s="85">
        <f>S4-S18</f>
        <v>-0.45000000018626451</v>
      </c>
    </row>
    <row r="32" spans="1:19" x14ac:dyDescent="0.2">
      <c r="G32" s="94" t="s">
        <v>75</v>
      </c>
      <c r="H32" s="87">
        <v>2011</v>
      </c>
      <c r="I32" s="87">
        <f t="shared" ref="I32:S32" si="7">H32+1</f>
        <v>2012</v>
      </c>
      <c r="J32" s="87">
        <f t="shared" si="7"/>
        <v>2013</v>
      </c>
      <c r="K32" s="87">
        <f t="shared" si="7"/>
        <v>2014</v>
      </c>
      <c r="L32" s="87">
        <f t="shared" si="7"/>
        <v>2015</v>
      </c>
      <c r="M32" s="87">
        <f t="shared" si="7"/>
        <v>2016</v>
      </c>
      <c r="N32" s="87">
        <f t="shared" si="7"/>
        <v>2017</v>
      </c>
      <c r="O32" s="87">
        <f t="shared" si="7"/>
        <v>2018</v>
      </c>
      <c r="P32" s="87">
        <f t="shared" si="7"/>
        <v>2019</v>
      </c>
      <c r="Q32" s="87">
        <f t="shared" si="7"/>
        <v>2020</v>
      </c>
      <c r="R32" s="87">
        <f t="shared" si="7"/>
        <v>2021</v>
      </c>
      <c r="S32" s="87">
        <f t="shared" si="7"/>
        <v>2022</v>
      </c>
    </row>
    <row r="33" spans="1:19" x14ac:dyDescent="0.2">
      <c r="B33" s="2" t="s">
        <v>76</v>
      </c>
      <c r="C33" s="10">
        <v>3</v>
      </c>
      <c r="G33" s="103" t="s">
        <v>77</v>
      </c>
      <c r="H33" s="77">
        <f>SUM(H34:H37)</f>
        <v>289381</v>
      </c>
      <c r="I33" s="77">
        <f t="shared" ref="I33:R33" si="8">SUM(I34:I37)</f>
        <v>219076</v>
      </c>
      <c r="J33" s="77">
        <f t="shared" si="8"/>
        <v>220035</v>
      </c>
      <c r="K33" s="77">
        <f t="shared" si="8"/>
        <v>199729</v>
      </c>
      <c r="L33" s="77">
        <f t="shared" si="8"/>
        <v>307867</v>
      </c>
      <c r="M33" s="77">
        <f t="shared" si="8"/>
        <v>644667</v>
      </c>
      <c r="N33" s="77">
        <f t="shared" si="8"/>
        <v>526187.46</v>
      </c>
      <c r="O33" s="77">
        <f t="shared" si="8"/>
        <v>752000</v>
      </c>
      <c r="P33" s="77">
        <f t="shared" si="8"/>
        <v>685000</v>
      </c>
      <c r="Q33" s="77">
        <f t="shared" si="8"/>
        <v>815000</v>
      </c>
      <c r="R33" s="77">
        <f t="shared" si="8"/>
        <v>686000</v>
      </c>
      <c r="S33" s="77">
        <f>SUM(S34:S37)</f>
        <v>815000</v>
      </c>
    </row>
    <row r="34" spans="1:19" ht="12" x14ac:dyDescent="0.2">
      <c r="B34" s="2" t="s">
        <v>78</v>
      </c>
      <c r="C34" s="10">
        <v>30</v>
      </c>
      <c r="E34" s="11" t="s">
        <v>11</v>
      </c>
      <c r="G34" s="110" t="s">
        <v>79</v>
      </c>
      <c r="H34" s="76">
        <v>0</v>
      </c>
      <c r="I34" s="76">
        <v>0</v>
      </c>
      <c r="J34" s="76">
        <v>0</v>
      </c>
      <c r="K34" s="76">
        <v>0</v>
      </c>
      <c r="L34" s="76">
        <v>0</v>
      </c>
      <c r="M34" s="76">
        <v>0</v>
      </c>
      <c r="N34" s="76">
        <v>0</v>
      </c>
      <c r="O34" s="76">
        <v>0</v>
      </c>
      <c r="P34" s="76">
        <v>0</v>
      </c>
      <c r="Q34" s="76">
        <v>0</v>
      </c>
      <c r="R34" s="76">
        <v>0</v>
      </c>
      <c r="S34" s="76">
        <v>0</v>
      </c>
    </row>
    <row r="35" spans="1:19" ht="12" x14ac:dyDescent="0.2">
      <c r="B35" s="2" t="s">
        <v>80</v>
      </c>
      <c r="C35" s="10">
        <v>32</v>
      </c>
      <c r="E35" s="11" t="s">
        <v>11</v>
      </c>
      <c r="G35" s="110" t="s">
        <v>81</v>
      </c>
      <c r="H35" s="76">
        <v>32750</v>
      </c>
      <c r="I35" s="76">
        <v>34303</v>
      </c>
      <c r="J35" s="76">
        <v>54352</v>
      </c>
      <c r="K35" s="76">
        <v>42110</v>
      </c>
      <c r="L35" s="76">
        <v>51014</v>
      </c>
      <c r="M35" s="76">
        <v>44596</v>
      </c>
      <c r="N35" s="76">
        <v>52766.46</v>
      </c>
      <c r="O35" s="76">
        <v>59000</v>
      </c>
      <c r="P35" s="76">
        <v>60000</v>
      </c>
      <c r="Q35" s="76">
        <v>65000</v>
      </c>
      <c r="R35" s="76">
        <v>61000</v>
      </c>
      <c r="S35" s="76">
        <v>65000</v>
      </c>
    </row>
    <row r="36" spans="1:19" ht="12" x14ac:dyDescent="0.2">
      <c r="A36" s="13"/>
      <c r="B36" s="2" t="s">
        <v>82</v>
      </c>
      <c r="C36" s="10">
        <v>35</v>
      </c>
      <c r="E36" s="11" t="s">
        <v>11</v>
      </c>
      <c r="F36" s="13"/>
      <c r="G36" s="110" t="s">
        <v>83</v>
      </c>
      <c r="H36" s="76">
        <v>256631</v>
      </c>
      <c r="I36" s="76">
        <v>184773</v>
      </c>
      <c r="J36" s="76">
        <v>165683</v>
      </c>
      <c r="K36" s="76">
        <v>157619</v>
      </c>
      <c r="L36" s="76">
        <v>248565</v>
      </c>
      <c r="M36" s="76">
        <v>400311</v>
      </c>
      <c r="N36" s="76">
        <v>473234</v>
      </c>
      <c r="O36" s="76">
        <v>693000</v>
      </c>
      <c r="P36" s="76">
        <v>625000</v>
      </c>
      <c r="Q36" s="76">
        <v>750000</v>
      </c>
      <c r="R36" s="76">
        <v>625000</v>
      </c>
      <c r="S36" s="76">
        <v>750000</v>
      </c>
    </row>
    <row r="37" spans="1:19" ht="12" x14ac:dyDescent="0.2">
      <c r="B37" s="2" t="s">
        <v>84</v>
      </c>
      <c r="C37" s="10">
        <v>38</v>
      </c>
      <c r="E37" s="11" t="s">
        <v>11</v>
      </c>
      <c r="G37" s="110" t="s">
        <v>85</v>
      </c>
      <c r="H37" s="76">
        <v>0</v>
      </c>
      <c r="I37" s="76">
        <v>0</v>
      </c>
      <c r="J37" s="76">
        <v>0</v>
      </c>
      <c r="K37" s="76">
        <v>0</v>
      </c>
      <c r="L37" s="76">
        <v>8288</v>
      </c>
      <c r="M37" s="76">
        <v>199760</v>
      </c>
      <c r="N37" s="76">
        <f>180+7</f>
        <v>187</v>
      </c>
      <c r="O37" s="76">
        <v>0</v>
      </c>
      <c r="P37" s="76">
        <v>0</v>
      </c>
      <c r="Q37" s="76">
        <v>0</v>
      </c>
      <c r="R37" s="76">
        <v>0</v>
      </c>
      <c r="S37" s="76">
        <v>0</v>
      </c>
    </row>
    <row r="38" spans="1:19" x14ac:dyDescent="0.2">
      <c r="B38" s="2" t="s">
        <v>86</v>
      </c>
      <c r="C38" s="10">
        <v>4</v>
      </c>
      <c r="E38" s="23"/>
      <c r="G38" s="110" t="s">
        <v>87</v>
      </c>
      <c r="H38" s="77">
        <f>H39+H40</f>
        <v>0</v>
      </c>
      <c r="I38" s="77">
        <f t="shared" ref="I38:R38" si="9">I39+I40</f>
        <v>0</v>
      </c>
      <c r="J38" s="77">
        <f t="shared" si="9"/>
        <v>0</v>
      </c>
      <c r="K38" s="77">
        <f t="shared" si="9"/>
        <v>0</v>
      </c>
      <c r="L38" s="77">
        <f t="shared" si="9"/>
        <v>0</v>
      </c>
      <c r="M38" s="77">
        <f t="shared" si="9"/>
        <v>0</v>
      </c>
      <c r="N38" s="77">
        <f t="shared" si="9"/>
        <v>0</v>
      </c>
      <c r="O38" s="77">
        <f t="shared" si="9"/>
        <v>0</v>
      </c>
      <c r="P38" s="77">
        <f t="shared" si="9"/>
        <v>0</v>
      </c>
      <c r="Q38" s="77">
        <f t="shared" si="9"/>
        <v>0</v>
      </c>
      <c r="R38" s="77">
        <f t="shared" si="9"/>
        <v>0</v>
      </c>
      <c r="S38" s="77">
        <f>S39+S40</f>
        <v>0</v>
      </c>
    </row>
    <row r="39" spans="1:19" ht="12" x14ac:dyDescent="0.2">
      <c r="B39" s="2" t="s">
        <v>88</v>
      </c>
      <c r="C39" s="10">
        <v>41</v>
      </c>
      <c r="E39" s="11" t="s">
        <v>89</v>
      </c>
      <c r="G39" s="110" t="s">
        <v>90</v>
      </c>
      <c r="H39" s="76">
        <v>0</v>
      </c>
      <c r="I39" s="76">
        <v>0</v>
      </c>
      <c r="J39" s="76">
        <v>0</v>
      </c>
      <c r="K39" s="76">
        <v>0</v>
      </c>
      <c r="L39" s="76">
        <v>0</v>
      </c>
      <c r="M39" s="76">
        <v>0</v>
      </c>
      <c r="N39" s="76">
        <v>0</v>
      </c>
      <c r="O39" s="76">
        <v>0</v>
      </c>
      <c r="P39" s="76">
        <v>0</v>
      </c>
      <c r="Q39" s="76">
        <v>0</v>
      </c>
      <c r="R39" s="76">
        <v>0</v>
      </c>
      <c r="S39" s="76">
        <v>0</v>
      </c>
    </row>
    <row r="40" spans="1:19" ht="12" x14ac:dyDescent="0.2">
      <c r="B40" s="2" t="s">
        <v>91</v>
      </c>
      <c r="C40" s="10">
        <v>45</v>
      </c>
      <c r="E40" s="11" t="s">
        <v>89</v>
      </c>
      <c r="G40" s="110" t="s">
        <v>92</v>
      </c>
      <c r="H40" s="76">
        <v>0</v>
      </c>
      <c r="I40" s="76">
        <v>0</v>
      </c>
      <c r="J40" s="76">
        <v>0</v>
      </c>
      <c r="K40" s="76">
        <v>0</v>
      </c>
      <c r="L40" s="76">
        <v>0</v>
      </c>
      <c r="M40" s="76">
        <v>0</v>
      </c>
      <c r="N40" s="76">
        <v>0</v>
      </c>
      <c r="O40" s="76">
        <v>0</v>
      </c>
      <c r="P40" s="76">
        <v>0</v>
      </c>
      <c r="Q40" s="76">
        <v>0</v>
      </c>
      <c r="R40" s="76">
        <v>0</v>
      </c>
      <c r="S40" s="76">
        <v>0</v>
      </c>
    </row>
    <row r="41" spans="1:19" x14ac:dyDescent="0.2">
      <c r="A41" s="13"/>
      <c r="B41" s="2" t="s">
        <v>93</v>
      </c>
      <c r="C41" s="10" t="s">
        <v>94</v>
      </c>
      <c r="E41" s="23"/>
      <c r="F41" s="13"/>
      <c r="G41" s="110" t="s">
        <v>95</v>
      </c>
      <c r="H41" s="77">
        <f>SUM(H42:H45)</f>
        <v>-266936</v>
      </c>
      <c r="I41" s="77">
        <f t="shared" ref="I41:R41" si="10">SUM(I42:I45)</f>
        <v>-193396</v>
      </c>
      <c r="J41" s="77">
        <f t="shared" si="10"/>
        <v>-182223</v>
      </c>
      <c r="K41" s="77">
        <f t="shared" si="10"/>
        <v>-199837</v>
      </c>
      <c r="L41" s="77">
        <f t="shared" si="10"/>
        <v>-343012</v>
      </c>
      <c r="M41" s="77">
        <f t="shared" si="10"/>
        <v>-513231.64</v>
      </c>
      <c r="N41" s="77">
        <f t="shared" si="10"/>
        <v>-527176.86</v>
      </c>
      <c r="O41" s="77">
        <f t="shared" si="10"/>
        <v>-746150</v>
      </c>
      <c r="P41" s="77">
        <f t="shared" si="10"/>
        <v>-690770</v>
      </c>
      <c r="Q41" s="77">
        <f t="shared" si="10"/>
        <v>-777962</v>
      </c>
      <c r="R41" s="77">
        <f t="shared" si="10"/>
        <v>-708146</v>
      </c>
      <c r="S41" s="77">
        <f>SUM(S42:S45)</f>
        <v>-799972</v>
      </c>
    </row>
    <row r="42" spans="1:19" ht="12" x14ac:dyDescent="0.2">
      <c r="B42" s="2" t="s">
        <v>96</v>
      </c>
      <c r="C42" s="10">
        <v>50</v>
      </c>
      <c r="E42" s="11" t="s">
        <v>89</v>
      </c>
      <c r="G42" s="110" t="s">
        <v>97</v>
      </c>
      <c r="H42" s="76">
        <v>-126855</v>
      </c>
      <c r="I42" s="76">
        <v>-105533</v>
      </c>
      <c r="J42" s="76">
        <v>-93146</v>
      </c>
      <c r="K42" s="76">
        <v>-113013</v>
      </c>
      <c r="L42" s="76">
        <v>-137163</v>
      </c>
      <c r="M42" s="76">
        <f>-161839.82</f>
        <v>-161839.82</v>
      </c>
      <c r="N42" s="76">
        <v>-189314.02</v>
      </c>
      <c r="O42" s="76">
        <v>-234150</v>
      </c>
      <c r="P42" s="76">
        <v>-242436</v>
      </c>
      <c r="Q42" s="76">
        <v>-260628</v>
      </c>
      <c r="R42" s="76">
        <v>-247812</v>
      </c>
      <c r="S42" s="76">
        <v>-260628</v>
      </c>
    </row>
    <row r="43" spans="1:19" ht="12" x14ac:dyDescent="0.2">
      <c r="B43" s="2" t="s">
        <v>98</v>
      </c>
      <c r="C43" s="10">
        <v>55</v>
      </c>
      <c r="E43" s="11" t="s">
        <v>89</v>
      </c>
      <c r="G43" s="110" t="s">
        <v>99</v>
      </c>
      <c r="H43" s="76">
        <v>-134727</v>
      </c>
      <c r="I43" s="76">
        <v>-73340</v>
      </c>
      <c r="J43" s="76">
        <f>-79311</f>
        <v>-79311</v>
      </c>
      <c r="K43" s="76">
        <v>-66125</v>
      </c>
      <c r="L43" s="76">
        <v>-168707</v>
      </c>
      <c r="M43" s="76">
        <v>-193431.25</v>
      </c>
      <c r="N43" s="76">
        <v>-211663.11</v>
      </c>
      <c r="O43" s="76">
        <v>-395000</v>
      </c>
      <c r="P43" s="76">
        <v>-302000</v>
      </c>
      <c r="Q43" s="76">
        <v>-360000</v>
      </c>
      <c r="R43" s="76">
        <v>-302000</v>
      </c>
      <c r="S43" s="76">
        <v>-360000</v>
      </c>
    </row>
    <row r="44" spans="1:19" ht="12" x14ac:dyDescent="0.2">
      <c r="A44" s="13"/>
      <c r="B44" s="2" t="s">
        <v>100</v>
      </c>
      <c r="C44" s="10">
        <v>60</v>
      </c>
      <c r="E44" s="11" t="s">
        <v>89</v>
      </c>
      <c r="F44" s="13"/>
      <c r="G44" s="110" t="s">
        <v>101</v>
      </c>
      <c r="H44" s="76">
        <f>-4304-15</f>
        <v>-4319</v>
      </c>
      <c r="I44" s="76">
        <f>-13703-13</f>
        <v>-13716</v>
      </c>
      <c r="J44" s="76">
        <f>-8890</f>
        <v>-8890</v>
      </c>
      <c r="K44" s="76">
        <f>-18428</f>
        <v>-18428</v>
      </c>
      <c r="L44" s="76">
        <v>-32113</v>
      </c>
      <c r="M44" s="76">
        <f>-141582.23-7923.34</f>
        <v>-149505.57</v>
      </c>
      <c r="N44" s="76">
        <f>-103078.76-7988.97</f>
        <v>-111067.73</v>
      </c>
      <c r="O44" s="76">
        <v>-101000</v>
      </c>
      <c r="P44" s="76">
        <v>-102000</v>
      </c>
      <c r="Q44" s="76">
        <v>-103000</v>
      </c>
      <c r="R44" s="76">
        <v>-104000</v>
      </c>
      <c r="S44" s="76">
        <v>-105000</v>
      </c>
    </row>
    <row r="45" spans="1:19" ht="12" x14ac:dyDescent="0.2">
      <c r="B45" s="2" t="s">
        <v>102</v>
      </c>
      <c r="C45" s="10">
        <v>61</v>
      </c>
      <c r="E45" s="11" t="s">
        <v>89</v>
      </c>
      <c r="G45" s="110" t="s">
        <v>103</v>
      </c>
      <c r="H45" s="76">
        <v>-1035</v>
      </c>
      <c r="I45" s="76">
        <v>-807</v>
      </c>
      <c r="J45" s="76">
        <v>-876</v>
      </c>
      <c r="K45" s="76">
        <v>-2271</v>
      </c>
      <c r="L45" s="76">
        <v>-5029</v>
      </c>
      <c r="M45" s="76">
        <v>-8455</v>
      </c>
      <c r="N45" s="76">
        <v>-15132</v>
      </c>
      <c r="O45" s="76">
        <v>-16000</v>
      </c>
      <c r="P45" s="76">
        <v>-44334</v>
      </c>
      <c r="Q45" s="76">
        <v>-54334</v>
      </c>
      <c r="R45" s="76">
        <v>-54334</v>
      </c>
      <c r="S45" s="76">
        <v>-74344</v>
      </c>
    </row>
    <row r="46" spans="1:19" x14ac:dyDescent="0.2">
      <c r="B46" s="2" t="s">
        <v>104</v>
      </c>
      <c r="G46" s="110" t="s">
        <v>105</v>
      </c>
      <c r="H46" s="77">
        <f>H33+H38+H41</f>
        <v>22445</v>
      </c>
      <c r="I46" s="77">
        <f t="shared" ref="I46:R46" si="11">I33+I38+I41</f>
        <v>25680</v>
      </c>
      <c r="J46" s="77">
        <f t="shared" si="11"/>
        <v>37812</v>
      </c>
      <c r="K46" s="77">
        <f t="shared" si="11"/>
        <v>-108</v>
      </c>
      <c r="L46" s="77">
        <f t="shared" si="11"/>
        <v>-35145</v>
      </c>
      <c r="M46" s="77">
        <f t="shared" si="11"/>
        <v>131435.35999999999</v>
      </c>
      <c r="N46" s="77">
        <f t="shared" si="11"/>
        <v>-989.40000000002328</v>
      </c>
      <c r="O46" s="77">
        <f t="shared" si="11"/>
        <v>5850</v>
      </c>
      <c r="P46" s="77">
        <f t="shared" si="11"/>
        <v>-5770</v>
      </c>
      <c r="Q46" s="77">
        <f t="shared" si="11"/>
        <v>37038</v>
      </c>
      <c r="R46" s="77">
        <f t="shared" si="11"/>
        <v>-22146</v>
      </c>
      <c r="S46" s="77">
        <f>S33+S38+S41</f>
        <v>15028</v>
      </c>
    </row>
    <row r="47" spans="1:19" ht="12" x14ac:dyDescent="0.2">
      <c r="B47" s="2" t="s">
        <v>106</v>
      </c>
      <c r="C47" s="10">
        <v>65</v>
      </c>
      <c r="E47" s="11" t="s">
        <v>72</v>
      </c>
      <c r="G47" s="110" t="s">
        <v>107</v>
      </c>
      <c r="H47" s="76">
        <v>22</v>
      </c>
      <c r="I47" s="76">
        <v>26</v>
      </c>
      <c r="J47" s="76">
        <v>7</v>
      </c>
      <c r="K47" s="76">
        <v>5</v>
      </c>
      <c r="L47" s="76">
        <v>6</v>
      </c>
      <c r="M47" s="76">
        <f>19.15+34</f>
        <v>53.15</v>
      </c>
      <c r="N47" s="76">
        <f>16.81+1028</f>
        <v>1044.81</v>
      </c>
      <c r="O47" s="76">
        <v>0</v>
      </c>
      <c r="P47" s="76">
        <v>0</v>
      </c>
      <c r="Q47" s="76">
        <v>0</v>
      </c>
      <c r="R47" s="76">
        <v>0</v>
      </c>
      <c r="S47" s="76">
        <v>0</v>
      </c>
    </row>
    <row r="48" spans="1:19" x14ac:dyDescent="0.2">
      <c r="B48" s="2" t="s">
        <v>108</v>
      </c>
      <c r="G48" s="110" t="s">
        <v>109</v>
      </c>
      <c r="H48" s="77">
        <f>H46+H47</f>
        <v>22467</v>
      </c>
      <c r="I48" s="77">
        <f t="shared" ref="I48:R48" si="12">I46+I47</f>
        <v>25706</v>
      </c>
      <c r="J48" s="77">
        <f t="shared" si="12"/>
        <v>37819</v>
      </c>
      <c r="K48" s="77">
        <f t="shared" si="12"/>
        <v>-103</v>
      </c>
      <c r="L48" s="77">
        <f t="shared" si="12"/>
        <v>-35139</v>
      </c>
      <c r="M48" s="77">
        <f t="shared" si="12"/>
        <v>131488.50999999998</v>
      </c>
      <c r="N48" s="77">
        <f t="shared" si="12"/>
        <v>55.409999999976662</v>
      </c>
      <c r="O48" s="77">
        <f t="shared" si="12"/>
        <v>5850</v>
      </c>
      <c r="P48" s="77">
        <f t="shared" si="12"/>
        <v>-5770</v>
      </c>
      <c r="Q48" s="77">
        <f t="shared" si="12"/>
        <v>37038</v>
      </c>
      <c r="R48" s="77">
        <f t="shared" si="12"/>
        <v>-22146</v>
      </c>
      <c r="S48" s="77">
        <f>S46+S47</f>
        <v>15028</v>
      </c>
    </row>
    <row r="49" spans="1:19" ht="12" x14ac:dyDescent="0.2">
      <c r="B49" s="2" t="s">
        <v>110</v>
      </c>
      <c r="C49" s="10">
        <v>68</v>
      </c>
      <c r="E49" s="11" t="s">
        <v>89</v>
      </c>
      <c r="G49" s="110" t="s">
        <v>111</v>
      </c>
      <c r="H49" s="76">
        <v>0</v>
      </c>
      <c r="I49" s="76">
        <v>0</v>
      </c>
      <c r="J49" s="76">
        <v>0</v>
      </c>
      <c r="K49" s="76">
        <v>0</v>
      </c>
      <c r="L49" s="76">
        <v>0</v>
      </c>
      <c r="M49" s="76">
        <v>0</v>
      </c>
      <c r="N49" s="76">
        <v>0</v>
      </c>
      <c r="O49" s="76">
        <v>0</v>
      </c>
      <c r="P49" s="76">
        <v>0</v>
      </c>
      <c r="Q49" s="76">
        <v>0</v>
      </c>
      <c r="R49" s="76">
        <v>0</v>
      </c>
      <c r="S49" s="76">
        <v>0</v>
      </c>
    </row>
    <row r="50" spans="1:19" ht="12" x14ac:dyDescent="0.2">
      <c r="B50" s="2" t="s">
        <v>112</v>
      </c>
      <c r="C50" s="10">
        <v>69</v>
      </c>
      <c r="E50" s="11" t="s">
        <v>11</v>
      </c>
      <c r="G50" s="110" t="s">
        <v>113</v>
      </c>
      <c r="H50" s="76">
        <v>0</v>
      </c>
      <c r="I50" s="76">
        <v>0</v>
      </c>
      <c r="J50" s="76">
        <v>0</v>
      </c>
      <c r="K50" s="76">
        <v>0</v>
      </c>
      <c r="L50" s="76">
        <v>0</v>
      </c>
      <c r="M50" s="76">
        <v>0</v>
      </c>
      <c r="N50" s="76">
        <v>0</v>
      </c>
      <c r="O50" s="76">
        <v>0</v>
      </c>
      <c r="P50" s="76">
        <v>0</v>
      </c>
      <c r="Q50" s="76">
        <v>0</v>
      </c>
      <c r="R50" s="76">
        <v>0</v>
      </c>
      <c r="S50" s="76">
        <v>0</v>
      </c>
    </row>
    <row r="51" spans="1:19" x14ac:dyDescent="0.2">
      <c r="B51" s="2" t="s">
        <v>114</v>
      </c>
      <c r="G51" s="110" t="s">
        <v>115</v>
      </c>
      <c r="H51" s="77">
        <f>H48+H49+H50</f>
        <v>22467</v>
      </c>
      <c r="I51" s="77">
        <f t="shared" ref="I51:R51" si="13">I48+I49+I50</f>
        <v>25706</v>
      </c>
      <c r="J51" s="77">
        <f t="shared" si="13"/>
        <v>37819</v>
      </c>
      <c r="K51" s="77">
        <f t="shared" si="13"/>
        <v>-103</v>
      </c>
      <c r="L51" s="77">
        <f t="shared" si="13"/>
        <v>-35139</v>
      </c>
      <c r="M51" s="77">
        <f t="shared" si="13"/>
        <v>131488.50999999998</v>
      </c>
      <c r="N51" s="77">
        <f t="shared" si="13"/>
        <v>55.409999999976662</v>
      </c>
      <c r="O51" s="77">
        <f t="shared" si="13"/>
        <v>5850</v>
      </c>
      <c r="P51" s="77">
        <f t="shared" si="13"/>
        <v>-5770</v>
      </c>
      <c r="Q51" s="77">
        <f t="shared" si="13"/>
        <v>37038</v>
      </c>
      <c r="R51" s="77">
        <f t="shared" si="13"/>
        <v>-22146</v>
      </c>
      <c r="S51" s="77">
        <f>S48+S49+S50</f>
        <v>15028</v>
      </c>
    </row>
    <row r="52" spans="1:19" x14ac:dyDescent="0.2">
      <c r="A52" s="24"/>
      <c r="C52" s="25"/>
      <c r="D52" s="25"/>
      <c r="E52" s="26"/>
      <c r="F52" s="24"/>
      <c r="G52" s="440" t="s">
        <v>116</v>
      </c>
      <c r="H52" s="85">
        <f>H30-H51</f>
        <v>0</v>
      </c>
      <c r="I52" s="85">
        <f t="shared" ref="I52:R52" si="14">I30-I51</f>
        <v>0</v>
      </c>
      <c r="J52" s="85">
        <f t="shared" si="14"/>
        <v>0</v>
      </c>
      <c r="K52" s="85">
        <f t="shared" si="14"/>
        <v>0</v>
      </c>
      <c r="L52" s="85">
        <f t="shared" si="14"/>
        <v>0</v>
      </c>
      <c r="M52" s="85">
        <f t="shared" si="14"/>
        <v>0.4900000000197906</v>
      </c>
      <c r="N52" s="85">
        <f t="shared" si="14"/>
        <v>-0.40999999997666237</v>
      </c>
      <c r="O52" s="85">
        <f t="shared" si="14"/>
        <v>0</v>
      </c>
      <c r="P52" s="85">
        <f t="shared" si="14"/>
        <v>0</v>
      </c>
      <c r="Q52" s="85">
        <f t="shared" si="14"/>
        <v>0</v>
      </c>
      <c r="R52" s="85">
        <f t="shared" si="14"/>
        <v>0</v>
      </c>
      <c r="S52" s="85">
        <f>S30-S51</f>
        <v>0</v>
      </c>
    </row>
    <row r="53" spans="1:19" x14ac:dyDescent="0.2">
      <c r="G53" s="27" t="s">
        <v>117</v>
      </c>
    </row>
    <row r="54" spans="1:19" ht="12" x14ac:dyDescent="0.2">
      <c r="C54" s="10">
        <v>90</v>
      </c>
      <c r="E54" s="11" t="s">
        <v>11</v>
      </c>
      <c r="G54" s="27" t="s">
        <v>118</v>
      </c>
      <c r="H54" s="76">
        <v>11</v>
      </c>
      <c r="I54" s="76">
        <v>8</v>
      </c>
      <c r="J54" s="76">
        <v>7</v>
      </c>
      <c r="K54" s="76">
        <v>7</v>
      </c>
      <c r="L54" s="76">
        <v>8</v>
      </c>
      <c r="M54" s="76">
        <v>11</v>
      </c>
      <c r="N54" s="76">
        <v>10</v>
      </c>
      <c r="O54" s="76">
        <v>11</v>
      </c>
      <c r="P54" s="76">
        <v>11</v>
      </c>
      <c r="Q54" s="76">
        <v>11</v>
      </c>
      <c r="R54" s="76">
        <v>11</v>
      </c>
      <c r="S54" s="76">
        <v>11</v>
      </c>
    </row>
    <row r="55" spans="1:19" ht="12" x14ac:dyDescent="0.2">
      <c r="E55" s="11" t="s">
        <v>11</v>
      </c>
      <c r="G55" s="27" t="s">
        <v>119</v>
      </c>
      <c r="H55" s="76"/>
      <c r="I55" s="76"/>
      <c r="J55" s="76"/>
      <c r="K55" s="76"/>
      <c r="L55" s="88"/>
      <c r="M55" s="88"/>
      <c r="N55" s="88"/>
      <c r="O55" s="88"/>
      <c r="P55" s="88"/>
      <c r="Q55" s="88"/>
      <c r="R55" s="88"/>
      <c r="S55" s="88"/>
    </row>
    <row r="57" spans="1:19" x14ac:dyDescent="0.2">
      <c r="D57" s="29" t="s">
        <v>120</v>
      </c>
      <c r="E57" s="30" t="s">
        <v>3</v>
      </c>
      <c r="F57" s="9"/>
      <c r="G57" s="94" t="s">
        <v>121</v>
      </c>
      <c r="H57" s="87">
        <f>H32</f>
        <v>2011</v>
      </c>
      <c r="I57" s="87">
        <f t="shared" ref="I57:R57" si="15">I32</f>
        <v>2012</v>
      </c>
      <c r="J57" s="87">
        <f t="shared" si="15"/>
        <v>2013</v>
      </c>
      <c r="K57" s="87">
        <f t="shared" si="15"/>
        <v>2014</v>
      </c>
      <c r="L57" s="87">
        <f t="shared" si="15"/>
        <v>2015</v>
      </c>
      <c r="M57" s="87">
        <f t="shared" si="15"/>
        <v>2016</v>
      </c>
      <c r="N57" s="87">
        <f t="shared" si="15"/>
        <v>2017</v>
      </c>
      <c r="O57" s="87">
        <f t="shared" si="15"/>
        <v>2018</v>
      </c>
      <c r="P57" s="87">
        <f t="shared" si="15"/>
        <v>2019</v>
      </c>
      <c r="Q57" s="87">
        <f t="shared" si="15"/>
        <v>2020</v>
      </c>
      <c r="R57" s="87">
        <f t="shared" si="15"/>
        <v>2021</v>
      </c>
      <c r="S57" s="87">
        <f>S32</f>
        <v>2022</v>
      </c>
    </row>
    <row r="58" spans="1:19" ht="11.25" customHeight="1" x14ac:dyDescent="0.2">
      <c r="B58" s="31" t="s">
        <v>122</v>
      </c>
      <c r="C58" s="8" t="s">
        <v>123</v>
      </c>
      <c r="D58" s="32" t="s">
        <v>124</v>
      </c>
      <c r="E58" s="11" t="s">
        <v>89</v>
      </c>
      <c r="F58" s="12"/>
      <c r="G58" s="103" t="s">
        <v>125</v>
      </c>
      <c r="H58" s="76">
        <v>-1397</v>
      </c>
      <c r="I58" s="76">
        <v>-615</v>
      </c>
      <c r="J58" s="76">
        <v>-1846</v>
      </c>
      <c r="K58" s="76">
        <v>-16132</v>
      </c>
      <c r="L58" s="76">
        <v>-7141</v>
      </c>
      <c r="M58" s="76">
        <v>-27915</v>
      </c>
      <c r="N58" s="76">
        <v>-25951</v>
      </c>
      <c r="O58" s="76">
        <v>-100000</v>
      </c>
      <c r="P58" s="76">
        <v>-50000</v>
      </c>
      <c r="Q58" s="76">
        <v>-50000</v>
      </c>
      <c r="R58" s="76">
        <v>-2500000</v>
      </c>
      <c r="S58" s="76">
        <v>-100000</v>
      </c>
    </row>
    <row r="59" spans="1:19" ht="12" x14ac:dyDescent="0.2">
      <c r="B59" s="31" t="s">
        <v>126</v>
      </c>
      <c r="C59" s="33" t="s">
        <v>127</v>
      </c>
      <c r="D59" s="32" t="s">
        <v>128</v>
      </c>
      <c r="E59" s="11" t="s">
        <v>11</v>
      </c>
      <c r="F59" s="12"/>
      <c r="G59" s="158" t="s">
        <v>129</v>
      </c>
      <c r="H59" s="76">
        <v>0</v>
      </c>
      <c r="I59" s="76">
        <v>0</v>
      </c>
      <c r="J59" s="76">
        <v>0</v>
      </c>
      <c r="K59" s="76">
        <v>0</v>
      </c>
      <c r="L59" s="76">
        <v>6000</v>
      </c>
      <c r="M59" s="76">
        <v>200950</v>
      </c>
      <c r="N59" s="76">
        <v>0</v>
      </c>
      <c r="O59" s="76">
        <v>0</v>
      </c>
      <c r="P59" s="76">
        <v>0</v>
      </c>
      <c r="Q59" s="76">
        <v>0</v>
      </c>
      <c r="R59" s="76">
        <v>0</v>
      </c>
      <c r="S59" s="76">
        <v>0</v>
      </c>
    </row>
    <row r="60" spans="1:19" ht="12" x14ac:dyDescent="0.2">
      <c r="B60" s="31" t="s">
        <v>130</v>
      </c>
      <c r="C60" s="34" t="s">
        <v>492</v>
      </c>
      <c r="D60" s="32" t="s">
        <v>131</v>
      </c>
      <c r="E60" s="11" t="s">
        <v>11</v>
      </c>
      <c r="F60" s="12"/>
      <c r="G60" s="110" t="s">
        <v>132</v>
      </c>
      <c r="H60" s="76">
        <v>0</v>
      </c>
      <c r="I60" s="76">
        <v>0</v>
      </c>
      <c r="J60" s="76">
        <v>0</v>
      </c>
      <c r="K60" s="76">
        <v>0</v>
      </c>
      <c r="L60" s="76">
        <v>0</v>
      </c>
      <c r="M60" s="76">
        <v>0</v>
      </c>
      <c r="N60" s="76">
        <v>0</v>
      </c>
      <c r="O60" s="76">
        <v>0</v>
      </c>
      <c r="P60" s="76">
        <v>0</v>
      </c>
      <c r="Q60" s="76">
        <v>0</v>
      </c>
      <c r="R60" s="76">
        <v>0</v>
      </c>
      <c r="S60" s="76">
        <v>0</v>
      </c>
    </row>
    <row r="61" spans="1:19" ht="12" x14ac:dyDescent="0.2">
      <c r="B61" s="31" t="s">
        <v>133</v>
      </c>
      <c r="C61" s="34" t="s">
        <v>134</v>
      </c>
      <c r="D61" s="34" t="s">
        <v>135</v>
      </c>
      <c r="E61" s="11" t="s">
        <v>89</v>
      </c>
      <c r="F61" s="12"/>
      <c r="G61" s="110" t="s">
        <v>136</v>
      </c>
      <c r="H61" s="76">
        <v>0</v>
      </c>
      <c r="I61" s="76">
        <v>0</v>
      </c>
      <c r="J61" s="76">
        <v>0</v>
      </c>
      <c r="K61" s="76">
        <v>0</v>
      </c>
      <c r="L61" s="76">
        <v>0</v>
      </c>
      <c r="M61" s="76">
        <v>0</v>
      </c>
      <c r="N61" s="76">
        <v>0</v>
      </c>
      <c r="O61" s="76">
        <v>0</v>
      </c>
      <c r="P61" s="76">
        <v>0</v>
      </c>
      <c r="Q61" s="76">
        <v>0</v>
      </c>
      <c r="R61" s="76">
        <v>0</v>
      </c>
      <c r="S61" s="76">
        <v>0</v>
      </c>
    </row>
    <row r="62" spans="1:19" ht="12" x14ac:dyDescent="0.2">
      <c r="B62" s="31" t="s">
        <v>137</v>
      </c>
      <c r="C62" s="10">
        <v>253800</v>
      </c>
      <c r="D62" s="34" t="s">
        <v>131</v>
      </c>
      <c r="E62" s="11" t="s">
        <v>11</v>
      </c>
      <c r="F62" s="12"/>
      <c r="G62" s="110" t="s">
        <v>138</v>
      </c>
      <c r="H62" s="76">
        <v>0</v>
      </c>
      <c r="I62" s="76">
        <v>0</v>
      </c>
      <c r="J62" s="76">
        <v>0</v>
      </c>
      <c r="K62" s="76">
        <v>0</v>
      </c>
      <c r="L62" s="76">
        <v>0</v>
      </c>
      <c r="M62" s="76">
        <v>0</v>
      </c>
      <c r="N62" s="76">
        <v>0</v>
      </c>
      <c r="O62" s="76">
        <v>0</v>
      </c>
      <c r="P62" s="76">
        <v>0</v>
      </c>
      <c r="Q62" s="76">
        <v>0</v>
      </c>
      <c r="R62" s="76">
        <v>0</v>
      </c>
      <c r="S62" s="76">
        <v>0</v>
      </c>
    </row>
    <row r="63" spans="1:19" ht="12" x14ac:dyDescent="0.2">
      <c r="B63" s="31" t="s">
        <v>139</v>
      </c>
      <c r="C63" s="10">
        <v>150</v>
      </c>
      <c r="D63" s="34" t="s">
        <v>135</v>
      </c>
      <c r="E63" s="11" t="s">
        <v>89</v>
      </c>
      <c r="F63" s="12"/>
      <c r="G63" s="110" t="s">
        <v>140</v>
      </c>
      <c r="H63" s="76">
        <v>0</v>
      </c>
      <c r="I63" s="76">
        <v>0</v>
      </c>
      <c r="J63" s="76">
        <v>0</v>
      </c>
      <c r="K63" s="76">
        <v>0</v>
      </c>
      <c r="L63" s="76">
        <v>0</v>
      </c>
      <c r="M63" s="76">
        <v>0</v>
      </c>
      <c r="N63" s="76">
        <v>0</v>
      </c>
      <c r="O63" s="76">
        <v>0</v>
      </c>
      <c r="P63" s="76">
        <v>0</v>
      </c>
      <c r="Q63" s="76">
        <v>0</v>
      </c>
      <c r="R63" s="76">
        <v>0</v>
      </c>
      <c r="S63" s="76">
        <v>0</v>
      </c>
    </row>
    <row r="64" spans="1:19" ht="12" x14ac:dyDescent="0.2">
      <c r="B64" s="31" t="s">
        <v>141</v>
      </c>
      <c r="C64" s="34" t="s">
        <v>142</v>
      </c>
      <c r="D64" s="34" t="s">
        <v>131</v>
      </c>
      <c r="E64" s="11" t="s">
        <v>11</v>
      </c>
      <c r="F64" s="12"/>
      <c r="G64" s="110" t="s">
        <v>143</v>
      </c>
      <c r="H64" s="76">
        <v>0</v>
      </c>
      <c r="I64" s="76">
        <v>0</v>
      </c>
      <c r="J64" s="76">
        <v>0</v>
      </c>
      <c r="K64" s="76">
        <v>0</v>
      </c>
      <c r="L64" s="76">
        <v>0</v>
      </c>
      <c r="M64" s="76">
        <v>0</v>
      </c>
      <c r="N64" s="76">
        <v>0</v>
      </c>
      <c r="O64" s="76">
        <v>0</v>
      </c>
      <c r="P64" s="76">
        <v>0</v>
      </c>
      <c r="Q64" s="76">
        <v>0</v>
      </c>
      <c r="R64" s="76">
        <v>0</v>
      </c>
      <c r="S64" s="76">
        <v>0</v>
      </c>
    </row>
    <row r="65" spans="2:19" ht="12" x14ac:dyDescent="0.2">
      <c r="B65" s="31" t="s">
        <v>144</v>
      </c>
      <c r="C65" s="8" t="s">
        <v>493</v>
      </c>
      <c r="D65" s="34" t="s">
        <v>135</v>
      </c>
      <c r="E65" s="11" t="s">
        <v>89</v>
      </c>
      <c r="F65" s="12"/>
      <c r="G65" s="110" t="s">
        <v>145</v>
      </c>
      <c r="H65" s="76">
        <v>0</v>
      </c>
      <c r="I65" s="76">
        <v>0</v>
      </c>
      <c r="J65" s="76">
        <v>0</v>
      </c>
      <c r="K65" s="76">
        <v>0</v>
      </c>
      <c r="L65" s="76">
        <v>0</v>
      </c>
      <c r="M65" s="76">
        <v>0</v>
      </c>
      <c r="N65" s="76">
        <v>0</v>
      </c>
      <c r="O65" s="76">
        <v>0</v>
      </c>
      <c r="P65" s="76">
        <v>0</v>
      </c>
      <c r="Q65" s="76">
        <v>0</v>
      </c>
      <c r="R65" s="76">
        <v>0</v>
      </c>
      <c r="S65" s="76">
        <v>0</v>
      </c>
    </row>
    <row r="66" spans="2:19" ht="12" x14ac:dyDescent="0.2">
      <c r="B66" s="31" t="s">
        <v>146</v>
      </c>
      <c r="C66" s="8" t="s">
        <v>493</v>
      </c>
      <c r="D66" s="34" t="s">
        <v>131</v>
      </c>
      <c r="E66" s="11" t="s">
        <v>11</v>
      </c>
      <c r="F66" s="12"/>
      <c r="G66" s="110" t="s">
        <v>147</v>
      </c>
      <c r="H66" s="76">
        <v>0</v>
      </c>
      <c r="I66" s="76">
        <v>0</v>
      </c>
      <c r="J66" s="76">
        <v>0</v>
      </c>
      <c r="K66" s="76">
        <v>0</v>
      </c>
      <c r="L66" s="76">
        <v>0</v>
      </c>
      <c r="M66" s="76">
        <v>0</v>
      </c>
      <c r="N66" s="76">
        <v>0</v>
      </c>
      <c r="O66" s="76">
        <v>0</v>
      </c>
      <c r="P66" s="76">
        <v>0</v>
      </c>
      <c r="Q66" s="76">
        <v>0</v>
      </c>
      <c r="R66" s="76">
        <v>0</v>
      </c>
      <c r="S66" s="76">
        <v>0</v>
      </c>
    </row>
    <row r="67" spans="2:19" ht="12" x14ac:dyDescent="0.2">
      <c r="B67" s="31" t="s">
        <v>148</v>
      </c>
      <c r="C67" s="8" t="s">
        <v>149</v>
      </c>
      <c r="D67" s="34" t="s">
        <v>135</v>
      </c>
      <c r="E67" s="11" t="s">
        <v>89</v>
      </c>
      <c r="F67" s="12"/>
      <c r="G67" s="110" t="s">
        <v>150</v>
      </c>
      <c r="H67" s="76">
        <v>0</v>
      </c>
      <c r="I67" s="76">
        <v>0</v>
      </c>
      <c r="J67" s="76">
        <v>0</v>
      </c>
      <c r="K67" s="76">
        <v>0</v>
      </c>
      <c r="L67" s="76">
        <v>0</v>
      </c>
      <c r="M67" s="76">
        <v>0</v>
      </c>
      <c r="N67" s="76">
        <v>0</v>
      </c>
      <c r="O67" s="76">
        <v>0</v>
      </c>
      <c r="P67" s="76">
        <v>0</v>
      </c>
      <c r="Q67" s="76">
        <v>0</v>
      </c>
      <c r="R67" s="76">
        <v>0</v>
      </c>
      <c r="S67" s="76">
        <v>0</v>
      </c>
    </row>
    <row r="68" spans="2:19" ht="12" x14ac:dyDescent="0.2">
      <c r="B68" s="31" t="s">
        <v>151</v>
      </c>
      <c r="C68" s="8" t="s">
        <v>149</v>
      </c>
      <c r="D68" s="34" t="s">
        <v>131</v>
      </c>
      <c r="E68" s="11" t="s">
        <v>11</v>
      </c>
      <c r="F68" s="12"/>
      <c r="G68" s="110" t="s">
        <v>152</v>
      </c>
      <c r="H68" s="76">
        <v>0</v>
      </c>
      <c r="I68" s="76">
        <v>0</v>
      </c>
      <c r="J68" s="76">
        <v>0</v>
      </c>
      <c r="K68" s="76">
        <v>0</v>
      </c>
      <c r="L68" s="76">
        <v>0</v>
      </c>
      <c r="M68" s="76">
        <v>0</v>
      </c>
      <c r="N68" s="76">
        <v>0</v>
      </c>
      <c r="O68" s="76">
        <v>0</v>
      </c>
      <c r="P68" s="76">
        <v>0</v>
      </c>
      <c r="Q68" s="76">
        <v>0</v>
      </c>
      <c r="R68" s="76">
        <v>0</v>
      </c>
      <c r="S68" s="76">
        <v>0</v>
      </c>
    </row>
    <row r="69" spans="2:19" ht="12" x14ac:dyDescent="0.2">
      <c r="B69" s="31" t="s">
        <v>153</v>
      </c>
      <c r="C69" s="34" t="s">
        <v>142</v>
      </c>
      <c r="D69" s="34" t="s">
        <v>131</v>
      </c>
      <c r="E69" s="11" t="s">
        <v>11</v>
      </c>
      <c r="F69" s="12"/>
      <c r="G69" s="110" t="s">
        <v>154</v>
      </c>
      <c r="H69" s="76">
        <v>0</v>
      </c>
      <c r="I69" s="76">
        <v>0</v>
      </c>
      <c r="J69" s="76">
        <v>0</v>
      </c>
      <c r="K69" s="76">
        <v>0</v>
      </c>
      <c r="L69" s="76">
        <v>0</v>
      </c>
      <c r="M69" s="76">
        <v>0</v>
      </c>
      <c r="N69" s="76">
        <v>0</v>
      </c>
      <c r="O69" s="76">
        <v>0</v>
      </c>
      <c r="P69" s="76">
        <v>0</v>
      </c>
      <c r="Q69" s="76">
        <v>0</v>
      </c>
      <c r="R69" s="76">
        <v>0</v>
      </c>
      <c r="S69" s="76">
        <v>0</v>
      </c>
    </row>
    <row r="70" spans="2:19" ht="12" x14ac:dyDescent="0.2">
      <c r="B70" s="31" t="s">
        <v>155</v>
      </c>
      <c r="C70" s="35" t="s">
        <v>156</v>
      </c>
      <c r="D70" s="8"/>
      <c r="E70" s="11" t="s">
        <v>72</v>
      </c>
      <c r="F70" s="12"/>
      <c r="G70" s="110" t="s">
        <v>107</v>
      </c>
      <c r="H70" s="76">
        <v>22</v>
      </c>
      <c r="I70" s="76">
        <v>26</v>
      </c>
      <c r="J70" s="76">
        <v>7</v>
      </c>
      <c r="K70" s="76">
        <v>5</v>
      </c>
      <c r="L70" s="76">
        <v>6</v>
      </c>
      <c r="M70" s="76">
        <v>0</v>
      </c>
      <c r="N70" s="76">
        <v>0</v>
      </c>
      <c r="O70" s="76">
        <v>0</v>
      </c>
      <c r="P70" s="76">
        <v>0</v>
      </c>
      <c r="Q70" s="76">
        <v>0</v>
      </c>
      <c r="R70" s="76">
        <v>0</v>
      </c>
      <c r="S70" s="76">
        <v>0</v>
      </c>
    </row>
    <row r="71" spans="2:19" x14ac:dyDescent="0.2">
      <c r="B71" s="31" t="s">
        <v>157</v>
      </c>
      <c r="D71" s="8"/>
      <c r="E71" s="12"/>
      <c r="F71" s="12"/>
      <c r="G71" s="100" t="s">
        <v>158</v>
      </c>
      <c r="H71" s="77">
        <f t="shared" ref="H71:R71" si="16">SUM(H58:H70)</f>
        <v>-1375</v>
      </c>
      <c r="I71" s="77">
        <f t="shared" si="16"/>
        <v>-589</v>
      </c>
      <c r="J71" s="77">
        <f t="shared" si="16"/>
        <v>-1839</v>
      </c>
      <c r="K71" s="77">
        <f t="shared" si="16"/>
        <v>-16127</v>
      </c>
      <c r="L71" s="77">
        <f t="shared" si="16"/>
        <v>-1135</v>
      </c>
      <c r="M71" s="77">
        <f t="shared" si="16"/>
        <v>173035</v>
      </c>
      <c r="N71" s="77">
        <f t="shared" si="16"/>
        <v>-25951</v>
      </c>
      <c r="O71" s="77">
        <f t="shared" si="16"/>
        <v>-100000</v>
      </c>
      <c r="P71" s="77">
        <f t="shared" si="16"/>
        <v>-50000</v>
      </c>
      <c r="Q71" s="77">
        <f t="shared" si="16"/>
        <v>-50000</v>
      </c>
      <c r="R71" s="77">
        <f t="shared" si="16"/>
        <v>-2500000</v>
      </c>
      <c r="S71" s="77">
        <f>SUM(S58:S70)</f>
        <v>-100000</v>
      </c>
    </row>
    <row r="72" spans="2:19" x14ac:dyDescent="0.2">
      <c r="D72" s="8"/>
    </row>
    <row r="73" spans="2:19" x14ac:dyDescent="0.2">
      <c r="D73" s="29" t="s">
        <v>120</v>
      </c>
      <c r="E73" s="30" t="s">
        <v>3</v>
      </c>
      <c r="F73" s="9"/>
      <c r="G73" s="94" t="s">
        <v>159</v>
      </c>
      <c r="H73" s="87">
        <f t="shared" ref="H73:R73" si="17">H57</f>
        <v>2011</v>
      </c>
      <c r="I73" s="87">
        <f t="shared" si="17"/>
        <v>2012</v>
      </c>
      <c r="J73" s="87">
        <f t="shared" si="17"/>
        <v>2013</v>
      </c>
      <c r="K73" s="87">
        <f t="shared" si="17"/>
        <v>2014</v>
      </c>
      <c r="L73" s="87">
        <f t="shared" si="17"/>
        <v>2015</v>
      </c>
      <c r="M73" s="87">
        <f t="shared" si="17"/>
        <v>2016</v>
      </c>
      <c r="N73" s="87">
        <f t="shared" si="17"/>
        <v>2017</v>
      </c>
      <c r="O73" s="87">
        <f t="shared" si="17"/>
        <v>2018</v>
      </c>
      <c r="P73" s="87">
        <f t="shared" si="17"/>
        <v>2019</v>
      </c>
      <c r="Q73" s="87">
        <f t="shared" si="17"/>
        <v>2020</v>
      </c>
      <c r="R73" s="87">
        <f t="shared" si="17"/>
        <v>2021</v>
      </c>
      <c r="S73" s="87">
        <f>S57</f>
        <v>2022</v>
      </c>
    </row>
    <row r="74" spans="2:19" ht="12" x14ac:dyDescent="0.2">
      <c r="B74" s="2" t="s">
        <v>160</v>
      </c>
      <c r="C74" s="34" t="s">
        <v>161</v>
      </c>
      <c r="D74" s="34" t="s">
        <v>128</v>
      </c>
      <c r="E74" s="11" t="s">
        <v>11</v>
      </c>
      <c r="G74" s="103" t="s">
        <v>162</v>
      </c>
      <c r="H74" s="76">
        <v>0</v>
      </c>
      <c r="I74" s="76">
        <v>0</v>
      </c>
      <c r="J74" s="76">
        <v>0</v>
      </c>
      <c r="K74" s="76">
        <v>0</v>
      </c>
      <c r="L74" s="76">
        <v>0</v>
      </c>
      <c r="M74" s="76">
        <v>0</v>
      </c>
      <c r="N74" s="76">
        <v>0</v>
      </c>
      <c r="O74" s="76">
        <v>0</v>
      </c>
      <c r="P74" s="76">
        <v>0</v>
      </c>
      <c r="Q74" s="76">
        <v>0</v>
      </c>
      <c r="R74" s="76">
        <v>0</v>
      </c>
      <c r="S74" s="76">
        <v>0</v>
      </c>
    </row>
    <row r="75" spans="2:19" ht="12" x14ac:dyDescent="0.2">
      <c r="B75" s="2" t="s">
        <v>163</v>
      </c>
      <c r="C75" s="34" t="s">
        <v>161</v>
      </c>
      <c r="D75" s="34" t="s">
        <v>124</v>
      </c>
      <c r="E75" s="11" t="s">
        <v>89</v>
      </c>
      <c r="F75" s="12"/>
      <c r="G75" s="110" t="s">
        <v>164</v>
      </c>
      <c r="H75" s="76">
        <v>0</v>
      </c>
      <c r="I75" s="76">
        <v>0</v>
      </c>
      <c r="J75" s="76">
        <v>0</v>
      </c>
      <c r="K75" s="76">
        <v>0</v>
      </c>
      <c r="L75" s="76">
        <v>0</v>
      </c>
      <c r="M75" s="76">
        <v>0</v>
      </c>
      <c r="N75" s="76">
        <v>0</v>
      </c>
      <c r="O75" s="76">
        <v>0</v>
      </c>
      <c r="P75" s="76">
        <v>0</v>
      </c>
      <c r="Q75" s="76">
        <v>0</v>
      </c>
      <c r="R75" s="76">
        <v>0</v>
      </c>
      <c r="S75" s="76">
        <v>0</v>
      </c>
    </row>
    <row r="76" spans="2:19" ht="12" x14ac:dyDescent="0.2">
      <c r="B76" s="2" t="s">
        <v>165</v>
      </c>
      <c r="C76" s="34" t="s">
        <v>166</v>
      </c>
      <c r="D76" s="34" t="s">
        <v>131</v>
      </c>
      <c r="E76" s="11" t="s">
        <v>11</v>
      </c>
      <c r="G76" s="110" t="s">
        <v>167</v>
      </c>
      <c r="H76" s="76">
        <v>0</v>
      </c>
      <c r="I76" s="76">
        <v>0</v>
      </c>
      <c r="J76" s="76">
        <v>0</v>
      </c>
      <c r="K76" s="76">
        <v>0</v>
      </c>
      <c r="L76" s="76">
        <v>0</v>
      </c>
      <c r="M76" s="76">
        <v>0</v>
      </c>
      <c r="N76" s="76">
        <v>0</v>
      </c>
      <c r="O76" s="76">
        <v>0</v>
      </c>
      <c r="P76" s="76">
        <v>0</v>
      </c>
      <c r="Q76" s="76">
        <v>0</v>
      </c>
      <c r="R76" s="76">
        <v>0</v>
      </c>
      <c r="S76" s="76">
        <v>0</v>
      </c>
    </row>
    <row r="77" spans="2:19" ht="12" x14ac:dyDescent="0.2">
      <c r="B77" s="2" t="s">
        <v>168</v>
      </c>
      <c r="C77" s="34" t="s">
        <v>166</v>
      </c>
      <c r="D77" s="34" t="s">
        <v>135</v>
      </c>
      <c r="E77" s="11" t="s">
        <v>89</v>
      </c>
      <c r="F77" s="12"/>
      <c r="G77" s="110" t="s">
        <v>169</v>
      </c>
      <c r="H77" s="76">
        <v>0</v>
      </c>
      <c r="I77" s="76">
        <v>0</v>
      </c>
      <c r="J77" s="76">
        <v>0</v>
      </c>
      <c r="K77" s="76">
        <v>0</v>
      </c>
      <c r="L77" s="76">
        <v>0</v>
      </c>
      <c r="M77" s="76">
        <v>0</v>
      </c>
      <c r="N77" s="76">
        <v>0</v>
      </c>
      <c r="O77" s="76">
        <v>0</v>
      </c>
      <c r="P77" s="76">
        <v>0</v>
      </c>
      <c r="Q77" s="76">
        <v>0</v>
      </c>
      <c r="R77" s="76">
        <v>0</v>
      </c>
      <c r="S77" s="76">
        <v>0</v>
      </c>
    </row>
    <row r="78" spans="2:19" ht="12" x14ac:dyDescent="0.2">
      <c r="B78" s="2" t="s">
        <v>170</v>
      </c>
      <c r="C78" s="34" t="s">
        <v>171</v>
      </c>
      <c r="D78" s="34" t="s">
        <v>135</v>
      </c>
      <c r="E78" s="11" t="s">
        <v>89</v>
      </c>
      <c r="F78" s="12"/>
      <c r="G78" s="110" t="s">
        <v>172</v>
      </c>
      <c r="H78" s="76">
        <v>0</v>
      </c>
      <c r="I78" s="76">
        <v>0</v>
      </c>
      <c r="J78" s="76">
        <v>0</v>
      </c>
      <c r="K78" s="76">
        <v>0</v>
      </c>
      <c r="L78" s="76">
        <v>0</v>
      </c>
      <c r="M78" s="76">
        <v>0</v>
      </c>
      <c r="N78" s="76">
        <v>0</v>
      </c>
      <c r="O78" s="76">
        <v>0</v>
      </c>
      <c r="P78" s="76">
        <v>0</v>
      </c>
      <c r="Q78" s="76">
        <v>0</v>
      </c>
      <c r="R78" s="76">
        <v>0</v>
      </c>
      <c r="S78" s="76">
        <v>0</v>
      </c>
    </row>
    <row r="79" spans="2:19" ht="12" x14ac:dyDescent="0.2">
      <c r="B79" s="2" t="s">
        <v>173</v>
      </c>
      <c r="C79" s="34" t="s">
        <v>174</v>
      </c>
      <c r="D79" s="34" t="s">
        <v>135</v>
      </c>
      <c r="E79" s="11" t="s">
        <v>89</v>
      </c>
      <c r="F79" s="12"/>
      <c r="G79" s="110" t="s">
        <v>175</v>
      </c>
      <c r="H79" s="76">
        <v>0</v>
      </c>
      <c r="I79" s="76">
        <v>0</v>
      </c>
      <c r="J79" s="76">
        <v>0</v>
      </c>
      <c r="K79" s="76">
        <v>0</v>
      </c>
      <c r="L79" s="76">
        <v>0</v>
      </c>
      <c r="M79" s="76">
        <v>0</v>
      </c>
      <c r="N79" s="76">
        <v>0</v>
      </c>
      <c r="O79" s="76">
        <v>0</v>
      </c>
      <c r="P79" s="76">
        <v>0</v>
      </c>
      <c r="Q79" s="76">
        <v>0</v>
      </c>
      <c r="R79" s="76">
        <v>0</v>
      </c>
      <c r="S79" s="76">
        <v>0</v>
      </c>
    </row>
    <row r="80" spans="2:19" ht="12" x14ac:dyDescent="0.2">
      <c r="B80" s="2" t="s">
        <v>176</v>
      </c>
      <c r="C80" s="34" t="s">
        <v>177</v>
      </c>
      <c r="D80" s="34" t="s">
        <v>135</v>
      </c>
      <c r="E80" s="11" t="s">
        <v>89</v>
      </c>
      <c r="F80" s="12"/>
      <c r="G80" s="110" t="s">
        <v>178</v>
      </c>
      <c r="H80" s="76">
        <v>0</v>
      </c>
      <c r="I80" s="76">
        <v>0</v>
      </c>
      <c r="J80" s="76">
        <v>0</v>
      </c>
      <c r="K80" s="76">
        <v>0</v>
      </c>
      <c r="L80" s="76">
        <v>0</v>
      </c>
      <c r="M80" s="76">
        <v>0</v>
      </c>
      <c r="N80" s="76">
        <v>0</v>
      </c>
      <c r="O80" s="76">
        <v>0</v>
      </c>
      <c r="P80" s="76">
        <v>0</v>
      </c>
      <c r="Q80" s="76">
        <v>0</v>
      </c>
      <c r="R80" s="76">
        <v>0</v>
      </c>
      <c r="S80" s="76">
        <v>0</v>
      </c>
    </row>
    <row r="81" spans="1:19" ht="12" x14ac:dyDescent="0.2">
      <c r="B81" s="2" t="s">
        <v>179</v>
      </c>
      <c r="C81" s="34" t="s">
        <v>52</v>
      </c>
      <c r="D81" s="34" t="s">
        <v>135</v>
      </c>
      <c r="E81" s="11" t="s">
        <v>89</v>
      </c>
      <c r="F81" s="12"/>
      <c r="G81" s="110" t="s">
        <v>180</v>
      </c>
      <c r="H81" s="76">
        <v>0</v>
      </c>
      <c r="I81" s="76">
        <v>0</v>
      </c>
      <c r="J81" s="76">
        <v>0</v>
      </c>
      <c r="K81" s="76">
        <v>0</v>
      </c>
      <c r="L81" s="76">
        <v>0</v>
      </c>
      <c r="M81" s="76">
        <v>0</v>
      </c>
      <c r="N81" s="76">
        <v>0</v>
      </c>
      <c r="O81" s="76">
        <v>0</v>
      </c>
      <c r="P81" s="76">
        <v>0</v>
      </c>
      <c r="Q81" s="76">
        <v>0</v>
      </c>
      <c r="R81" s="76">
        <v>0</v>
      </c>
      <c r="S81" s="76">
        <v>0</v>
      </c>
    </row>
    <row r="82" spans="1:19" ht="12" x14ac:dyDescent="0.2">
      <c r="B82" s="2" t="s">
        <v>181</v>
      </c>
      <c r="C82" s="34" t="s">
        <v>182</v>
      </c>
      <c r="D82" s="34" t="s">
        <v>131</v>
      </c>
      <c r="E82" s="11" t="s">
        <v>11</v>
      </c>
      <c r="G82" s="110" t="s">
        <v>183</v>
      </c>
      <c r="H82" s="76">
        <v>0</v>
      </c>
      <c r="I82" s="76">
        <v>0</v>
      </c>
      <c r="J82" s="76">
        <v>0</v>
      </c>
      <c r="K82" s="76">
        <v>0</v>
      </c>
      <c r="L82" s="76">
        <v>0</v>
      </c>
      <c r="M82" s="76">
        <v>0</v>
      </c>
      <c r="N82" s="76">
        <v>0</v>
      </c>
      <c r="O82" s="76">
        <v>0</v>
      </c>
      <c r="P82" s="76">
        <v>0</v>
      </c>
      <c r="Q82" s="76">
        <v>0</v>
      </c>
      <c r="R82" s="76">
        <v>0</v>
      </c>
      <c r="S82" s="76">
        <v>0</v>
      </c>
    </row>
    <row r="83" spans="1:19" ht="12" x14ac:dyDescent="0.2">
      <c r="B83" s="2" t="s">
        <v>184</v>
      </c>
      <c r="C83" s="34" t="s">
        <v>182</v>
      </c>
      <c r="D83" s="34" t="s">
        <v>135</v>
      </c>
      <c r="E83" s="11" t="s">
        <v>89</v>
      </c>
      <c r="F83" s="12"/>
      <c r="G83" s="110" t="s">
        <v>494</v>
      </c>
      <c r="H83" s="76">
        <v>0</v>
      </c>
      <c r="I83" s="76">
        <v>0</v>
      </c>
      <c r="J83" s="76">
        <v>0</v>
      </c>
      <c r="K83" s="76">
        <v>0</v>
      </c>
      <c r="L83" s="76">
        <v>0</v>
      </c>
      <c r="M83" s="76">
        <v>0</v>
      </c>
      <c r="N83" s="76">
        <v>0</v>
      </c>
      <c r="O83" s="76">
        <v>0</v>
      </c>
      <c r="P83" s="76">
        <v>0</v>
      </c>
      <c r="Q83" s="76">
        <v>0</v>
      </c>
      <c r="R83" s="76">
        <v>0</v>
      </c>
      <c r="S83" s="76">
        <v>0</v>
      </c>
    </row>
    <row r="84" spans="1:19" ht="12" x14ac:dyDescent="0.2">
      <c r="B84" s="2" t="s">
        <v>185</v>
      </c>
      <c r="C84" s="36">
        <v>68</v>
      </c>
      <c r="D84" s="34" t="s">
        <v>135</v>
      </c>
      <c r="E84" s="11" t="s">
        <v>89</v>
      </c>
      <c r="F84" s="12"/>
      <c r="G84" s="46" t="s">
        <v>111</v>
      </c>
      <c r="H84" s="76">
        <v>0</v>
      </c>
      <c r="I84" s="76">
        <v>0</v>
      </c>
      <c r="J84" s="76">
        <v>0</v>
      </c>
      <c r="K84" s="76">
        <v>0</v>
      </c>
      <c r="L84" s="76">
        <v>0</v>
      </c>
      <c r="M84" s="76">
        <v>0</v>
      </c>
      <c r="N84" s="76">
        <v>0</v>
      </c>
      <c r="O84" s="76">
        <v>0</v>
      </c>
      <c r="P84" s="76">
        <v>0</v>
      </c>
      <c r="Q84" s="76">
        <v>0</v>
      </c>
      <c r="R84" s="76">
        <v>0</v>
      </c>
      <c r="S84" s="76">
        <v>0</v>
      </c>
    </row>
    <row r="85" spans="1:19" x14ac:dyDescent="0.2">
      <c r="B85" s="2" t="s">
        <v>186</v>
      </c>
      <c r="G85" s="46" t="s">
        <v>158</v>
      </c>
      <c r="H85" s="77">
        <f t="shared" ref="H85:R85" si="18">SUM(H74:H84)</f>
        <v>0</v>
      </c>
      <c r="I85" s="77">
        <f t="shared" si="18"/>
        <v>0</v>
      </c>
      <c r="J85" s="77">
        <f t="shared" si="18"/>
        <v>0</v>
      </c>
      <c r="K85" s="77">
        <f t="shared" si="18"/>
        <v>0</v>
      </c>
      <c r="L85" s="77">
        <f t="shared" si="18"/>
        <v>0</v>
      </c>
      <c r="M85" s="77">
        <f t="shared" si="18"/>
        <v>0</v>
      </c>
      <c r="N85" s="77">
        <f t="shared" si="18"/>
        <v>0</v>
      </c>
      <c r="O85" s="77">
        <f t="shared" si="18"/>
        <v>0</v>
      </c>
      <c r="P85" s="77">
        <f t="shared" si="18"/>
        <v>0</v>
      </c>
      <c r="Q85" s="77">
        <f t="shared" si="18"/>
        <v>0</v>
      </c>
      <c r="R85" s="77">
        <f t="shared" si="18"/>
        <v>0</v>
      </c>
      <c r="S85" s="77">
        <f>SUM(S74:S84)</f>
        <v>0</v>
      </c>
    </row>
    <row r="87" spans="1:19" x14ac:dyDescent="0.2">
      <c r="A87" s="13" t="s">
        <v>0</v>
      </c>
      <c r="D87" s="753" t="s">
        <v>187</v>
      </c>
      <c r="E87" s="754"/>
      <c r="G87" s="94" t="s">
        <v>495</v>
      </c>
      <c r="H87" s="87">
        <f t="shared" ref="H87:R87" si="19">H32</f>
        <v>2011</v>
      </c>
      <c r="I87" s="87">
        <f t="shared" si="19"/>
        <v>2012</v>
      </c>
      <c r="J87" s="87">
        <f t="shared" si="19"/>
        <v>2013</v>
      </c>
      <c r="K87" s="87">
        <f t="shared" si="19"/>
        <v>2014</v>
      </c>
      <c r="L87" s="87">
        <f t="shared" si="19"/>
        <v>2015</v>
      </c>
      <c r="M87" s="87">
        <f t="shared" si="19"/>
        <v>2016</v>
      </c>
      <c r="N87" s="87">
        <f t="shared" si="19"/>
        <v>2017</v>
      </c>
      <c r="O87" s="87">
        <f t="shared" si="19"/>
        <v>2018</v>
      </c>
      <c r="P87" s="87">
        <f t="shared" si="19"/>
        <v>2019</v>
      </c>
      <c r="Q87" s="87">
        <f t="shared" si="19"/>
        <v>2020</v>
      </c>
      <c r="R87" s="87">
        <f t="shared" si="19"/>
        <v>2021</v>
      </c>
      <c r="S87" s="87">
        <f>S32</f>
        <v>2022</v>
      </c>
    </row>
    <row r="88" spans="1:19" x14ac:dyDescent="0.2">
      <c r="A88" s="8" t="s">
        <v>496</v>
      </c>
      <c r="B88" s="2" t="s">
        <v>188</v>
      </c>
      <c r="C88" s="8" t="s">
        <v>497</v>
      </c>
      <c r="E88" s="109"/>
      <c r="G88" s="103" t="s">
        <v>498</v>
      </c>
      <c r="H88" s="77">
        <f>H46+H71</f>
        <v>21070</v>
      </c>
      <c r="I88" s="77">
        <f t="shared" ref="I88:R88" si="20">I46+I71</f>
        <v>25091</v>
      </c>
      <c r="J88" s="77">
        <f t="shared" si="20"/>
        <v>35973</v>
      </c>
      <c r="K88" s="77">
        <f t="shared" si="20"/>
        <v>-16235</v>
      </c>
      <c r="L88" s="77">
        <f t="shared" si="20"/>
        <v>-36280</v>
      </c>
      <c r="M88" s="77">
        <f t="shared" si="20"/>
        <v>304470.36</v>
      </c>
      <c r="N88" s="77">
        <f t="shared" si="20"/>
        <v>-26940.400000000023</v>
      </c>
      <c r="O88" s="77">
        <f t="shared" si="20"/>
        <v>-94150</v>
      </c>
      <c r="P88" s="77">
        <f t="shared" si="20"/>
        <v>-55770</v>
      </c>
      <c r="Q88" s="77">
        <f t="shared" si="20"/>
        <v>-12962</v>
      </c>
      <c r="R88" s="77">
        <f t="shared" si="20"/>
        <v>-2522146</v>
      </c>
      <c r="S88" s="77">
        <f>S46+S71</f>
        <v>-84972</v>
      </c>
    </row>
    <row r="89" spans="1:19" x14ac:dyDescent="0.2">
      <c r="A89" s="8" t="s">
        <v>499</v>
      </c>
      <c r="B89" s="2" t="s">
        <v>189</v>
      </c>
      <c r="C89" s="34" t="s">
        <v>190</v>
      </c>
      <c r="E89" s="109"/>
      <c r="G89" s="103" t="s">
        <v>191</v>
      </c>
      <c r="H89" s="105">
        <f t="shared" ref="H89:R89" si="21">H33+H38+H41-H45</f>
        <v>23480</v>
      </c>
      <c r="I89" s="77">
        <f t="shared" si="21"/>
        <v>26487</v>
      </c>
      <c r="J89" s="77">
        <f t="shared" si="21"/>
        <v>38688</v>
      </c>
      <c r="K89" s="77">
        <f t="shared" si="21"/>
        <v>2163</v>
      </c>
      <c r="L89" s="77">
        <f t="shared" si="21"/>
        <v>-30116</v>
      </c>
      <c r="M89" s="77">
        <f t="shared" si="21"/>
        <v>139890.35999999999</v>
      </c>
      <c r="N89" s="77">
        <f t="shared" si="21"/>
        <v>14142.599999999977</v>
      </c>
      <c r="O89" s="77">
        <f t="shared" si="21"/>
        <v>21850</v>
      </c>
      <c r="P89" s="77">
        <f t="shared" si="21"/>
        <v>38564</v>
      </c>
      <c r="Q89" s="77">
        <f t="shared" si="21"/>
        <v>91372</v>
      </c>
      <c r="R89" s="77">
        <f t="shared" si="21"/>
        <v>32188</v>
      </c>
      <c r="S89" s="77">
        <f>S33+S38+S41-S45</f>
        <v>89372</v>
      </c>
    </row>
    <row r="90" spans="1:19" x14ac:dyDescent="0.2">
      <c r="A90" s="8" t="s">
        <v>500</v>
      </c>
      <c r="B90" s="2" t="s">
        <v>192</v>
      </c>
      <c r="C90" s="8" t="s">
        <v>501</v>
      </c>
      <c r="E90" s="106">
        <v>0</v>
      </c>
      <c r="G90" s="46" t="s">
        <v>193</v>
      </c>
      <c r="H90" s="107">
        <f t="shared" ref="H90:R90" si="22">H89/H33</f>
        <v>8.1138706411270953E-2</v>
      </c>
      <c r="I90" s="108">
        <f t="shared" si="22"/>
        <v>0.12090324818784348</v>
      </c>
      <c r="J90" s="108">
        <f t="shared" si="22"/>
        <v>0.17582657304519736</v>
      </c>
      <c r="K90" s="108">
        <f t="shared" si="22"/>
        <v>1.0829674208552589E-2</v>
      </c>
      <c r="L90" s="108">
        <f t="shared" si="22"/>
        <v>-9.7821461865026132E-2</v>
      </c>
      <c r="M90" s="108">
        <f t="shared" si="22"/>
        <v>0.21699630972269401</v>
      </c>
      <c r="N90" s="108">
        <f t="shared" si="22"/>
        <v>2.6877493431713438E-2</v>
      </c>
      <c r="O90" s="108">
        <f t="shared" si="22"/>
        <v>2.9055851063829786E-2</v>
      </c>
      <c r="P90" s="108">
        <f t="shared" si="22"/>
        <v>5.6297810218978103E-2</v>
      </c>
      <c r="Q90" s="108">
        <f t="shared" si="22"/>
        <v>0.11211288343558282</v>
      </c>
      <c r="R90" s="108">
        <f t="shared" si="22"/>
        <v>4.692128279883382E-2</v>
      </c>
      <c r="S90" s="108">
        <f>S89/S33</f>
        <v>0.10965889570552147</v>
      </c>
    </row>
    <row r="91" spans="1:19" x14ac:dyDescent="0.2">
      <c r="A91" s="8" t="s">
        <v>502</v>
      </c>
      <c r="B91" s="2" t="s">
        <v>194</v>
      </c>
      <c r="C91" s="34" t="s">
        <v>195</v>
      </c>
      <c r="E91" s="109"/>
      <c r="G91" s="110" t="s">
        <v>196</v>
      </c>
      <c r="H91" s="111">
        <f t="shared" ref="H91:R91" si="23">-H33/(H38+H41)</f>
        <v>1.0840838253364102</v>
      </c>
      <c r="I91" s="111">
        <f t="shared" si="23"/>
        <v>1.1327845456989802</v>
      </c>
      <c r="J91" s="111">
        <f t="shared" si="23"/>
        <v>1.2075039923610082</v>
      </c>
      <c r="K91" s="111">
        <f t="shared" si="23"/>
        <v>0.99945955954102594</v>
      </c>
      <c r="L91" s="111">
        <f t="shared" si="23"/>
        <v>0.897540027754131</v>
      </c>
      <c r="M91" s="111">
        <f t="shared" si="23"/>
        <v>1.2560936422392042</v>
      </c>
      <c r="N91" s="111">
        <f t="shared" si="23"/>
        <v>0.99812321049144681</v>
      </c>
      <c r="O91" s="111">
        <f t="shared" si="23"/>
        <v>1.0078402465992093</v>
      </c>
      <c r="P91" s="111">
        <f t="shared" si="23"/>
        <v>0.9916470026202644</v>
      </c>
      <c r="Q91" s="111">
        <f t="shared" si="23"/>
        <v>1.0476090091803969</v>
      </c>
      <c r="R91" s="111">
        <f t="shared" si="23"/>
        <v>0.96872678797875011</v>
      </c>
      <c r="S91" s="111">
        <f>-S33/(S38+S41)</f>
        <v>1.0187856574980125</v>
      </c>
    </row>
    <row r="92" spans="1:19" x14ac:dyDescent="0.2">
      <c r="A92" s="8" t="s">
        <v>503</v>
      </c>
      <c r="B92" s="2" t="s">
        <v>197</v>
      </c>
      <c r="C92" s="8" t="s">
        <v>198</v>
      </c>
      <c r="E92" s="109"/>
      <c r="G92" s="103" t="s">
        <v>199</v>
      </c>
      <c r="H92" s="105">
        <f>H46</f>
        <v>22445</v>
      </c>
      <c r="I92" s="105">
        <f t="shared" ref="I92:R92" si="24">I46</f>
        <v>25680</v>
      </c>
      <c r="J92" s="105">
        <f t="shared" si="24"/>
        <v>37812</v>
      </c>
      <c r="K92" s="105">
        <f t="shared" si="24"/>
        <v>-108</v>
      </c>
      <c r="L92" s="105">
        <f t="shared" si="24"/>
        <v>-35145</v>
      </c>
      <c r="M92" s="105">
        <f t="shared" si="24"/>
        <v>131435.35999999999</v>
      </c>
      <c r="N92" s="105">
        <f t="shared" si="24"/>
        <v>-989.40000000002328</v>
      </c>
      <c r="O92" s="105">
        <f t="shared" si="24"/>
        <v>5850</v>
      </c>
      <c r="P92" s="105">
        <f t="shared" si="24"/>
        <v>-5770</v>
      </c>
      <c r="Q92" s="105">
        <f t="shared" si="24"/>
        <v>37038</v>
      </c>
      <c r="R92" s="105">
        <f t="shared" si="24"/>
        <v>-22146</v>
      </c>
      <c r="S92" s="105">
        <f>S46</f>
        <v>15028</v>
      </c>
    </row>
    <row r="93" spans="1:19" x14ac:dyDescent="0.2">
      <c r="A93" s="8" t="s">
        <v>504</v>
      </c>
      <c r="B93" s="2" t="s">
        <v>200</v>
      </c>
      <c r="C93" s="8" t="s">
        <v>201</v>
      </c>
      <c r="D93" s="106">
        <v>-0.3</v>
      </c>
      <c r="E93" s="106">
        <v>0</v>
      </c>
      <c r="G93" s="110" t="s">
        <v>202</v>
      </c>
      <c r="H93" s="112">
        <f>H46/H33</f>
        <v>7.7562106703619099E-2</v>
      </c>
      <c r="I93" s="113">
        <f t="shared" ref="I93:R93" si="25">I46/I33</f>
        <v>0.11721959502638354</v>
      </c>
      <c r="J93" s="113">
        <f t="shared" si="25"/>
        <v>0.17184538823369008</v>
      </c>
      <c r="K93" s="113">
        <f t="shared" si="25"/>
        <v>-5.4073269279874224E-4</v>
      </c>
      <c r="L93" s="113">
        <f t="shared" si="25"/>
        <v>-0.11415643768250576</v>
      </c>
      <c r="M93" s="113">
        <f t="shared" si="25"/>
        <v>0.20388101143691237</v>
      </c>
      <c r="N93" s="113">
        <f t="shared" si="25"/>
        <v>-1.8803184705314402E-3</v>
      </c>
      <c r="O93" s="113">
        <f t="shared" si="25"/>
        <v>7.7792553191489361E-3</v>
      </c>
      <c r="P93" s="113">
        <f t="shared" si="25"/>
        <v>-8.4233576642335772E-3</v>
      </c>
      <c r="Q93" s="113">
        <f t="shared" si="25"/>
        <v>4.5445398773006136E-2</v>
      </c>
      <c r="R93" s="113">
        <f t="shared" si="25"/>
        <v>-3.2282798833819244E-2</v>
      </c>
      <c r="S93" s="113">
        <f>S46/S33</f>
        <v>1.843926380368098E-2</v>
      </c>
    </row>
    <row r="94" spans="1:19" x14ac:dyDescent="0.2">
      <c r="A94" s="8" t="s">
        <v>505</v>
      </c>
      <c r="B94" s="2" t="s">
        <v>203</v>
      </c>
      <c r="C94" s="8" t="s">
        <v>204</v>
      </c>
      <c r="E94" s="109"/>
      <c r="G94" s="46" t="s">
        <v>205</v>
      </c>
      <c r="H94" s="105">
        <f>H29+H30</f>
        <v>33504</v>
      </c>
      <c r="I94" s="105">
        <f t="shared" ref="I94:R94" si="26">I29+I30</f>
        <v>59210</v>
      </c>
      <c r="J94" s="105">
        <f t="shared" si="26"/>
        <v>97029</v>
      </c>
      <c r="K94" s="105">
        <f t="shared" si="26"/>
        <v>96926</v>
      </c>
      <c r="L94" s="105">
        <f t="shared" si="26"/>
        <v>61787</v>
      </c>
      <c r="M94" s="105">
        <f t="shared" si="26"/>
        <v>193276</v>
      </c>
      <c r="N94" s="105">
        <f t="shared" si="26"/>
        <v>166689</v>
      </c>
      <c r="O94" s="105">
        <f t="shared" si="26"/>
        <v>172539</v>
      </c>
      <c r="P94" s="105">
        <f t="shared" si="26"/>
        <v>166769</v>
      </c>
      <c r="Q94" s="105">
        <f t="shared" si="26"/>
        <v>203807</v>
      </c>
      <c r="R94" s="105">
        <f t="shared" si="26"/>
        <v>181661</v>
      </c>
      <c r="S94" s="105">
        <f>S29+S30</f>
        <v>196689</v>
      </c>
    </row>
    <row r="95" spans="1:19" x14ac:dyDescent="0.2">
      <c r="G95" s="451" t="s">
        <v>206</v>
      </c>
      <c r="H95" s="87">
        <f t="shared" ref="H95:R95" si="27">H87</f>
        <v>2011</v>
      </c>
      <c r="I95" s="87">
        <f t="shared" si="27"/>
        <v>2012</v>
      </c>
      <c r="J95" s="87">
        <f t="shared" si="27"/>
        <v>2013</v>
      </c>
      <c r="K95" s="87">
        <f t="shared" si="27"/>
        <v>2014</v>
      </c>
      <c r="L95" s="87">
        <f t="shared" si="27"/>
        <v>2015</v>
      </c>
      <c r="M95" s="87">
        <f t="shared" si="27"/>
        <v>2016</v>
      </c>
      <c r="N95" s="87">
        <f t="shared" si="27"/>
        <v>2017</v>
      </c>
      <c r="O95" s="87">
        <f t="shared" si="27"/>
        <v>2018</v>
      </c>
      <c r="P95" s="87">
        <f t="shared" si="27"/>
        <v>2019</v>
      </c>
      <c r="Q95" s="87">
        <f t="shared" si="27"/>
        <v>2020</v>
      </c>
      <c r="R95" s="87">
        <f t="shared" si="27"/>
        <v>2021</v>
      </c>
      <c r="S95" s="87">
        <f>S87</f>
        <v>2022</v>
      </c>
    </row>
    <row r="96" spans="1:19" x14ac:dyDescent="0.2">
      <c r="A96" s="34" t="s">
        <v>506</v>
      </c>
      <c r="B96" s="2" t="s">
        <v>207</v>
      </c>
      <c r="C96" s="10" t="s">
        <v>208</v>
      </c>
      <c r="E96" s="109"/>
      <c r="F96" s="37"/>
      <c r="G96" s="103" t="s">
        <v>209</v>
      </c>
      <c r="H96" s="105">
        <f t="shared" ref="H96:R96" si="28">H6+H12</f>
        <v>10575</v>
      </c>
      <c r="I96" s="77">
        <f t="shared" si="28"/>
        <v>42040</v>
      </c>
      <c r="J96" s="77">
        <f t="shared" si="28"/>
        <v>70256</v>
      </c>
      <c r="K96" s="77">
        <f t="shared" si="28"/>
        <v>54629</v>
      </c>
      <c r="L96" s="77">
        <f t="shared" si="28"/>
        <v>25924</v>
      </c>
      <c r="M96" s="77">
        <f t="shared" si="28"/>
        <v>29461</v>
      </c>
      <c r="N96" s="77">
        <f t="shared" si="28"/>
        <v>179008</v>
      </c>
      <c r="O96" s="77">
        <f t="shared" si="28"/>
        <v>1860</v>
      </c>
      <c r="P96" s="77">
        <f t="shared" si="28"/>
        <v>91925</v>
      </c>
      <c r="Q96" s="77">
        <f t="shared" si="28"/>
        <v>132383</v>
      </c>
      <c r="R96" s="77">
        <f t="shared" si="28"/>
        <v>126658</v>
      </c>
      <c r="S96" s="77">
        <f>S6+S12</f>
        <v>139500</v>
      </c>
    </row>
    <row r="97" spans="1:19" x14ac:dyDescent="0.2">
      <c r="A97" s="8" t="s">
        <v>507</v>
      </c>
      <c r="B97" s="2" t="s">
        <v>210</v>
      </c>
      <c r="C97" s="8" t="s">
        <v>42</v>
      </c>
      <c r="E97" s="109"/>
      <c r="F97" s="37"/>
      <c r="G97" s="110" t="s">
        <v>211</v>
      </c>
      <c r="H97" s="105">
        <f>H19</f>
        <v>22370</v>
      </c>
      <c r="I97" s="105">
        <f t="shared" ref="I97:R97" si="29">I19</f>
        <v>23262</v>
      </c>
      <c r="J97" s="105">
        <f t="shared" si="29"/>
        <v>14683</v>
      </c>
      <c r="K97" s="105">
        <f t="shared" si="29"/>
        <v>11825</v>
      </c>
      <c r="L97" s="105">
        <f t="shared" si="29"/>
        <v>48505</v>
      </c>
      <c r="M97" s="105">
        <f t="shared" si="29"/>
        <v>29064</v>
      </c>
      <c r="N97" s="105">
        <f t="shared" si="29"/>
        <v>220685</v>
      </c>
      <c r="O97" s="105">
        <f t="shared" si="29"/>
        <v>70282.166666666657</v>
      </c>
      <c r="P97" s="105">
        <f t="shared" si="29"/>
        <v>226696.33333333334</v>
      </c>
      <c r="Q97" s="105">
        <f t="shared" si="29"/>
        <v>222034</v>
      </c>
      <c r="R97" s="105">
        <f t="shared" si="29"/>
        <v>2658898.3333333335</v>
      </c>
      <c r="S97" s="105">
        <f>S19</f>
        <v>2598318.4500000002</v>
      </c>
    </row>
    <row r="98" spans="1:19" x14ac:dyDescent="0.2">
      <c r="A98" s="8" t="s">
        <v>508</v>
      </c>
      <c r="B98" s="2" t="s">
        <v>509</v>
      </c>
      <c r="C98" s="8" t="s">
        <v>510</v>
      </c>
      <c r="E98" s="109"/>
      <c r="F98" s="37"/>
      <c r="G98" s="110" t="s">
        <v>212</v>
      </c>
      <c r="H98" s="105">
        <f t="shared" ref="H98:R98" si="30">H97-H96</f>
        <v>11795</v>
      </c>
      <c r="I98" s="77">
        <f t="shared" si="30"/>
        <v>-18778</v>
      </c>
      <c r="J98" s="77">
        <f t="shared" si="30"/>
        <v>-55573</v>
      </c>
      <c r="K98" s="77">
        <f t="shared" si="30"/>
        <v>-42804</v>
      </c>
      <c r="L98" s="77">
        <f t="shared" si="30"/>
        <v>22581</v>
      </c>
      <c r="M98" s="77">
        <f t="shared" si="30"/>
        <v>-397</v>
      </c>
      <c r="N98" s="77">
        <f t="shared" si="30"/>
        <v>41677</v>
      </c>
      <c r="O98" s="77">
        <f t="shared" si="30"/>
        <v>68422.166666666657</v>
      </c>
      <c r="P98" s="77">
        <f t="shared" si="30"/>
        <v>134771.33333333334</v>
      </c>
      <c r="Q98" s="77">
        <f t="shared" si="30"/>
        <v>89651</v>
      </c>
      <c r="R98" s="77">
        <f t="shared" si="30"/>
        <v>2532240.3333333335</v>
      </c>
      <c r="S98" s="77">
        <f>S97-S96</f>
        <v>2458818.4500000002</v>
      </c>
    </row>
    <row r="99" spans="1:19" x14ac:dyDescent="0.2">
      <c r="A99" s="34" t="s">
        <v>511</v>
      </c>
      <c r="B99" s="2" t="s">
        <v>512</v>
      </c>
      <c r="C99" s="8" t="s">
        <v>513</v>
      </c>
      <c r="E99" s="106">
        <v>0.4</v>
      </c>
      <c r="F99" s="37"/>
      <c r="G99" s="110" t="s">
        <v>213</v>
      </c>
      <c r="H99" s="115">
        <f t="shared" ref="H99:R99" si="31">H98/H33</f>
        <v>4.0759414059665287E-2</v>
      </c>
      <c r="I99" s="108">
        <f t="shared" si="31"/>
        <v>-8.5714546550055684E-2</v>
      </c>
      <c r="J99" s="108">
        <f t="shared" si="31"/>
        <v>-0.25256436476015182</v>
      </c>
      <c r="K99" s="108">
        <f t="shared" si="31"/>
        <v>-0.21431039057923487</v>
      </c>
      <c r="L99" s="108">
        <f t="shared" si="31"/>
        <v>7.3346607463612531E-2</v>
      </c>
      <c r="M99" s="108">
        <f t="shared" si="31"/>
        <v>-6.1582181188117276E-4</v>
      </c>
      <c r="N99" s="108">
        <f t="shared" si="31"/>
        <v>7.9205612387646035E-2</v>
      </c>
      <c r="O99" s="108">
        <f t="shared" si="31"/>
        <v>9.0986923758865232E-2</v>
      </c>
      <c r="P99" s="108">
        <f t="shared" si="31"/>
        <v>0.19674647201946474</v>
      </c>
      <c r="Q99" s="108">
        <f t="shared" si="31"/>
        <v>0.11000122699386503</v>
      </c>
      <c r="R99" s="108">
        <f t="shared" si="31"/>
        <v>3.6913124392614192</v>
      </c>
      <c r="S99" s="108">
        <f>S98/S33</f>
        <v>3.0169551533742331</v>
      </c>
    </row>
    <row r="100" spans="1:19" x14ac:dyDescent="0.2">
      <c r="A100" s="8" t="s">
        <v>514</v>
      </c>
      <c r="B100" s="2" t="s">
        <v>214</v>
      </c>
      <c r="C100" s="8" t="s">
        <v>515</v>
      </c>
      <c r="D100" s="116">
        <v>0</v>
      </c>
      <c r="E100" s="116">
        <v>5</v>
      </c>
      <c r="F100" s="37"/>
      <c r="G100" s="110" t="s">
        <v>215</v>
      </c>
      <c r="H100" s="111">
        <f t="shared" ref="H100:R100" si="32">H98/H89</f>
        <v>0.50234241908006816</v>
      </c>
      <c r="I100" s="111">
        <f t="shared" si="32"/>
        <v>-0.70895156114320235</v>
      </c>
      <c r="J100" s="111">
        <f t="shared" si="32"/>
        <v>-1.4364402398676592</v>
      </c>
      <c r="K100" s="111">
        <f t="shared" si="32"/>
        <v>-19.789181692094314</v>
      </c>
      <c r="L100" s="111">
        <f t="shared" si="32"/>
        <v>-0.74980077035462878</v>
      </c>
      <c r="M100" s="111">
        <f t="shared" si="32"/>
        <v>-2.8379367956448179E-3</v>
      </c>
      <c r="N100" s="111">
        <f t="shared" si="32"/>
        <v>2.9469121660797923</v>
      </c>
      <c r="O100" s="111">
        <f t="shared" si="32"/>
        <v>3.1314492753623182</v>
      </c>
      <c r="P100" s="111">
        <f t="shared" si="32"/>
        <v>3.4947446668741144</v>
      </c>
      <c r="Q100" s="111">
        <f t="shared" si="32"/>
        <v>0.98116490828700254</v>
      </c>
      <c r="R100" s="111">
        <f t="shared" si="32"/>
        <v>78.670322273310973</v>
      </c>
      <c r="S100" s="111">
        <f>S98/S89</f>
        <v>27.512178870339707</v>
      </c>
    </row>
    <row r="101" spans="1:19" x14ac:dyDescent="0.2">
      <c r="A101" s="8" t="s">
        <v>516</v>
      </c>
      <c r="B101" s="2" t="s">
        <v>216</v>
      </c>
      <c r="C101" s="8" t="s">
        <v>217</v>
      </c>
      <c r="E101" s="109"/>
      <c r="F101" s="37"/>
      <c r="G101" s="110" t="s">
        <v>218</v>
      </c>
      <c r="H101" s="105">
        <f t="shared" ref="H101:R101" si="33">-(H75+H77+H78+H79+H80+H81)</f>
        <v>0</v>
      </c>
      <c r="I101" s="105">
        <f t="shared" si="33"/>
        <v>0</v>
      </c>
      <c r="J101" s="105">
        <f t="shared" si="33"/>
        <v>0</v>
      </c>
      <c r="K101" s="105">
        <f t="shared" si="33"/>
        <v>0</v>
      </c>
      <c r="L101" s="105">
        <f t="shared" si="33"/>
        <v>0</v>
      </c>
      <c r="M101" s="105">
        <f t="shared" si="33"/>
        <v>0</v>
      </c>
      <c r="N101" s="105">
        <f t="shared" si="33"/>
        <v>0</v>
      </c>
      <c r="O101" s="105">
        <f t="shared" si="33"/>
        <v>0</v>
      </c>
      <c r="P101" s="105">
        <f t="shared" si="33"/>
        <v>0</v>
      </c>
      <c r="Q101" s="105">
        <f t="shared" si="33"/>
        <v>0</v>
      </c>
      <c r="R101" s="105">
        <f t="shared" si="33"/>
        <v>0</v>
      </c>
      <c r="S101" s="105">
        <f>-(S75+S77+S78+S79+S80+S81)</f>
        <v>0</v>
      </c>
    </row>
    <row r="102" spans="1:19" x14ac:dyDescent="0.2">
      <c r="A102" s="8" t="s">
        <v>517</v>
      </c>
      <c r="B102" s="2" t="s">
        <v>219</v>
      </c>
      <c r="C102" s="8" t="s">
        <v>518</v>
      </c>
      <c r="E102" s="116">
        <v>1.2</v>
      </c>
      <c r="F102" s="37"/>
      <c r="G102" s="110" t="s">
        <v>220</v>
      </c>
      <c r="H102" s="117" t="e">
        <f t="shared" ref="H102:R102" si="34">H89/H101</f>
        <v>#DIV/0!</v>
      </c>
      <c r="I102" s="111" t="e">
        <f t="shared" si="34"/>
        <v>#DIV/0!</v>
      </c>
      <c r="J102" s="111" t="e">
        <f t="shared" si="34"/>
        <v>#DIV/0!</v>
      </c>
      <c r="K102" s="111" t="e">
        <f t="shared" si="34"/>
        <v>#DIV/0!</v>
      </c>
      <c r="L102" s="111" t="e">
        <f t="shared" si="34"/>
        <v>#DIV/0!</v>
      </c>
      <c r="M102" s="111" t="e">
        <f t="shared" si="34"/>
        <v>#DIV/0!</v>
      </c>
      <c r="N102" s="111" t="e">
        <f t="shared" si="34"/>
        <v>#DIV/0!</v>
      </c>
      <c r="O102" s="111" t="e">
        <f t="shared" si="34"/>
        <v>#DIV/0!</v>
      </c>
      <c r="P102" s="111" t="e">
        <f t="shared" si="34"/>
        <v>#DIV/0!</v>
      </c>
      <c r="Q102" s="111" t="e">
        <f t="shared" si="34"/>
        <v>#DIV/0!</v>
      </c>
      <c r="R102" s="111" t="e">
        <f t="shared" si="34"/>
        <v>#DIV/0!</v>
      </c>
      <c r="S102" s="111" t="e">
        <f>S89/S101</f>
        <v>#DIV/0!</v>
      </c>
    </row>
    <row r="103" spans="1:19" x14ac:dyDescent="0.2">
      <c r="A103" s="38" t="s">
        <v>519</v>
      </c>
      <c r="B103" s="2" t="s">
        <v>221</v>
      </c>
      <c r="C103" s="8" t="s">
        <v>222</v>
      </c>
      <c r="E103" s="116">
        <v>0</v>
      </c>
      <c r="F103" s="37"/>
      <c r="G103" s="103" t="s">
        <v>223</v>
      </c>
      <c r="H103" s="105">
        <f t="shared" ref="H103:R103" si="35">H5-H20</f>
        <v>40583</v>
      </c>
      <c r="I103" s="105">
        <f t="shared" si="35"/>
        <v>67373</v>
      </c>
      <c r="J103" s="105">
        <f t="shared" si="35"/>
        <v>95643</v>
      </c>
      <c r="K103" s="105">
        <f t="shared" si="35"/>
        <v>78821</v>
      </c>
      <c r="L103" s="105">
        <f t="shared" si="35"/>
        <v>78262</v>
      </c>
      <c r="M103" s="105">
        <f t="shared" si="35"/>
        <v>172124</v>
      </c>
      <c r="N103" s="105">
        <f t="shared" si="35"/>
        <v>237003</v>
      </c>
      <c r="O103" s="105">
        <f t="shared" si="35"/>
        <v>7450</v>
      </c>
      <c r="P103" s="105">
        <f t="shared" si="35"/>
        <v>152428.5</v>
      </c>
      <c r="Q103" s="105">
        <f t="shared" si="35"/>
        <v>189138</v>
      </c>
      <c r="R103" s="105">
        <f t="shared" si="35"/>
        <v>208190</v>
      </c>
      <c r="S103" s="105">
        <f>S5-S20</f>
        <v>212638</v>
      </c>
    </row>
    <row r="104" spans="1:19" x14ac:dyDescent="0.2">
      <c r="A104" s="34" t="s">
        <v>520</v>
      </c>
      <c r="B104" s="2" t="s">
        <v>224</v>
      </c>
      <c r="C104" s="8" t="s">
        <v>225</v>
      </c>
      <c r="E104" s="116">
        <v>1</v>
      </c>
      <c r="F104" s="37"/>
      <c r="G104" s="110" t="s">
        <v>226</v>
      </c>
      <c r="H104" s="117" t="e">
        <f t="shared" ref="H104:R104" si="36">H5/H20</f>
        <v>#DIV/0!</v>
      </c>
      <c r="I104" s="117" t="e">
        <f t="shared" si="36"/>
        <v>#DIV/0!</v>
      </c>
      <c r="J104" s="117" t="e">
        <f t="shared" si="36"/>
        <v>#DIV/0!</v>
      </c>
      <c r="K104" s="117" t="e">
        <f t="shared" si="36"/>
        <v>#DIV/0!</v>
      </c>
      <c r="L104" s="117" t="e">
        <f t="shared" si="36"/>
        <v>#DIV/0!</v>
      </c>
      <c r="M104" s="117" t="e">
        <f t="shared" si="36"/>
        <v>#DIV/0!</v>
      </c>
      <c r="N104" s="117" t="e">
        <f t="shared" si="36"/>
        <v>#DIV/0!</v>
      </c>
      <c r="O104" s="117" t="e">
        <f t="shared" si="36"/>
        <v>#DIV/0!</v>
      </c>
      <c r="P104" s="117" t="e">
        <f t="shared" si="36"/>
        <v>#DIV/0!</v>
      </c>
      <c r="Q104" s="117" t="e">
        <f t="shared" si="36"/>
        <v>#DIV/0!</v>
      </c>
      <c r="R104" s="117" t="e">
        <f t="shared" si="36"/>
        <v>#DIV/0!</v>
      </c>
      <c r="S104" s="117" t="e">
        <f>S5/S20</f>
        <v>#DIV/0!</v>
      </c>
    </row>
    <row r="105" spans="1:19" x14ac:dyDescent="0.2">
      <c r="A105" s="34" t="s">
        <v>521</v>
      </c>
      <c r="B105" s="2" t="s">
        <v>227</v>
      </c>
      <c r="C105" s="34" t="s">
        <v>228</v>
      </c>
      <c r="E105" s="116">
        <v>1</v>
      </c>
      <c r="F105" s="37"/>
      <c r="G105" s="46" t="s">
        <v>229</v>
      </c>
      <c r="H105" s="117">
        <f t="shared" ref="H105:R105" si="37">-H6/((H38+H41-H45+H47)/12)</f>
        <v>0.47728477991868484</v>
      </c>
      <c r="I105" s="117">
        <f t="shared" si="37"/>
        <v>2.6198179297165085</v>
      </c>
      <c r="J105" s="117">
        <f t="shared" si="37"/>
        <v>4.6491231940002207</v>
      </c>
      <c r="K105" s="117">
        <f t="shared" si="37"/>
        <v>3.3182055162709236</v>
      </c>
      <c r="L105" s="117">
        <f t="shared" si="37"/>
        <v>0.92044133180660226</v>
      </c>
      <c r="M105" s="117">
        <f t="shared" si="37"/>
        <v>0.70044689221815293</v>
      </c>
      <c r="N105" s="117">
        <f t="shared" si="37"/>
        <v>4.2037099604980463</v>
      </c>
      <c r="O105" s="117">
        <f t="shared" si="37"/>
        <v>3.0569061151818119E-2</v>
      </c>
      <c r="P105" s="117">
        <f t="shared" si="37"/>
        <v>1.7064334288313152</v>
      </c>
      <c r="Q105" s="117">
        <f t="shared" si="37"/>
        <v>2.1953213529603608</v>
      </c>
      <c r="R105" s="117">
        <f t="shared" si="37"/>
        <v>2.3246682532593468</v>
      </c>
      <c r="S105" s="117">
        <f>-S6/((S38+S41-S45+S47)/12)</f>
        <v>2.3069672063371316</v>
      </c>
    </row>
    <row r="106" spans="1:19" x14ac:dyDescent="0.2">
      <c r="C106" s="8"/>
      <c r="F106" s="37"/>
      <c r="G106" s="451" t="s">
        <v>230</v>
      </c>
      <c r="H106" s="87">
        <f t="shared" ref="H106:R106" si="38">H95</f>
        <v>2011</v>
      </c>
      <c r="I106" s="87">
        <f t="shared" si="38"/>
        <v>2012</v>
      </c>
      <c r="J106" s="87">
        <f t="shared" si="38"/>
        <v>2013</v>
      </c>
      <c r="K106" s="87">
        <f t="shared" si="38"/>
        <v>2014</v>
      </c>
      <c r="L106" s="87">
        <f t="shared" si="38"/>
        <v>2015</v>
      </c>
      <c r="M106" s="87">
        <f t="shared" si="38"/>
        <v>2016</v>
      </c>
      <c r="N106" s="87">
        <f t="shared" si="38"/>
        <v>2017</v>
      </c>
      <c r="O106" s="87">
        <f t="shared" si="38"/>
        <v>2018</v>
      </c>
      <c r="P106" s="87">
        <f t="shared" si="38"/>
        <v>2019</v>
      </c>
      <c r="Q106" s="87">
        <f t="shared" si="38"/>
        <v>2020</v>
      </c>
      <c r="R106" s="87">
        <f t="shared" si="38"/>
        <v>2021</v>
      </c>
      <c r="S106" s="87">
        <f>S95</f>
        <v>2022</v>
      </c>
    </row>
    <row r="107" spans="1:19" x14ac:dyDescent="0.2">
      <c r="A107" s="34" t="s">
        <v>522</v>
      </c>
      <c r="B107" s="2" t="s">
        <v>231</v>
      </c>
      <c r="C107" s="34" t="s">
        <v>232</v>
      </c>
      <c r="E107" s="106">
        <v>0.6</v>
      </c>
      <c r="F107" s="37"/>
      <c r="G107" s="103" t="s">
        <v>233</v>
      </c>
      <c r="H107" s="115">
        <f t="shared" ref="H107:R107" si="39">H17/H4</f>
        <v>0</v>
      </c>
      <c r="I107" s="115">
        <f t="shared" si="39"/>
        <v>0</v>
      </c>
      <c r="J107" s="115">
        <f t="shared" si="39"/>
        <v>0</v>
      </c>
      <c r="K107" s="115">
        <f t="shared" si="39"/>
        <v>0</v>
      </c>
      <c r="L107" s="115">
        <f t="shared" si="39"/>
        <v>0</v>
      </c>
      <c r="M107" s="115">
        <f t="shared" si="39"/>
        <v>0</v>
      </c>
      <c r="N107" s="115">
        <f t="shared" si="39"/>
        <v>0</v>
      </c>
      <c r="O107" s="115">
        <f t="shared" si="39"/>
        <v>0</v>
      </c>
      <c r="P107" s="115">
        <f t="shared" si="39"/>
        <v>0</v>
      </c>
      <c r="Q107" s="115">
        <f t="shared" si="39"/>
        <v>0</v>
      </c>
      <c r="R107" s="115">
        <f t="shared" si="39"/>
        <v>0</v>
      </c>
      <c r="S107" s="115">
        <f>S17/S4</f>
        <v>0</v>
      </c>
    </row>
    <row r="108" spans="1:19" x14ac:dyDescent="0.2">
      <c r="A108" s="34" t="s">
        <v>523</v>
      </c>
      <c r="B108" s="2" t="s">
        <v>234</v>
      </c>
      <c r="C108" s="34" t="s">
        <v>235</v>
      </c>
      <c r="E108" s="106">
        <v>0.4</v>
      </c>
      <c r="F108" s="37"/>
      <c r="G108" s="46" t="s">
        <v>236</v>
      </c>
      <c r="H108" s="115" t="e">
        <f t="shared" ref="H108:R108" si="40">H27/H17</f>
        <v>#DIV/0!</v>
      </c>
      <c r="I108" s="115" t="e">
        <f t="shared" si="40"/>
        <v>#DIV/0!</v>
      </c>
      <c r="J108" s="115" t="e">
        <f t="shared" si="40"/>
        <v>#DIV/0!</v>
      </c>
      <c r="K108" s="115" t="e">
        <f t="shared" si="40"/>
        <v>#DIV/0!</v>
      </c>
      <c r="L108" s="115" t="e">
        <f t="shared" si="40"/>
        <v>#DIV/0!</v>
      </c>
      <c r="M108" s="115" t="e">
        <f t="shared" si="40"/>
        <v>#DIV/0!</v>
      </c>
      <c r="N108" s="115" t="e">
        <f t="shared" si="40"/>
        <v>#DIV/0!</v>
      </c>
      <c r="O108" s="115" t="e">
        <f t="shared" si="40"/>
        <v>#DIV/0!</v>
      </c>
      <c r="P108" s="115" t="e">
        <f t="shared" si="40"/>
        <v>#DIV/0!</v>
      </c>
      <c r="Q108" s="115" t="e">
        <f t="shared" si="40"/>
        <v>#DIV/0!</v>
      </c>
      <c r="R108" s="115" t="e">
        <f t="shared" si="40"/>
        <v>#DIV/0!</v>
      </c>
      <c r="S108" s="115" t="e">
        <f>S27/S17</f>
        <v>#DIV/0!</v>
      </c>
    </row>
    <row r="109" spans="1:19" x14ac:dyDescent="0.2">
      <c r="C109" s="8"/>
      <c r="F109" s="37"/>
      <c r="G109" s="455" t="s">
        <v>237</v>
      </c>
      <c r="H109" s="87">
        <f t="shared" ref="H109:R109" si="41">H95</f>
        <v>2011</v>
      </c>
      <c r="I109" s="87">
        <f t="shared" si="41"/>
        <v>2012</v>
      </c>
      <c r="J109" s="87">
        <f t="shared" si="41"/>
        <v>2013</v>
      </c>
      <c r="K109" s="87">
        <f t="shared" si="41"/>
        <v>2014</v>
      </c>
      <c r="L109" s="87">
        <f t="shared" si="41"/>
        <v>2015</v>
      </c>
      <c r="M109" s="87">
        <f t="shared" si="41"/>
        <v>2016</v>
      </c>
      <c r="N109" s="87">
        <f t="shared" si="41"/>
        <v>2017</v>
      </c>
      <c r="O109" s="87">
        <f t="shared" si="41"/>
        <v>2018</v>
      </c>
      <c r="P109" s="87">
        <f t="shared" si="41"/>
        <v>2019</v>
      </c>
      <c r="Q109" s="87">
        <f t="shared" si="41"/>
        <v>2020</v>
      </c>
      <c r="R109" s="87">
        <f t="shared" si="41"/>
        <v>2021</v>
      </c>
      <c r="S109" s="87">
        <f>S95</f>
        <v>2022</v>
      </c>
    </row>
    <row r="110" spans="1:19" x14ac:dyDescent="0.2">
      <c r="A110" s="34" t="s">
        <v>524</v>
      </c>
      <c r="B110" s="2" t="s">
        <v>238</v>
      </c>
      <c r="C110" s="39" t="s">
        <v>239</v>
      </c>
      <c r="E110" s="109"/>
      <c r="F110" s="37"/>
      <c r="G110" s="110" t="s">
        <v>240</v>
      </c>
      <c r="H110" s="118">
        <f t="shared" ref="H110:R110" si="42">H10/H4</f>
        <v>0.27366932741525574</v>
      </c>
      <c r="I110" s="118">
        <f t="shared" si="42"/>
        <v>0.18308031816859055</v>
      </c>
      <c r="J110" s="118">
        <f t="shared" si="42"/>
        <v>0.14384309653394442</v>
      </c>
      <c r="K110" s="118">
        <f t="shared" si="42"/>
        <v>0.27521586008404519</v>
      </c>
      <c r="L110" s="118">
        <f t="shared" si="42"/>
        <v>0.29041090922279039</v>
      </c>
      <c r="M110" s="118">
        <f t="shared" si="42"/>
        <v>0.22585229828191059</v>
      </c>
      <c r="N110" s="118">
        <f t="shared" si="42"/>
        <v>0.38818041479293913</v>
      </c>
      <c r="O110" s="118">
        <f t="shared" si="42"/>
        <v>0.96931896335160472</v>
      </c>
      <c r="P110" s="118">
        <f t="shared" si="42"/>
        <v>0.61260008819070544</v>
      </c>
      <c r="Q110" s="118">
        <f t="shared" si="42"/>
        <v>0.55584830958033637</v>
      </c>
      <c r="R110" s="118">
        <f t="shared" si="42"/>
        <v>0.9267080880911116</v>
      </c>
      <c r="S110" s="118">
        <f>S10/S4</f>
        <v>0.92392219411257293</v>
      </c>
    </row>
    <row r="111" spans="1:19" x14ac:dyDescent="0.2">
      <c r="A111" s="34" t="s">
        <v>525</v>
      </c>
      <c r="B111" s="2" t="s">
        <v>241</v>
      </c>
      <c r="C111" s="39" t="s">
        <v>242</v>
      </c>
      <c r="E111" s="109"/>
      <c r="F111" s="37"/>
      <c r="G111" s="110" t="s">
        <v>243</v>
      </c>
      <c r="H111" s="118">
        <f t="shared" ref="H111:R111" si="43">-(H58)/H15</f>
        <v>9.1360931266758219E-2</v>
      </c>
      <c r="I111" s="118">
        <f t="shared" si="43"/>
        <v>4.0731174249950326E-2</v>
      </c>
      <c r="J111" s="118">
        <f t="shared" si="43"/>
        <v>0.11487958180347252</v>
      </c>
      <c r="K111" s="118">
        <f t="shared" si="43"/>
        <v>0.53899097895088544</v>
      </c>
      <c r="L111" s="118">
        <f t="shared" si="43"/>
        <v>0.22294723696534499</v>
      </c>
      <c r="M111" s="118">
        <f t="shared" si="43"/>
        <v>0.55589851840050974</v>
      </c>
      <c r="N111" s="118">
        <f t="shared" si="43"/>
        <v>0.17257981924706225</v>
      </c>
      <c r="O111" s="118">
        <f t="shared" si="43"/>
        <v>0.42486117661054251</v>
      </c>
      <c r="P111" s="118">
        <f t="shared" si="43"/>
        <v>0.20743703248878803</v>
      </c>
      <c r="Q111" s="118">
        <f t="shared" si="43"/>
        <v>0.21123517657148411</v>
      </c>
      <c r="R111" s="118">
        <f t="shared" si="43"/>
        <v>0.94971487659974718</v>
      </c>
      <c r="S111" s="118">
        <f>-(S58)/S15</f>
        <v>3.8724132763365733E-2</v>
      </c>
    </row>
    <row r="112" spans="1:19" x14ac:dyDescent="0.2">
      <c r="A112" s="34" t="s">
        <v>526</v>
      </c>
      <c r="B112" s="2" t="s">
        <v>244</v>
      </c>
      <c r="C112" s="8" t="s">
        <v>245</v>
      </c>
      <c r="E112" s="109"/>
      <c r="F112" s="37"/>
      <c r="G112" s="103" t="s">
        <v>246</v>
      </c>
      <c r="H112" s="111">
        <f t="shared" ref="H112:R112" si="44">H33/H4</f>
        <v>5.1791709918745745</v>
      </c>
      <c r="I112" s="111">
        <f t="shared" si="44"/>
        <v>2.6563682219419924</v>
      </c>
      <c r="J112" s="111">
        <f t="shared" si="44"/>
        <v>1.9696630621598397</v>
      </c>
      <c r="K112" s="111">
        <f t="shared" si="44"/>
        <v>1.8365716177322506</v>
      </c>
      <c r="L112" s="111">
        <f t="shared" si="44"/>
        <v>2.7913810611830412</v>
      </c>
      <c r="M112" s="111">
        <f t="shared" si="44"/>
        <v>2.8994647836646577</v>
      </c>
      <c r="N112" s="111">
        <f t="shared" si="44"/>
        <v>1.3583448037297288</v>
      </c>
      <c r="O112" s="111">
        <f t="shared" si="44"/>
        <v>3.0969314845091653</v>
      </c>
      <c r="P112" s="111">
        <f t="shared" si="44"/>
        <v>1.7409404382341018</v>
      </c>
      <c r="Q112" s="111">
        <f t="shared" si="44"/>
        <v>1.9138598678849617</v>
      </c>
      <c r="R112" s="111">
        <f t="shared" si="44"/>
        <v>0.24150176074498012</v>
      </c>
      <c r="S112" s="111">
        <f>S33/S4</f>
        <v>0.29159139851885879</v>
      </c>
    </row>
    <row r="113" spans="1:19" x14ac:dyDescent="0.2">
      <c r="A113" s="34" t="s">
        <v>527</v>
      </c>
      <c r="B113" s="2" t="s">
        <v>247</v>
      </c>
      <c r="C113" s="39" t="s">
        <v>248</v>
      </c>
      <c r="E113" s="109"/>
      <c r="F113" s="37"/>
      <c r="G113" s="46" t="s">
        <v>249</v>
      </c>
      <c r="H113" s="111">
        <f t="shared" ref="H113:R113" si="45">H33/H15</f>
        <v>18.924923157412856</v>
      </c>
      <c r="I113" s="111">
        <f t="shared" si="45"/>
        <v>14.509305252003443</v>
      </c>
      <c r="J113" s="111">
        <f t="shared" si="45"/>
        <v>13.693135851639804</v>
      </c>
      <c r="K113" s="111">
        <f t="shared" si="45"/>
        <v>6.6732041430003344</v>
      </c>
      <c r="L113" s="111">
        <f t="shared" si="45"/>
        <v>9.6118326568841717</v>
      </c>
      <c r="M113" s="111">
        <f t="shared" si="45"/>
        <v>12.837880356858372</v>
      </c>
      <c r="N113" s="111">
        <f t="shared" si="45"/>
        <v>3.4992615597422372</v>
      </c>
      <c r="O113" s="111">
        <f t="shared" si="45"/>
        <v>3.1949560481112798</v>
      </c>
      <c r="P113" s="111">
        <f t="shared" si="45"/>
        <v>2.8418873450963962</v>
      </c>
      <c r="Q113" s="111">
        <f t="shared" si="45"/>
        <v>3.4431333781151907</v>
      </c>
      <c r="R113" s="111">
        <f t="shared" si="45"/>
        <v>0.26060176213897063</v>
      </c>
      <c r="S113" s="111">
        <f>S33/S15</f>
        <v>0.31560168202143069</v>
      </c>
    </row>
    <row r="114" spans="1:19" x14ac:dyDescent="0.2">
      <c r="A114" s="8" t="s">
        <v>528</v>
      </c>
      <c r="B114" s="2" t="s">
        <v>250</v>
      </c>
      <c r="C114" s="39" t="s">
        <v>251</v>
      </c>
      <c r="D114" s="106">
        <v>0.5</v>
      </c>
      <c r="E114" s="106">
        <f>1/3</f>
        <v>0.33333333333333331</v>
      </c>
      <c r="F114" s="37"/>
      <c r="G114" s="110" t="s">
        <v>252</v>
      </c>
      <c r="H114" s="118">
        <f t="shared" ref="H114:R114" si="46">H27/H4</f>
        <v>0.59963489279450188</v>
      </c>
      <c r="I114" s="118">
        <f t="shared" si="46"/>
        <v>0.71794063439712874</v>
      </c>
      <c r="J114" s="118">
        <f t="shared" si="46"/>
        <v>0.8685638069321111</v>
      </c>
      <c r="K114" s="118">
        <f t="shared" si="46"/>
        <v>0.89126536767478004</v>
      </c>
      <c r="L114" s="118">
        <f t="shared" si="46"/>
        <v>0.56021288942081027</v>
      </c>
      <c r="M114" s="118">
        <f t="shared" si="46"/>
        <v>0.86928128092111179</v>
      </c>
      <c r="N114" s="118">
        <f t="shared" si="46"/>
        <v>0.43030507984531746</v>
      </c>
      <c r="O114" s="118">
        <f t="shared" si="46"/>
        <v>0.7105604539969772</v>
      </c>
      <c r="P114" s="118">
        <f t="shared" si="46"/>
        <v>0.42384656342169769</v>
      </c>
      <c r="Q114" s="118">
        <f t="shared" si="46"/>
        <v>0.47859881974727658</v>
      </c>
      <c r="R114" s="118">
        <f t="shared" si="46"/>
        <v>6.3952553001011422E-2</v>
      </c>
      <c r="S114" s="118">
        <f>S27/S4</f>
        <v>7.0371558997884442E-2</v>
      </c>
    </row>
    <row r="115" spans="1:19" x14ac:dyDescent="0.2">
      <c r="A115" s="40"/>
      <c r="C115" s="40"/>
      <c r="D115" s="41"/>
      <c r="E115" s="42"/>
      <c r="F115" s="37"/>
      <c r="G115" s="94" t="s">
        <v>253</v>
      </c>
      <c r="H115" s="87">
        <f t="shared" ref="H115:R115" si="47">H109</f>
        <v>2011</v>
      </c>
      <c r="I115" s="87">
        <f t="shared" si="47"/>
        <v>2012</v>
      </c>
      <c r="J115" s="87">
        <f t="shared" si="47"/>
        <v>2013</v>
      </c>
      <c r="K115" s="87">
        <f t="shared" si="47"/>
        <v>2014</v>
      </c>
      <c r="L115" s="87">
        <f t="shared" si="47"/>
        <v>2015</v>
      </c>
      <c r="M115" s="87">
        <f t="shared" si="47"/>
        <v>2016</v>
      </c>
      <c r="N115" s="87">
        <f t="shared" si="47"/>
        <v>2017</v>
      </c>
      <c r="O115" s="87">
        <f t="shared" si="47"/>
        <v>2018</v>
      </c>
      <c r="P115" s="87">
        <f t="shared" si="47"/>
        <v>2019</v>
      </c>
      <c r="Q115" s="87">
        <f t="shared" si="47"/>
        <v>2020</v>
      </c>
      <c r="R115" s="87">
        <f t="shared" si="47"/>
        <v>2021</v>
      </c>
      <c r="S115" s="87">
        <f>S109</f>
        <v>2022</v>
      </c>
    </row>
    <row r="116" spans="1:19" x14ac:dyDescent="0.2">
      <c r="A116" s="8" t="s">
        <v>529</v>
      </c>
      <c r="B116" s="2" t="s">
        <v>254</v>
      </c>
      <c r="C116" s="8" t="s">
        <v>255</v>
      </c>
      <c r="D116" s="43"/>
      <c r="E116" s="106">
        <v>0.05</v>
      </c>
      <c r="G116" s="103" t="s">
        <v>256</v>
      </c>
      <c r="H116" s="108">
        <f t="shared" ref="H116:R116" si="48">H35/H33</f>
        <v>0.11317259944502231</v>
      </c>
      <c r="I116" s="108">
        <f t="shared" si="48"/>
        <v>0.15658036480490789</v>
      </c>
      <c r="J116" s="108">
        <f t="shared" si="48"/>
        <v>0.24701524757424956</v>
      </c>
      <c r="K116" s="108">
        <f t="shared" si="48"/>
        <v>0.21083568234958369</v>
      </c>
      <c r="L116" s="108">
        <f t="shared" si="48"/>
        <v>0.16570142301708204</v>
      </c>
      <c r="M116" s="108">
        <f t="shared" si="48"/>
        <v>6.9176799805170733E-2</v>
      </c>
      <c r="N116" s="108">
        <f t="shared" si="48"/>
        <v>0.10028072504806558</v>
      </c>
      <c r="O116" s="108">
        <f t="shared" si="48"/>
        <v>7.8457446808510634E-2</v>
      </c>
      <c r="P116" s="108">
        <f t="shared" si="48"/>
        <v>8.7591240875912413E-2</v>
      </c>
      <c r="Q116" s="108">
        <f t="shared" si="48"/>
        <v>7.9754601226993863E-2</v>
      </c>
      <c r="R116" s="108">
        <f t="shared" si="48"/>
        <v>8.8921282798833823E-2</v>
      </c>
      <c r="S116" s="108">
        <f>S35/S33</f>
        <v>7.9754601226993863E-2</v>
      </c>
    </row>
    <row r="117" spans="1:19" x14ac:dyDescent="0.2">
      <c r="A117" s="8" t="s">
        <v>530</v>
      </c>
      <c r="B117" s="2" t="s">
        <v>257</v>
      </c>
      <c r="C117" s="8" t="s">
        <v>258</v>
      </c>
      <c r="E117" s="106">
        <v>0.95</v>
      </c>
      <c r="G117" s="110" t="s">
        <v>259</v>
      </c>
      <c r="H117" s="118">
        <f t="shared" ref="H117:R117" si="49">(H36+H34)/H33</f>
        <v>0.88682740055497766</v>
      </c>
      <c r="I117" s="118">
        <f t="shared" si="49"/>
        <v>0.84341963519509211</v>
      </c>
      <c r="J117" s="118">
        <f t="shared" si="49"/>
        <v>0.75298475242575047</v>
      </c>
      <c r="K117" s="118">
        <f t="shared" si="49"/>
        <v>0.78916431765041628</v>
      </c>
      <c r="L117" s="118">
        <f t="shared" si="49"/>
        <v>0.80737786121929278</v>
      </c>
      <c r="M117" s="118">
        <f t="shared" si="49"/>
        <v>0.62095779681603058</v>
      </c>
      <c r="N117" s="118">
        <f t="shared" si="49"/>
        <v>0.89936388829942859</v>
      </c>
      <c r="O117" s="118">
        <f t="shared" si="49"/>
        <v>0.92154255319148937</v>
      </c>
      <c r="P117" s="118">
        <f t="shared" si="49"/>
        <v>0.91240875912408759</v>
      </c>
      <c r="Q117" s="118">
        <f t="shared" si="49"/>
        <v>0.92024539877300615</v>
      </c>
      <c r="R117" s="118">
        <f t="shared" si="49"/>
        <v>0.91107871720116618</v>
      </c>
      <c r="S117" s="118">
        <f>(S36+S34)/S33</f>
        <v>0.92024539877300615</v>
      </c>
    </row>
    <row r="118" spans="1:19" x14ac:dyDescent="0.2">
      <c r="A118" s="8" t="s">
        <v>531</v>
      </c>
      <c r="B118" s="2" t="s">
        <v>260</v>
      </c>
      <c r="C118" s="8" t="s">
        <v>261</v>
      </c>
      <c r="E118" s="106">
        <v>0.95</v>
      </c>
      <c r="G118" s="46" t="s">
        <v>262</v>
      </c>
      <c r="H118" s="108">
        <f t="shared" ref="H118:R118" si="50">H38/(H38+H41)</f>
        <v>0</v>
      </c>
      <c r="I118" s="108">
        <f t="shared" si="50"/>
        <v>0</v>
      </c>
      <c r="J118" s="108">
        <f t="shared" si="50"/>
        <v>0</v>
      </c>
      <c r="K118" s="108">
        <f t="shared" si="50"/>
        <v>0</v>
      </c>
      <c r="L118" s="108">
        <f t="shared" si="50"/>
        <v>0</v>
      </c>
      <c r="M118" s="108">
        <f t="shared" si="50"/>
        <v>0</v>
      </c>
      <c r="N118" s="108">
        <f t="shared" si="50"/>
        <v>0</v>
      </c>
      <c r="O118" s="108">
        <f t="shared" si="50"/>
        <v>0</v>
      </c>
      <c r="P118" s="108">
        <f t="shared" si="50"/>
        <v>0</v>
      </c>
      <c r="Q118" s="108">
        <f t="shared" si="50"/>
        <v>0</v>
      </c>
      <c r="R118" s="108">
        <f t="shared" si="50"/>
        <v>0</v>
      </c>
      <c r="S118" s="108">
        <f>S38/(S38+S41)</f>
        <v>0</v>
      </c>
    </row>
    <row r="119" spans="1:19" x14ac:dyDescent="0.2">
      <c r="A119" s="40"/>
      <c r="C119" s="41"/>
      <c r="D119" s="41"/>
      <c r="E119" s="42"/>
      <c r="F119" s="37"/>
      <c r="G119" s="94" t="s">
        <v>532</v>
      </c>
      <c r="H119" s="87">
        <f>H115</f>
        <v>2011</v>
      </c>
      <c r="I119" s="87">
        <f t="shared" ref="I119:R119" si="51">I115</f>
        <v>2012</v>
      </c>
      <c r="J119" s="87">
        <f t="shared" si="51"/>
        <v>2013</v>
      </c>
      <c r="K119" s="87">
        <f t="shared" si="51"/>
        <v>2014</v>
      </c>
      <c r="L119" s="87">
        <f t="shared" si="51"/>
        <v>2015</v>
      </c>
      <c r="M119" s="87">
        <f t="shared" si="51"/>
        <v>2016</v>
      </c>
      <c r="N119" s="87">
        <f t="shared" si="51"/>
        <v>2017</v>
      </c>
      <c r="O119" s="87">
        <f t="shared" si="51"/>
        <v>2018</v>
      </c>
      <c r="P119" s="87">
        <f t="shared" si="51"/>
        <v>2019</v>
      </c>
      <c r="Q119" s="87">
        <f t="shared" si="51"/>
        <v>2020</v>
      </c>
      <c r="R119" s="87">
        <f t="shared" si="51"/>
        <v>2021</v>
      </c>
      <c r="S119" s="87">
        <f>S115</f>
        <v>2022</v>
      </c>
    </row>
    <row r="120" spans="1:19" x14ac:dyDescent="0.2">
      <c r="A120" s="4" t="s">
        <v>533</v>
      </c>
      <c r="B120" s="2" t="s">
        <v>263</v>
      </c>
      <c r="C120" s="8" t="s">
        <v>264</v>
      </c>
      <c r="D120" s="120">
        <v>0.5</v>
      </c>
      <c r="E120" s="121" t="s">
        <v>265</v>
      </c>
      <c r="F120" s="4"/>
      <c r="G120" s="103" t="s">
        <v>266</v>
      </c>
      <c r="H120" s="111" t="str">
        <f t="shared" ref="H120:R120" si="52">IF(H116&lt;$D$120,$E$120,H35/H4)</f>
        <v>N/A</v>
      </c>
      <c r="I120" s="111" t="str">
        <f t="shared" si="52"/>
        <v>N/A</v>
      </c>
      <c r="J120" s="111" t="str">
        <f t="shared" si="52"/>
        <v>N/A</v>
      </c>
      <c r="K120" s="111" t="str">
        <f t="shared" si="52"/>
        <v>N/A</v>
      </c>
      <c r="L120" s="111" t="str">
        <f t="shared" si="52"/>
        <v>N/A</v>
      </c>
      <c r="M120" s="111" t="str">
        <f t="shared" si="52"/>
        <v>N/A</v>
      </c>
      <c r="N120" s="111" t="str">
        <f t="shared" si="52"/>
        <v>N/A</v>
      </c>
      <c r="O120" s="111" t="str">
        <f t="shared" si="52"/>
        <v>N/A</v>
      </c>
      <c r="P120" s="111" t="str">
        <f t="shared" si="52"/>
        <v>N/A</v>
      </c>
      <c r="Q120" s="111" t="str">
        <f t="shared" si="52"/>
        <v>N/A</v>
      </c>
      <c r="R120" s="111" t="str">
        <f t="shared" si="52"/>
        <v>N/A</v>
      </c>
      <c r="S120" s="111" t="str">
        <f>IF(S116&lt;$D$120,$E$120,S35/S4)</f>
        <v>N/A</v>
      </c>
    </row>
    <row r="121" spans="1:19" x14ac:dyDescent="0.2">
      <c r="A121" s="4" t="s">
        <v>534</v>
      </c>
      <c r="B121" s="2" t="s">
        <v>535</v>
      </c>
      <c r="C121" s="8" t="s">
        <v>267</v>
      </c>
      <c r="D121" s="120">
        <v>0.5</v>
      </c>
      <c r="E121" s="121" t="s">
        <v>265</v>
      </c>
      <c r="F121" s="4"/>
      <c r="G121" s="110" t="s">
        <v>268</v>
      </c>
      <c r="H121" s="111" t="str">
        <f t="shared" ref="H121:R121" si="53">IF(H116&lt;$D$121,$E$121,H35/H15)</f>
        <v>N/A</v>
      </c>
      <c r="I121" s="111" t="str">
        <f t="shared" si="53"/>
        <v>N/A</v>
      </c>
      <c r="J121" s="111" t="str">
        <f t="shared" si="53"/>
        <v>N/A</v>
      </c>
      <c r="K121" s="111" t="str">
        <f t="shared" si="53"/>
        <v>N/A</v>
      </c>
      <c r="L121" s="111" t="str">
        <f t="shared" si="53"/>
        <v>N/A</v>
      </c>
      <c r="M121" s="111" t="str">
        <f t="shared" si="53"/>
        <v>N/A</v>
      </c>
      <c r="N121" s="111" t="str">
        <f t="shared" si="53"/>
        <v>N/A</v>
      </c>
      <c r="O121" s="111" t="str">
        <f t="shared" si="53"/>
        <v>N/A</v>
      </c>
      <c r="P121" s="111" t="str">
        <f t="shared" si="53"/>
        <v>N/A</v>
      </c>
      <c r="Q121" s="111" t="str">
        <f t="shared" si="53"/>
        <v>N/A</v>
      </c>
      <c r="R121" s="111" t="str">
        <f t="shared" si="53"/>
        <v>N/A</v>
      </c>
      <c r="S121" s="111" t="str">
        <f>IF(S116&lt;$D$121,$E$121,S35/S15)</f>
        <v>N/A</v>
      </c>
    </row>
    <row r="122" spans="1:19" x14ac:dyDescent="0.2">
      <c r="A122" s="4" t="s">
        <v>536</v>
      </c>
      <c r="B122" s="2" t="s">
        <v>537</v>
      </c>
      <c r="C122" s="8" t="s">
        <v>201</v>
      </c>
      <c r="D122" s="120">
        <v>0.5</v>
      </c>
      <c r="E122" s="121" t="s">
        <v>265</v>
      </c>
      <c r="F122" s="4"/>
      <c r="G122" s="103" t="s">
        <v>269</v>
      </c>
      <c r="H122" s="118" t="str">
        <f t="shared" ref="H122:R122" si="54">IF(H116&lt;$D$122,$E$122,H46/H33)</f>
        <v>N/A</v>
      </c>
      <c r="I122" s="118" t="str">
        <f t="shared" si="54"/>
        <v>N/A</v>
      </c>
      <c r="J122" s="118" t="str">
        <f t="shared" si="54"/>
        <v>N/A</v>
      </c>
      <c r="K122" s="118" t="str">
        <f t="shared" si="54"/>
        <v>N/A</v>
      </c>
      <c r="L122" s="118" t="str">
        <f t="shared" si="54"/>
        <v>N/A</v>
      </c>
      <c r="M122" s="118" t="str">
        <f t="shared" si="54"/>
        <v>N/A</v>
      </c>
      <c r="N122" s="118" t="str">
        <f t="shared" si="54"/>
        <v>N/A</v>
      </c>
      <c r="O122" s="118" t="str">
        <f t="shared" si="54"/>
        <v>N/A</v>
      </c>
      <c r="P122" s="118" t="str">
        <f t="shared" si="54"/>
        <v>N/A</v>
      </c>
      <c r="Q122" s="118" t="str">
        <f t="shared" si="54"/>
        <v>N/A</v>
      </c>
      <c r="R122" s="118" t="str">
        <f t="shared" si="54"/>
        <v>N/A</v>
      </c>
      <c r="S122" s="118" t="str">
        <f>IF(S116&lt;$D$122,$E$122,S46/S33)</f>
        <v>N/A</v>
      </c>
    </row>
    <row r="123" spans="1:19" x14ac:dyDescent="0.2">
      <c r="A123" s="4" t="s">
        <v>538</v>
      </c>
      <c r="B123" s="2" t="s">
        <v>539</v>
      </c>
      <c r="C123" s="8" t="s">
        <v>270</v>
      </c>
      <c r="D123" s="120">
        <v>0.5</v>
      </c>
      <c r="E123" s="121" t="s">
        <v>265</v>
      </c>
      <c r="F123" s="4"/>
      <c r="G123" s="110" t="s">
        <v>271</v>
      </c>
      <c r="H123" s="118" t="str">
        <f t="shared" ref="H123:R123" si="55">IF(H116&lt;$D$122,$E$123,H51/H33)</f>
        <v>N/A</v>
      </c>
      <c r="I123" s="118" t="str">
        <f t="shared" si="55"/>
        <v>N/A</v>
      </c>
      <c r="J123" s="118" t="str">
        <f t="shared" si="55"/>
        <v>N/A</v>
      </c>
      <c r="K123" s="118" t="str">
        <f t="shared" si="55"/>
        <v>N/A</v>
      </c>
      <c r="L123" s="118" t="str">
        <f t="shared" si="55"/>
        <v>N/A</v>
      </c>
      <c r="M123" s="118" t="str">
        <f t="shared" si="55"/>
        <v>N/A</v>
      </c>
      <c r="N123" s="118" t="str">
        <f t="shared" si="55"/>
        <v>N/A</v>
      </c>
      <c r="O123" s="118" t="str">
        <f t="shared" si="55"/>
        <v>N/A</v>
      </c>
      <c r="P123" s="118" t="str">
        <f t="shared" si="55"/>
        <v>N/A</v>
      </c>
      <c r="Q123" s="118" t="str">
        <f t="shared" si="55"/>
        <v>N/A</v>
      </c>
      <c r="R123" s="118" t="str">
        <f t="shared" si="55"/>
        <v>N/A</v>
      </c>
      <c r="S123" s="118" t="str">
        <f>IF(S116&lt;$D$122,$E$123,S51/S33)</f>
        <v>N/A</v>
      </c>
    </row>
    <row r="124" spans="1:19" x14ac:dyDescent="0.2">
      <c r="A124" s="4" t="s">
        <v>540</v>
      </c>
      <c r="B124" s="2" t="s">
        <v>541</v>
      </c>
      <c r="C124" s="8" t="s">
        <v>272</v>
      </c>
      <c r="D124" s="120">
        <v>0.5</v>
      </c>
      <c r="E124" s="121" t="s">
        <v>265</v>
      </c>
      <c r="F124" s="4"/>
      <c r="G124" s="110" t="s">
        <v>273</v>
      </c>
      <c r="H124" s="118" t="str">
        <f t="shared" ref="H124:R124" si="56">IF(H116&lt;$D$124,$E$124,H51/H4)</f>
        <v>N/A</v>
      </c>
      <c r="I124" s="118" t="str">
        <f t="shared" si="56"/>
        <v>N/A</v>
      </c>
      <c r="J124" s="118" t="str">
        <f t="shared" si="56"/>
        <v>N/A</v>
      </c>
      <c r="K124" s="118" t="str">
        <f t="shared" si="56"/>
        <v>N/A</v>
      </c>
      <c r="L124" s="118" t="str">
        <f t="shared" si="56"/>
        <v>N/A</v>
      </c>
      <c r="M124" s="118" t="str">
        <f t="shared" si="56"/>
        <v>N/A</v>
      </c>
      <c r="N124" s="118" t="str">
        <f t="shared" si="56"/>
        <v>N/A</v>
      </c>
      <c r="O124" s="118" t="str">
        <f t="shared" si="56"/>
        <v>N/A</v>
      </c>
      <c r="P124" s="118" t="str">
        <f t="shared" si="56"/>
        <v>N/A</v>
      </c>
      <c r="Q124" s="118" t="str">
        <f t="shared" si="56"/>
        <v>N/A</v>
      </c>
      <c r="R124" s="118" t="str">
        <f t="shared" si="56"/>
        <v>N/A</v>
      </c>
      <c r="S124" s="118" t="str">
        <f>IF(S116&lt;$D$124,$E$124,S51/S4)</f>
        <v>N/A</v>
      </c>
    </row>
    <row r="125" spans="1:19" x14ac:dyDescent="0.2">
      <c r="A125" s="4" t="s">
        <v>542</v>
      </c>
      <c r="B125" s="2" t="s">
        <v>543</v>
      </c>
      <c r="C125" s="8" t="s">
        <v>274</v>
      </c>
      <c r="D125" s="120">
        <v>0.5</v>
      </c>
      <c r="E125" s="121" t="s">
        <v>265</v>
      </c>
      <c r="F125" s="4"/>
      <c r="G125" s="46" t="s">
        <v>275</v>
      </c>
      <c r="H125" s="118" t="str">
        <f t="shared" ref="H125:R125" si="57">IF(H116&lt;$D$125,$E$125,H51/H27)</f>
        <v>N/A</v>
      </c>
      <c r="I125" s="118" t="str">
        <f t="shared" si="57"/>
        <v>N/A</v>
      </c>
      <c r="J125" s="118" t="str">
        <f t="shared" si="57"/>
        <v>N/A</v>
      </c>
      <c r="K125" s="118" t="str">
        <f t="shared" si="57"/>
        <v>N/A</v>
      </c>
      <c r="L125" s="118" t="str">
        <f t="shared" si="57"/>
        <v>N/A</v>
      </c>
      <c r="M125" s="118" t="str">
        <f t="shared" si="57"/>
        <v>N/A</v>
      </c>
      <c r="N125" s="118" t="str">
        <f t="shared" si="57"/>
        <v>N/A</v>
      </c>
      <c r="O125" s="118" t="str">
        <f t="shared" si="57"/>
        <v>N/A</v>
      </c>
      <c r="P125" s="118" t="str">
        <f t="shared" si="57"/>
        <v>N/A</v>
      </c>
      <c r="Q125" s="118" t="str">
        <f t="shared" si="57"/>
        <v>N/A</v>
      </c>
      <c r="R125" s="118" t="str">
        <f t="shared" si="57"/>
        <v>N/A</v>
      </c>
      <c r="S125" s="118" t="str">
        <f>IF(S116&lt;$D$125,$E$125,S51/S27)</f>
        <v>N/A</v>
      </c>
    </row>
    <row r="126" spans="1:19" x14ac:dyDescent="0.2">
      <c r="C126" s="41"/>
      <c r="D126" s="41"/>
      <c r="E126" s="42"/>
      <c r="F126" s="4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</row>
    <row r="127" spans="1:19" x14ac:dyDescent="0.2">
      <c r="F127" s="4"/>
      <c r="H127" s="87">
        <f>H119</f>
        <v>2011</v>
      </c>
      <c r="I127" s="87">
        <f t="shared" ref="I127:R127" si="58">I119</f>
        <v>2012</v>
      </c>
      <c r="J127" s="87">
        <f t="shared" si="58"/>
        <v>2013</v>
      </c>
      <c r="K127" s="87">
        <f t="shared" si="58"/>
        <v>2014</v>
      </c>
      <c r="L127" s="87">
        <f t="shared" si="58"/>
        <v>2015</v>
      </c>
      <c r="M127" s="87">
        <f t="shared" si="58"/>
        <v>2016</v>
      </c>
      <c r="N127" s="87">
        <f t="shared" si="58"/>
        <v>2017</v>
      </c>
      <c r="O127" s="87">
        <f t="shared" si="58"/>
        <v>2018</v>
      </c>
      <c r="P127" s="87">
        <f t="shared" si="58"/>
        <v>2019</v>
      </c>
      <c r="Q127" s="87">
        <f t="shared" si="58"/>
        <v>2020</v>
      </c>
      <c r="R127" s="87">
        <f t="shared" si="58"/>
        <v>2021</v>
      </c>
      <c r="S127" s="87">
        <f>S119</f>
        <v>2022</v>
      </c>
    </row>
    <row r="128" spans="1:19" x14ac:dyDescent="0.2">
      <c r="G128" s="95" t="s">
        <v>276</v>
      </c>
      <c r="H128" s="96">
        <f t="shared" ref="H128:R128" si="59">H33</f>
        <v>289381</v>
      </c>
      <c r="I128" s="96">
        <f t="shared" si="59"/>
        <v>219076</v>
      </c>
      <c r="J128" s="96">
        <f t="shared" si="59"/>
        <v>220035</v>
      </c>
      <c r="K128" s="96">
        <f t="shared" si="59"/>
        <v>199729</v>
      </c>
      <c r="L128" s="96">
        <f t="shared" si="59"/>
        <v>307867</v>
      </c>
      <c r="M128" s="96">
        <f t="shared" si="59"/>
        <v>644667</v>
      </c>
      <c r="N128" s="96">
        <f t="shared" si="59"/>
        <v>526187.46</v>
      </c>
      <c r="O128" s="96">
        <f t="shared" si="59"/>
        <v>752000</v>
      </c>
      <c r="P128" s="96">
        <f t="shared" si="59"/>
        <v>685000</v>
      </c>
      <c r="Q128" s="96">
        <f t="shared" si="59"/>
        <v>815000</v>
      </c>
      <c r="R128" s="96">
        <f t="shared" si="59"/>
        <v>686000</v>
      </c>
      <c r="S128" s="96">
        <f>S33</f>
        <v>815000</v>
      </c>
    </row>
    <row r="129" spans="3:19" x14ac:dyDescent="0.2">
      <c r="G129" s="95" t="s">
        <v>277</v>
      </c>
      <c r="H129" s="96">
        <f t="shared" ref="H129:R130" si="60">H35</f>
        <v>32750</v>
      </c>
      <c r="I129" s="96">
        <f t="shared" si="60"/>
        <v>34303</v>
      </c>
      <c r="J129" s="96">
        <f t="shared" si="60"/>
        <v>54352</v>
      </c>
      <c r="K129" s="96">
        <f t="shared" si="60"/>
        <v>42110</v>
      </c>
      <c r="L129" s="96">
        <f t="shared" si="60"/>
        <v>51014</v>
      </c>
      <c r="M129" s="96">
        <f t="shared" si="60"/>
        <v>44596</v>
      </c>
      <c r="N129" s="96">
        <f t="shared" si="60"/>
        <v>52766.46</v>
      </c>
      <c r="O129" s="96">
        <f t="shared" si="60"/>
        <v>59000</v>
      </c>
      <c r="P129" s="96">
        <f t="shared" si="60"/>
        <v>60000</v>
      </c>
      <c r="Q129" s="96">
        <f t="shared" si="60"/>
        <v>65000</v>
      </c>
      <c r="R129" s="96">
        <f t="shared" si="60"/>
        <v>61000</v>
      </c>
      <c r="S129" s="96">
        <f>S35</f>
        <v>65000</v>
      </c>
    </row>
    <row r="130" spans="3:19" x14ac:dyDescent="0.2">
      <c r="G130" s="95" t="s">
        <v>278</v>
      </c>
      <c r="H130" s="96">
        <f t="shared" si="60"/>
        <v>256631</v>
      </c>
      <c r="I130" s="96">
        <f t="shared" si="60"/>
        <v>184773</v>
      </c>
      <c r="J130" s="96">
        <f t="shared" si="60"/>
        <v>165683</v>
      </c>
      <c r="K130" s="96">
        <f t="shared" si="60"/>
        <v>157619</v>
      </c>
      <c r="L130" s="96">
        <f t="shared" si="60"/>
        <v>248565</v>
      </c>
      <c r="M130" s="96">
        <f t="shared" si="60"/>
        <v>400311</v>
      </c>
      <c r="N130" s="96">
        <f t="shared" si="60"/>
        <v>473234</v>
      </c>
      <c r="O130" s="96">
        <f t="shared" si="60"/>
        <v>693000</v>
      </c>
      <c r="P130" s="96">
        <f t="shared" si="60"/>
        <v>625000</v>
      </c>
      <c r="Q130" s="96">
        <f t="shared" si="60"/>
        <v>750000</v>
      </c>
      <c r="R130" s="96">
        <f t="shared" si="60"/>
        <v>625000</v>
      </c>
      <c r="S130" s="96">
        <f>S36</f>
        <v>750000</v>
      </c>
    </row>
    <row r="131" spans="3:19" x14ac:dyDescent="0.2">
      <c r="G131" s="95" t="s">
        <v>279</v>
      </c>
      <c r="H131" s="96">
        <f t="shared" ref="H131:R131" si="61">H38+H41</f>
        <v>-266936</v>
      </c>
      <c r="I131" s="96">
        <f t="shared" si="61"/>
        <v>-193396</v>
      </c>
      <c r="J131" s="96">
        <f t="shared" si="61"/>
        <v>-182223</v>
      </c>
      <c r="K131" s="96">
        <f t="shared" si="61"/>
        <v>-199837</v>
      </c>
      <c r="L131" s="96">
        <f t="shared" si="61"/>
        <v>-343012</v>
      </c>
      <c r="M131" s="96">
        <f t="shared" si="61"/>
        <v>-513231.64</v>
      </c>
      <c r="N131" s="96">
        <f t="shared" si="61"/>
        <v>-527176.86</v>
      </c>
      <c r="O131" s="96">
        <f t="shared" si="61"/>
        <v>-746150</v>
      </c>
      <c r="P131" s="96">
        <f t="shared" si="61"/>
        <v>-690770</v>
      </c>
      <c r="Q131" s="96">
        <f t="shared" si="61"/>
        <v>-777962</v>
      </c>
      <c r="R131" s="96">
        <f t="shared" si="61"/>
        <v>-708146</v>
      </c>
      <c r="S131" s="96">
        <f>S38+S41</f>
        <v>-799972</v>
      </c>
    </row>
    <row r="132" spans="3:19" x14ac:dyDescent="0.2">
      <c r="G132" s="95" t="s">
        <v>280</v>
      </c>
      <c r="H132" s="96">
        <f t="shared" ref="H132:R132" si="62">H41</f>
        <v>-266936</v>
      </c>
      <c r="I132" s="96">
        <f t="shared" si="62"/>
        <v>-193396</v>
      </c>
      <c r="J132" s="96">
        <f t="shared" si="62"/>
        <v>-182223</v>
      </c>
      <c r="K132" s="96">
        <f t="shared" si="62"/>
        <v>-199837</v>
      </c>
      <c r="L132" s="96">
        <f t="shared" si="62"/>
        <v>-343012</v>
      </c>
      <c r="M132" s="96">
        <f t="shared" si="62"/>
        <v>-513231.64</v>
      </c>
      <c r="N132" s="96">
        <f t="shared" si="62"/>
        <v>-527176.86</v>
      </c>
      <c r="O132" s="96">
        <f t="shared" si="62"/>
        <v>-746150</v>
      </c>
      <c r="P132" s="96">
        <f t="shared" si="62"/>
        <v>-690770</v>
      </c>
      <c r="Q132" s="96">
        <f t="shared" si="62"/>
        <v>-777962</v>
      </c>
      <c r="R132" s="96">
        <f t="shared" si="62"/>
        <v>-708146</v>
      </c>
      <c r="S132" s="96">
        <f>S41</f>
        <v>-799972</v>
      </c>
    </row>
    <row r="133" spans="3:19" x14ac:dyDescent="0.2">
      <c r="G133" s="95" t="s">
        <v>281</v>
      </c>
      <c r="H133" s="96">
        <f t="shared" ref="H133:R133" si="63">H38</f>
        <v>0</v>
      </c>
      <c r="I133" s="96">
        <f t="shared" si="63"/>
        <v>0</v>
      </c>
      <c r="J133" s="96">
        <f t="shared" si="63"/>
        <v>0</v>
      </c>
      <c r="K133" s="96">
        <f t="shared" si="63"/>
        <v>0</v>
      </c>
      <c r="L133" s="96">
        <f t="shared" si="63"/>
        <v>0</v>
      </c>
      <c r="M133" s="96">
        <f t="shared" si="63"/>
        <v>0</v>
      </c>
      <c r="N133" s="96">
        <f t="shared" si="63"/>
        <v>0</v>
      </c>
      <c r="O133" s="96">
        <f t="shared" si="63"/>
        <v>0</v>
      </c>
      <c r="P133" s="96">
        <f t="shared" si="63"/>
        <v>0</v>
      </c>
      <c r="Q133" s="96">
        <f t="shared" si="63"/>
        <v>0</v>
      </c>
      <c r="R133" s="96">
        <f t="shared" si="63"/>
        <v>0</v>
      </c>
      <c r="S133" s="96">
        <f>S38</f>
        <v>0</v>
      </c>
    </row>
    <row r="134" spans="3:19" x14ac:dyDescent="0.2">
      <c r="G134" s="95" t="s">
        <v>282</v>
      </c>
      <c r="H134" s="96">
        <f t="shared" ref="H134:R134" si="64">H46</f>
        <v>22445</v>
      </c>
      <c r="I134" s="96">
        <f t="shared" si="64"/>
        <v>25680</v>
      </c>
      <c r="J134" s="96">
        <f t="shared" si="64"/>
        <v>37812</v>
      </c>
      <c r="K134" s="96">
        <f t="shared" si="64"/>
        <v>-108</v>
      </c>
      <c r="L134" s="96">
        <f t="shared" si="64"/>
        <v>-35145</v>
      </c>
      <c r="M134" s="96">
        <f t="shared" si="64"/>
        <v>131435.35999999999</v>
      </c>
      <c r="N134" s="96">
        <f t="shared" si="64"/>
        <v>-989.40000000002328</v>
      </c>
      <c r="O134" s="96">
        <f t="shared" si="64"/>
        <v>5850</v>
      </c>
      <c r="P134" s="96">
        <f t="shared" si="64"/>
        <v>-5770</v>
      </c>
      <c r="Q134" s="96">
        <f t="shared" si="64"/>
        <v>37038</v>
      </c>
      <c r="R134" s="96">
        <f t="shared" si="64"/>
        <v>-22146</v>
      </c>
      <c r="S134" s="96">
        <f>S46</f>
        <v>15028</v>
      </c>
    </row>
    <row r="135" spans="3:19" x14ac:dyDescent="0.2">
      <c r="G135" s="95" t="s">
        <v>283</v>
      </c>
      <c r="H135" s="96">
        <f t="shared" ref="H135:R135" si="65">H51</f>
        <v>22467</v>
      </c>
      <c r="I135" s="96">
        <f t="shared" si="65"/>
        <v>25706</v>
      </c>
      <c r="J135" s="96">
        <f t="shared" si="65"/>
        <v>37819</v>
      </c>
      <c r="K135" s="96">
        <f t="shared" si="65"/>
        <v>-103</v>
      </c>
      <c r="L135" s="96">
        <f t="shared" si="65"/>
        <v>-35139</v>
      </c>
      <c r="M135" s="96">
        <f t="shared" si="65"/>
        <v>131488.50999999998</v>
      </c>
      <c r="N135" s="96">
        <f t="shared" si="65"/>
        <v>55.409999999976662</v>
      </c>
      <c r="O135" s="96">
        <f t="shared" si="65"/>
        <v>5850</v>
      </c>
      <c r="P135" s="96">
        <f t="shared" si="65"/>
        <v>-5770</v>
      </c>
      <c r="Q135" s="96">
        <f t="shared" si="65"/>
        <v>37038</v>
      </c>
      <c r="R135" s="96">
        <f t="shared" si="65"/>
        <v>-22146</v>
      </c>
      <c r="S135" s="96">
        <f>S51</f>
        <v>15028</v>
      </c>
    </row>
    <row r="136" spans="3:19" x14ac:dyDescent="0.2">
      <c r="G136" s="95" t="s">
        <v>284</v>
      </c>
      <c r="H136" s="96">
        <f t="shared" ref="H136:R137" si="66">H4</f>
        <v>55874</v>
      </c>
      <c r="I136" s="96">
        <f t="shared" si="66"/>
        <v>82472</v>
      </c>
      <c r="J136" s="96">
        <f t="shared" si="66"/>
        <v>111712</v>
      </c>
      <c r="K136" s="96">
        <f t="shared" si="66"/>
        <v>108751</v>
      </c>
      <c r="L136" s="96">
        <f t="shared" si="66"/>
        <v>110292</v>
      </c>
      <c r="M136" s="96">
        <f t="shared" si="66"/>
        <v>222340</v>
      </c>
      <c r="N136" s="96">
        <f t="shared" si="66"/>
        <v>387374</v>
      </c>
      <c r="O136" s="96">
        <f t="shared" si="66"/>
        <v>242821</v>
      </c>
      <c r="P136" s="96">
        <f t="shared" si="66"/>
        <v>393465.5</v>
      </c>
      <c r="Q136" s="96">
        <f t="shared" si="66"/>
        <v>425841</v>
      </c>
      <c r="R136" s="96">
        <f t="shared" si="66"/>
        <v>2840559</v>
      </c>
      <c r="S136" s="96">
        <f>S4</f>
        <v>2795007</v>
      </c>
    </row>
    <row r="137" spans="3:19" x14ac:dyDescent="0.2">
      <c r="G137" s="95" t="s">
        <v>285</v>
      </c>
      <c r="H137" s="96">
        <f t="shared" si="66"/>
        <v>40583</v>
      </c>
      <c r="I137" s="96">
        <f t="shared" si="66"/>
        <v>67373</v>
      </c>
      <c r="J137" s="96">
        <f t="shared" si="66"/>
        <v>95643</v>
      </c>
      <c r="K137" s="96">
        <f t="shared" si="66"/>
        <v>78821</v>
      </c>
      <c r="L137" s="96">
        <f t="shared" si="66"/>
        <v>78262</v>
      </c>
      <c r="M137" s="96">
        <f t="shared" si="66"/>
        <v>172124</v>
      </c>
      <c r="N137" s="96">
        <f t="shared" si="66"/>
        <v>237003</v>
      </c>
      <c r="O137" s="96">
        <f t="shared" si="66"/>
        <v>7450</v>
      </c>
      <c r="P137" s="96">
        <f t="shared" si="66"/>
        <v>152428.5</v>
      </c>
      <c r="Q137" s="96">
        <f t="shared" si="66"/>
        <v>189138</v>
      </c>
      <c r="R137" s="96">
        <f t="shared" si="66"/>
        <v>208190</v>
      </c>
      <c r="S137" s="96">
        <f>S5</f>
        <v>212638</v>
      </c>
    </row>
    <row r="138" spans="3:19" x14ac:dyDescent="0.2">
      <c r="G138" s="95" t="s">
        <v>286</v>
      </c>
      <c r="H138" s="96">
        <f t="shared" ref="H138:R138" si="67">H10</f>
        <v>15291</v>
      </c>
      <c r="I138" s="96">
        <f t="shared" si="67"/>
        <v>15099</v>
      </c>
      <c r="J138" s="96">
        <f t="shared" si="67"/>
        <v>16069</v>
      </c>
      <c r="K138" s="96">
        <f t="shared" si="67"/>
        <v>29930</v>
      </c>
      <c r="L138" s="96">
        <f t="shared" si="67"/>
        <v>32030</v>
      </c>
      <c r="M138" s="96">
        <f t="shared" si="67"/>
        <v>50216</v>
      </c>
      <c r="N138" s="96">
        <f t="shared" si="67"/>
        <v>150371</v>
      </c>
      <c r="O138" s="96">
        <f t="shared" si="67"/>
        <v>235371</v>
      </c>
      <c r="P138" s="96">
        <f t="shared" si="67"/>
        <v>241037</v>
      </c>
      <c r="Q138" s="96">
        <f t="shared" si="67"/>
        <v>236703</v>
      </c>
      <c r="R138" s="96">
        <f t="shared" si="67"/>
        <v>2632369</v>
      </c>
      <c r="S138" s="96">
        <f>S10</f>
        <v>2582369</v>
      </c>
    </row>
    <row r="139" spans="3:19" x14ac:dyDescent="0.2">
      <c r="G139" s="95" t="s">
        <v>287</v>
      </c>
      <c r="H139" s="96">
        <f t="shared" ref="H139:R140" si="68">H19</f>
        <v>22370</v>
      </c>
      <c r="I139" s="96">
        <f t="shared" si="68"/>
        <v>23262</v>
      </c>
      <c r="J139" s="96">
        <f t="shared" si="68"/>
        <v>14683</v>
      </c>
      <c r="K139" s="96">
        <f t="shared" si="68"/>
        <v>11825</v>
      </c>
      <c r="L139" s="96">
        <f t="shared" si="68"/>
        <v>48505</v>
      </c>
      <c r="M139" s="96">
        <f t="shared" si="68"/>
        <v>29064</v>
      </c>
      <c r="N139" s="96">
        <f t="shared" si="68"/>
        <v>220685</v>
      </c>
      <c r="O139" s="96">
        <f t="shared" si="68"/>
        <v>70282.166666666657</v>
      </c>
      <c r="P139" s="96">
        <f t="shared" si="68"/>
        <v>226696.33333333334</v>
      </c>
      <c r="Q139" s="96">
        <f t="shared" si="68"/>
        <v>222034</v>
      </c>
      <c r="R139" s="96">
        <f t="shared" si="68"/>
        <v>2658898.3333333335</v>
      </c>
      <c r="S139" s="96">
        <f>S19</f>
        <v>2598318.4500000002</v>
      </c>
    </row>
    <row r="140" spans="3:19" x14ac:dyDescent="0.2">
      <c r="G140" s="95" t="s">
        <v>288</v>
      </c>
      <c r="H140" s="96">
        <f t="shared" si="68"/>
        <v>0</v>
      </c>
      <c r="I140" s="96">
        <f t="shared" si="68"/>
        <v>0</v>
      </c>
      <c r="J140" s="96">
        <f t="shared" si="68"/>
        <v>0</v>
      </c>
      <c r="K140" s="96">
        <f t="shared" si="68"/>
        <v>0</v>
      </c>
      <c r="L140" s="96">
        <f t="shared" si="68"/>
        <v>0</v>
      </c>
      <c r="M140" s="96">
        <f t="shared" si="68"/>
        <v>0</v>
      </c>
      <c r="N140" s="96">
        <f t="shared" si="68"/>
        <v>0</v>
      </c>
      <c r="O140" s="96">
        <f t="shared" si="68"/>
        <v>0</v>
      </c>
      <c r="P140" s="96">
        <f t="shared" si="68"/>
        <v>0</v>
      </c>
      <c r="Q140" s="96">
        <f t="shared" si="68"/>
        <v>0</v>
      </c>
      <c r="R140" s="96">
        <f t="shared" si="68"/>
        <v>0</v>
      </c>
      <c r="S140" s="96">
        <f>S20</f>
        <v>0</v>
      </c>
    </row>
    <row r="141" spans="3:19" x14ac:dyDescent="0.2">
      <c r="G141" s="95" t="s">
        <v>289</v>
      </c>
      <c r="H141" s="96">
        <f t="shared" ref="H141:R141" si="69">H24</f>
        <v>0</v>
      </c>
      <c r="I141" s="96">
        <f t="shared" si="69"/>
        <v>0</v>
      </c>
      <c r="J141" s="96">
        <f t="shared" si="69"/>
        <v>0</v>
      </c>
      <c r="K141" s="96">
        <f t="shared" si="69"/>
        <v>0</v>
      </c>
      <c r="L141" s="96">
        <f t="shared" si="69"/>
        <v>0</v>
      </c>
      <c r="M141" s="96">
        <f t="shared" si="69"/>
        <v>0</v>
      </c>
      <c r="N141" s="96">
        <f t="shared" si="69"/>
        <v>0</v>
      </c>
      <c r="O141" s="96">
        <f t="shared" si="69"/>
        <v>0</v>
      </c>
      <c r="P141" s="96">
        <f t="shared" si="69"/>
        <v>0</v>
      </c>
      <c r="Q141" s="96">
        <f t="shared" si="69"/>
        <v>0</v>
      </c>
      <c r="R141" s="96">
        <f t="shared" si="69"/>
        <v>0</v>
      </c>
      <c r="S141" s="96">
        <f>S24</f>
        <v>0</v>
      </c>
    </row>
    <row r="142" spans="3:19" x14ac:dyDescent="0.2">
      <c r="G142" s="95" t="s">
        <v>290</v>
      </c>
      <c r="H142" s="96">
        <f t="shared" ref="H142:R142" si="70">H27</f>
        <v>33504</v>
      </c>
      <c r="I142" s="96">
        <f t="shared" si="70"/>
        <v>59210</v>
      </c>
      <c r="J142" s="96">
        <f t="shared" si="70"/>
        <v>97029</v>
      </c>
      <c r="K142" s="96">
        <f t="shared" si="70"/>
        <v>96926</v>
      </c>
      <c r="L142" s="96">
        <f t="shared" si="70"/>
        <v>61787</v>
      </c>
      <c r="M142" s="96">
        <f t="shared" si="70"/>
        <v>193276</v>
      </c>
      <c r="N142" s="96">
        <f t="shared" si="70"/>
        <v>166689</v>
      </c>
      <c r="O142" s="96">
        <f t="shared" si="70"/>
        <v>172539</v>
      </c>
      <c r="P142" s="96">
        <f t="shared" si="70"/>
        <v>166769</v>
      </c>
      <c r="Q142" s="96">
        <f t="shared" si="70"/>
        <v>203807</v>
      </c>
      <c r="R142" s="96">
        <f t="shared" si="70"/>
        <v>181661</v>
      </c>
      <c r="S142" s="96">
        <f>S27</f>
        <v>196689</v>
      </c>
    </row>
    <row r="143" spans="3:19" x14ac:dyDescent="0.2">
      <c r="C143" s="41"/>
      <c r="D143" s="41"/>
      <c r="E143" s="42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</row>
    <row r="144" spans="3:19" x14ac:dyDescent="0.2">
      <c r="C144" s="8" t="s">
        <v>544</v>
      </c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</row>
    <row r="145" spans="3:19" x14ac:dyDescent="0.2">
      <c r="C145" s="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</row>
    <row r="146" spans="3:19" x14ac:dyDescent="0.2">
      <c r="C146" s="8" t="s">
        <v>291</v>
      </c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</row>
    <row r="147" spans="3:19" x14ac:dyDescent="0.2">
      <c r="C147" s="8" t="s">
        <v>292</v>
      </c>
      <c r="F147" s="12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4"/>
      <c r="R147" s="44"/>
      <c r="S147" s="44"/>
    </row>
    <row r="148" spans="3:19" x14ac:dyDescent="0.2">
      <c r="C148" s="8"/>
      <c r="F148" s="12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</row>
    <row r="149" spans="3:19" x14ac:dyDescent="0.2">
      <c r="C149" s="8" t="s">
        <v>293</v>
      </c>
      <c r="F149" s="12"/>
    </row>
    <row r="150" spans="3:19" x14ac:dyDescent="0.2">
      <c r="C150" s="8" t="s">
        <v>294</v>
      </c>
      <c r="F150" s="12"/>
    </row>
  </sheetData>
  <mergeCells count="2">
    <mergeCell ref="N2:S2"/>
    <mergeCell ref="D87:E87"/>
  </mergeCells>
  <conditionalFormatting sqref="H116:Q116">
    <cfRule type="cellIs" dxfId="983" priority="80" stopIfTrue="1" operator="greaterThan">
      <formula>$E$116</formula>
    </cfRule>
    <cfRule type="cellIs" dxfId="982" priority="81" stopIfTrue="1" operator="lessThanOrEqual">
      <formula>$E$116</formula>
    </cfRule>
  </conditionalFormatting>
  <conditionalFormatting sqref="H118:Q118">
    <cfRule type="cellIs" dxfId="981" priority="78" stopIfTrue="1" operator="lessThanOrEqual">
      <formula>$E$118</formula>
    </cfRule>
    <cfRule type="cellIs" dxfId="980" priority="79" stopIfTrue="1" operator="greaterThan">
      <formula>$E$118</formula>
    </cfRule>
  </conditionalFormatting>
  <conditionalFormatting sqref="H99:Q99">
    <cfRule type="cellIs" dxfId="979" priority="76" operator="greaterThan">
      <formula>$E$99</formula>
    </cfRule>
    <cfRule type="cellIs" dxfId="978" priority="77" operator="lessThanOrEqual">
      <formula>$E$99</formula>
    </cfRule>
  </conditionalFormatting>
  <conditionalFormatting sqref="H102:Q102">
    <cfRule type="cellIs" dxfId="977" priority="74" stopIfTrue="1" operator="greaterThanOrEqual">
      <formula>$E$102</formula>
    </cfRule>
    <cfRule type="cellIs" dxfId="976" priority="75" stopIfTrue="1" operator="lessThan">
      <formula>$E$102</formula>
    </cfRule>
  </conditionalFormatting>
  <conditionalFormatting sqref="H104:Q104">
    <cfRule type="cellIs" dxfId="975" priority="72" stopIfTrue="1" operator="lessThan">
      <formula>$E$104</formula>
    </cfRule>
    <cfRule type="cellIs" dxfId="974" priority="73" stopIfTrue="1" operator="greaterThanOrEqual">
      <formula>$E$104</formula>
    </cfRule>
  </conditionalFormatting>
  <conditionalFormatting sqref="H103:Q103">
    <cfRule type="cellIs" dxfId="973" priority="70" stopIfTrue="1" operator="greaterThan">
      <formula>$E$103</formula>
    </cfRule>
    <cfRule type="cellIs" dxfId="972" priority="71" stopIfTrue="1" operator="lessThanOrEqual">
      <formula>$E$103</formula>
    </cfRule>
  </conditionalFormatting>
  <conditionalFormatting sqref="H100:Q100">
    <cfRule type="cellIs" dxfId="971" priority="59" stopIfTrue="1" operator="between">
      <formula>$D$100</formula>
      <formula>$E$100</formula>
    </cfRule>
    <cfRule type="cellIs" dxfId="970" priority="68" stopIfTrue="1" operator="lessThanOrEqual">
      <formula>$D$100</formula>
    </cfRule>
    <cfRule type="cellIs" dxfId="969" priority="69" stopIfTrue="1" operator="greaterThan">
      <formula>$E$100</formula>
    </cfRule>
  </conditionalFormatting>
  <conditionalFormatting sqref="H117:Q117">
    <cfRule type="cellIs" dxfId="968" priority="66" stopIfTrue="1" operator="greaterThan">
      <formula>$E$117</formula>
    </cfRule>
    <cfRule type="cellIs" dxfId="967" priority="67" stopIfTrue="1" operator="lessThanOrEqual">
      <formula>$E$117</formula>
    </cfRule>
  </conditionalFormatting>
  <conditionalFormatting sqref="H107:Q107">
    <cfRule type="cellIs" dxfId="966" priority="64" stopIfTrue="1" operator="greaterThan">
      <formula>$E$107</formula>
    </cfRule>
    <cfRule type="cellIs" dxfId="965" priority="65" stopIfTrue="1" operator="lessThanOrEqual">
      <formula>$E$107</formula>
    </cfRule>
  </conditionalFormatting>
  <conditionalFormatting sqref="H108:Q108">
    <cfRule type="cellIs" dxfId="964" priority="62" stopIfTrue="1" operator="lessThan">
      <formula>$E$108</formula>
    </cfRule>
    <cfRule type="cellIs" dxfId="963" priority="63" stopIfTrue="1" operator="greaterThanOrEqual">
      <formula>$E$108</formula>
    </cfRule>
  </conditionalFormatting>
  <conditionalFormatting sqref="H93:Q93">
    <cfRule type="cellIs" dxfId="962" priority="82" stopIfTrue="1" operator="lessThan">
      <formula>$D$93</formula>
    </cfRule>
    <cfRule type="cellIs" dxfId="961" priority="83" stopIfTrue="1" operator="between">
      <formula>$D$93</formula>
      <formula>$E$93</formula>
    </cfRule>
    <cfRule type="cellIs" dxfId="960" priority="84" stopIfTrue="1" operator="greaterThan">
      <formula>$E$93</formula>
    </cfRule>
  </conditionalFormatting>
  <conditionalFormatting sqref="H114:Q114">
    <cfRule type="cellIs" dxfId="959" priority="85" stopIfTrue="1" operator="lessThan">
      <formula>$E$114</formula>
    </cfRule>
    <cfRule type="cellIs" dxfId="958" priority="86" stopIfTrue="1" operator="between">
      <formula>$D$114</formula>
      <formula>$E$114</formula>
    </cfRule>
    <cfRule type="cellIs" dxfId="957" priority="87" stopIfTrue="1" operator="greaterThanOrEqual">
      <formula>$D$114</formula>
    </cfRule>
  </conditionalFormatting>
  <conditionalFormatting sqref="H90:Q90">
    <cfRule type="cellIs" dxfId="956" priority="60" stopIfTrue="1" operator="lessThan">
      <formula>$E$90</formula>
    </cfRule>
    <cfRule type="cellIs" dxfId="955" priority="61" stopIfTrue="1" operator="greaterThan">
      <formula>$E$90</formula>
    </cfRule>
  </conditionalFormatting>
  <conditionalFormatting sqref="R116">
    <cfRule type="cellIs" dxfId="954" priority="51" stopIfTrue="1" operator="greaterThan">
      <formula>$E$116</formula>
    </cfRule>
    <cfRule type="cellIs" dxfId="953" priority="52" stopIfTrue="1" operator="lessThanOrEqual">
      <formula>$E$116</formula>
    </cfRule>
  </conditionalFormatting>
  <conditionalFormatting sqref="R118">
    <cfRule type="cellIs" dxfId="952" priority="49" stopIfTrue="1" operator="lessThanOrEqual">
      <formula>$E$118</formula>
    </cfRule>
    <cfRule type="cellIs" dxfId="951" priority="50" stopIfTrue="1" operator="greaterThan">
      <formula>$E$118</formula>
    </cfRule>
  </conditionalFormatting>
  <conditionalFormatting sqref="R99">
    <cfRule type="cellIs" dxfId="950" priority="47" operator="greaterThan">
      <formula>$E$99</formula>
    </cfRule>
    <cfRule type="cellIs" dxfId="949" priority="48" operator="lessThanOrEqual">
      <formula>$E$99</formula>
    </cfRule>
  </conditionalFormatting>
  <conditionalFormatting sqref="R102">
    <cfRule type="cellIs" dxfId="948" priority="45" stopIfTrue="1" operator="greaterThanOrEqual">
      <formula>$E$102</formula>
    </cfRule>
    <cfRule type="cellIs" dxfId="947" priority="46" stopIfTrue="1" operator="lessThan">
      <formula>$E$102</formula>
    </cfRule>
  </conditionalFormatting>
  <conditionalFormatting sqref="R104">
    <cfRule type="cellIs" dxfId="946" priority="43" stopIfTrue="1" operator="lessThan">
      <formula>$E$104</formula>
    </cfRule>
    <cfRule type="cellIs" dxfId="945" priority="44" stopIfTrue="1" operator="greaterThanOrEqual">
      <formula>$E$104</formula>
    </cfRule>
  </conditionalFormatting>
  <conditionalFormatting sqref="R103">
    <cfRule type="cellIs" dxfId="944" priority="41" stopIfTrue="1" operator="greaterThan">
      <formula>$E$103</formula>
    </cfRule>
    <cfRule type="cellIs" dxfId="943" priority="42" stopIfTrue="1" operator="lessThanOrEqual">
      <formula>$E$103</formula>
    </cfRule>
  </conditionalFormatting>
  <conditionalFormatting sqref="R100">
    <cfRule type="cellIs" dxfId="942" priority="30" stopIfTrue="1" operator="between">
      <formula>$D$100</formula>
      <formula>$E$100</formula>
    </cfRule>
    <cfRule type="cellIs" dxfId="941" priority="39" stopIfTrue="1" operator="lessThanOrEqual">
      <formula>$D$100</formula>
    </cfRule>
    <cfRule type="cellIs" dxfId="940" priority="40" stopIfTrue="1" operator="greaterThan">
      <formula>$E$100</formula>
    </cfRule>
  </conditionalFormatting>
  <conditionalFormatting sqref="R117">
    <cfRule type="cellIs" dxfId="939" priority="37" stopIfTrue="1" operator="greaterThan">
      <formula>$E$117</formula>
    </cfRule>
    <cfRule type="cellIs" dxfId="938" priority="38" stopIfTrue="1" operator="lessThanOrEqual">
      <formula>$E$117</formula>
    </cfRule>
  </conditionalFormatting>
  <conditionalFormatting sqref="R107">
    <cfRule type="cellIs" dxfId="937" priority="35" stopIfTrue="1" operator="greaterThan">
      <formula>$E$107</formula>
    </cfRule>
    <cfRule type="cellIs" dxfId="936" priority="36" stopIfTrue="1" operator="lessThanOrEqual">
      <formula>$E$107</formula>
    </cfRule>
  </conditionalFormatting>
  <conditionalFormatting sqref="R108">
    <cfRule type="cellIs" dxfId="935" priority="33" stopIfTrue="1" operator="lessThan">
      <formula>$E$108</formula>
    </cfRule>
    <cfRule type="cellIs" dxfId="934" priority="34" stopIfTrue="1" operator="greaterThanOrEqual">
      <formula>$E$108</formula>
    </cfRule>
  </conditionalFormatting>
  <conditionalFormatting sqref="R93">
    <cfRule type="cellIs" dxfId="933" priority="53" stopIfTrue="1" operator="lessThan">
      <formula>$D$93</formula>
    </cfRule>
    <cfRule type="cellIs" dxfId="932" priority="54" stopIfTrue="1" operator="between">
      <formula>$D$93</formula>
      <formula>$E$93</formula>
    </cfRule>
    <cfRule type="cellIs" dxfId="931" priority="55" stopIfTrue="1" operator="greaterThan">
      <formula>$E$93</formula>
    </cfRule>
  </conditionalFormatting>
  <conditionalFormatting sqref="R114">
    <cfRule type="cellIs" dxfId="930" priority="56" stopIfTrue="1" operator="lessThan">
      <formula>$E$114</formula>
    </cfRule>
    <cfRule type="cellIs" dxfId="929" priority="57" stopIfTrue="1" operator="between">
      <formula>$D$114</formula>
      <formula>$E$114</formula>
    </cfRule>
    <cfRule type="cellIs" dxfId="928" priority="58" stopIfTrue="1" operator="greaterThanOrEqual">
      <formula>$D$114</formula>
    </cfRule>
  </conditionalFormatting>
  <conditionalFormatting sqref="R90">
    <cfRule type="cellIs" dxfId="927" priority="31" stopIfTrue="1" operator="lessThan">
      <formula>$E$90</formula>
    </cfRule>
    <cfRule type="cellIs" dxfId="926" priority="32" stopIfTrue="1" operator="greaterThan">
      <formula>$E$90</formula>
    </cfRule>
  </conditionalFormatting>
  <conditionalFormatting sqref="S116">
    <cfRule type="cellIs" dxfId="925" priority="22" stopIfTrue="1" operator="greaterThan">
      <formula>$E$116</formula>
    </cfRule>
    <cfRule type="cellIs" dxfId="924" priority="23" stopIfTrue="1" operator="lessThanOrEqual">
      <formula>$E$116</formula>
    </cfRule>
  </conditionalFormatting>
  <conditionalFormatting sqref="S118">
    <cfRule type="cellIs" dxfId="923" priority="20" stopIfTrue="1" operator="lessThanOrEqual">
      <formula>$E$118</formula>
    </cfRule>
    <cfRule type="cellIs" dxfId="922" priority="21" stopIfTrue="1" operator="greaterThan">
      <formula>$E$118</formula>
    </cfRule>
  </conditionalFormatting>
  <conditionalFormatting sqref="S99">
    <cfRule type="cellIs" dxfId="921" priority="18" operator="greaterThan">
      <formula>$E$99</formula>
    </cfRule>
    <cfRule type="cellIs" dxfId="920" priority="19" operator="lessThanOrEqual">
      <formula>$E$99</formula>
    </cfRule>
  </conditionalFormatting>
  <conditionalFormatting sqref="S102">
    <cfRule type="cellIs" dxfId="919" priority="16" stopIfTrue="1" operator="greaterThanOrEqual">
      <formula>$E$102</formula>
    </cfRule>
    <cfRule type="cellIs" dxfId="918" priority="17" stopIfTrue="1" operator="lessThan">
      <formula>$E$102</formula>
    </cfRule>
  </conditionalFormatting>
  <conditionalFormatting sqref="S104">
    <cfRule type="cellIs" dxfId="917" priority="14" stopIfTrue="1" operator="lessThan">
      <formula>$E$104</formula>
    </cfRule>
    <cfRule type="cellIs" dxfId="916" priority="15" stopIfTrue="1" operator="greaterThanOrEqual">
      <formula>$E$104</formula>
    </cfRule>
  </conditionalFormatting>
  <conditionalFormatting sqref="S103">
    <cfRule type="cellIs" dxfId="915" priority="12" stopIfTrue="1" operator="greaterThan">
      <formula>$E$103</formula>
    </cfRule>
    <cfRule type="cellIs" dxfId="914" priority="13" stopIfTrue="1" operator="lessThanOrEqual">
      <formula>$E$103</formula>
    </cfRule>
  </conditionalFormatting>
  <conditionalFormatting sqref="S100">
    <cfRule type="cellIs" dxfId="913" priority="1" stopIfTrue="1" operator="between">
      <formula>$D$100</formula>
      <formula>$E$100</formula>
    </cfRule>
    <cfRule type="cellIs" dxfId="912" priority="10" stopIfTrue="1" operator="lessThanOrEqual">
      <formula>$D$100</formula>
    </cfRule>
    <cfRule type="cellIs" dxfId="911" priority="11" stopIfTrue="1" operator="greaterThan">
      <formula>$E$100</formula>
    </cfRule>
  </conditionalFormatting>
  <conditionalFormatting sqref="S117">
    <cfRule type="cellIs" dxfId="910" priority="8" stopIfTrue="1" operator="greaterThan">
      <formula>$E$117</formula>
    </cfRule>
    <cfRule type="cellIs" dxfId="909" priority="9" stopIfTrue="1" operator="lessThanOrEqual">
      <formula>$E$117</formula>
    </cfRule>
  </conditionalFormatting>
  <conditionalFormatting sqref="S107">
    <cfRule type="cellIs" dxfId="908" priority="6" stopIfTrue="1" operator="greaterThan">
      <formula>$E$107</formula>
    </cfRule>
    <cfRule type="cellIs" dxfId="907" priority="7" stopIfTrue="1" operator="lessThanOrEqual">
      <formula>$E$107</formula>
    </cfRule>
  </conditionalFormatting>
  <conditionalFormatting sqref="S108">
    <cfRule type="cellIs" dxfId="906" priority="4" stopIfTrue="1" operator="lessThan">
      <formula>$E$108</formula>
    </cfRule>
    <cfRule type="cellIs" dxfId="905" priority="5" stopIfTrue="1" operator="greaterThanOrEqual">
      <formula>$E$108</formula>
    </cfRule>
  </conditionalFormatting>
  <conditionalFormatting sqref="S93">
    <cfRule type="cellIs" dxfId="904" priority="24" stopIfTrue="1" operator="lessThan">
      <formula>$D$93</formula>
    </cfRule>
    <cfRule type="cellIs" dxfId="903" priority="25" stopIfTrue="1" operator="between">
      <formula>$D$93</formula>
      <formula>$E$93</formula>
    </cfRule>
    <cfRule type="cellIs" dxfId="902" priority="26" stopIfTrue="1" operator="greaterThan">
      <formula>$E$93</formula>
    </cfRule>
  </conditionalFormatting>
  <conditionalFormatting sqref="S114">
    <cfRule type="cellIs" dxfId="901" priority="27" stopIfTrue="1" operator="lessThan">
      <formula>$E$114</formula>
    </cfRule>
    <cfRule type="cellIs" dxfId="900" priority="28" stopIfTrue="1" operator="between">
      <formula>$D$114</formula>
      <formula>$E$114</formula>
    </cfRule>
    <cfRule type="cellIs" dxfId="899" priority="29" stopIfTrue="1" operator="greaterThanOrEqual">
      <formula>$D$114</formula>
    </cfRule>
  </conditionalFormatting>
  <conditionalFormatting sqref="S90">
    <cfRule type="cellIs" dxfId="898" priority="2" stopIfTrue="1" operator="lessThan">
      <formula>$E$90</formula>
    </cfRule>
    <cfRule type="cellIs" dxfId="897" priority="3" stopIfTrue="1" operator="greaterThan">
      <formula>$E$90</formula>
    </cfRule>
  </conditionalFormatting>
  <pageMargins left="0.75" right="0.75" top="1" bottom="1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52E017-6224-48D6-B7C3-0C946B5AFC0C}">
  <dimension ref="A1:U178"/>
  <sheetViews>
    <sheetView workbookViewId="0">
      <selection activeCell="G2" sqref="G2"/>
    </sheetView>
  </sheetViews>
  <sheetFormatPr defaultRowHeight="11.25" outlineLevelCol="1" x14ac:dyDescent="0.2"/>
  <cols>
    <col min="1" max="1" width="5.7109375" style="8" bestFit="1" customWidth="1"/>
    <col min="2" max="2" width="5" style="2" bestFit="1" customWidth="1"/>
    <col min="3" max="3" width="15.5703125" style="10" customWidth="1"/>
    <col min="4" max="4" width="5.140625" style="10" bestFit="1" customWidth="1"/>
    <col min="5" max="5" width="5.140625" style="9" bestFit="1" customWidth="1"/>
    <col min="6" max="6" width="2" style="8" bestFit="1" customWidth="1"/>
    <col min="7" max="7" width="29.28515625" style="28" customWidth="1"/>
    <col min="8" max="12" width="8.7109375" style="123" hidden="1" customWidth="1" outlineLevel="1"/>
    <col min="13" max="13" width="8.7109375" style="123" bestFit="1" customWidth="1" collapsed="1"/>
    <col min="14" max="14" width="9.42578125" style="123" customWidth="1"/>
    <col min="15" max="19" width="8.7109375" style="123" bestFit="1" customWidth="1"/>
    <col min="20" max="256" width="9.140625" style="123"/>
    <col min="257" max="257" width="5.7109375" style="123" bestFit="1" customWidth="1"/>
    <col min="258" max="258" width="5" style="123" bestFit="1" customWidth="1"/>
    <col min="259" max="259" width="15.5703125" style="123" customWidth="1"/>
    <col min="260" max="261" width="5.140625" style="123" bestFit="1" customWidth="1"/>
    <col min="262" max="262" width="2" style="123" bestFit="1" customWidth="1"/>
    <col min="263" max="263" width="29.28515625" style="123" customWidth="1"/>
    <col min="264" max="268" width="0" style="123" hidden="1" customWidth="1"/>
    <col min="269" max="269" width="8.7109375" style="123" bestFit="1" customWidth="1"/>
    <col min="270" max="270" width="9.42578125" style="123" customWidth="1"/>
    <col min="271" max="275" width="8.7109375" style="123" bestFit="1" customWidth="1"/>
    <col min="276" max="512" width="9.140625" style="123"/>
    <col min="513" max="513" width="5.7109375" style="123" bestFit="1" customWidth="1"/>
    <col min="514" max="514" width="5" style="123" bestFit="1" customWidth="1"/>
    <col min="515" max="515" width="15.5703125" style="123" customWidth="1"/>
    <col min="516" max="517" width="5.140625" style="123" bestFit="1" customWidth="1"/>
    <col min="518" max="518" width="2" style="123" bestFit="1" customWidth="1"/>
    <col min="519" max="519" width="29.28515625" style="123" customWidth="1"/>
    <col min="520" max="524" width="0" style="123" hidden="1" customWidth="1"/>
    <col min="525" max="525" width="8.7109375" style="123" bestFit="1" customWidth="1"/>
    <col min="526" max="526" width="9.42578125" style="123" customWidth="1"/>
    <col min="527" max="531" width="8.7109375" style="123" bestFit="1" customWidth="1"/>
    <col min="532" max="768" width="9.140625" style="123"/>
    <col min="769" max="769" width="5.7109375" style="123" bestFit="1" customWidth="1"/>
    <col min="770" max="770" width="5" style="123" bestFit="1" customWidth="1"/>
    <col min="771" max="771" width="15.5703125" style="123" customWidth="1"/>
    <col min="772" max="773" width="5.140625" style="123" bestFit="1" customWidth="1"/>
    <col min="774" max="774" width="2" style="123" bestFit="1" customWidth="1"/>
    <col min="775" max="775" width="29.28515625" style="123" customWidth="1"/>
    <col min="776" max="780" width="0" style="123" hidden="1" customWidth="1"/>
    <col min="781" max="781" width="8.7109375" style="123" bestFit="1" customWidth="1"/>
    <col min="782" max="782" width="9.42578125" style="123" customWidth="1"/>
    <col min="783" max="787" width="8.7109375" style="123" bestFit="1" customWidth="1"/>
    <col min="788" max="1024" width="9.140625" style="123"/>
    <col min="1025" max="1025" width="5.7109375" style="123" bestFit="1" customWidth="1"/>
    <col min="1026" max="1026" width="5" style="123" bestFit="1" customWidth="1"/>
    <col min="1027" max="1027" width="15.5703125" style="123" customWidth="1"/>
    <col min="1028" max="1029" width="5.140625" style="123" bestFit="1" customWidth="1"/>
    <col min="1030" max="1030" width="2" style="123" bestFit="1" customWidth="1"/>
    <col min="1031" max="1031" width="29.28515625" style="123" customWidth="1"/>
    <col min="1032" max="1036" width="0" style="123" hidden="1" customWidth="1"/>
    <col min="1037" max="1037" width="8.7109375" style="123" bestFit="1" customWidth="1"/>
    <col min="1038" max="1038" width="9.42578125" style="123" customWidth="1"/>
    <col min="1039" max="1043" width="8.7109375" style="123" bestFit="1" customWidth="1"/>
    <col min="1044" max="1280" width="9.140625" style="123"/>
    <col min="1281" max="1281" width="5.7109375" style="123" bestFit="1" customWidth="1"/>
    <col min="1282" max="1282" width="5" style="123" bestFit="1" customWidth="1"/>
    <col min="1283" max="1283" width="15.5703125" style="123" customWidth="1"/>
    <col min="1284" max="1285" width="5.140625" style="123" bestFit="1" customWidth="1"/>
    <col min="1286" max="1286" width="2" style="123" bestFit="1" customWidth="1"/>
    <col min="1287" max="1287" width="29.28515625" style="123" customWidth="1"/>
    <col min="1288" max="1292" width="0" style="123" hidden="1" customWidth="1"/>
    <col min="1293" max="1293" width="8.7109375" style="123" bestFit="1" customWidth="1"/>
    <col min="1294" max="1294" width="9.42578125" style="123" customWidth="1"/>
    <col min="1295" max="1299" width="8.7109375" style="123" bestFit="1" customWidth="1"/>
    <col min="1300" max="1536" width="9.140625" style="123"/>
    <col min="1537" max="1537" width="5.7109375" style="123" bestFit="1" customWidth="1"/>
    <col min="1538" max="1538" width="5" style="123" bestFit="1" customWidth="1"/>
    <col min="1539" max="1539" width="15.5703125" style="123" customWidth="1"/>
    <col min="1540" max="1541" width="5.140625" style="123" bestFit="1" customWidth="1"/>
    <col min="1542" max="1542" width="2" style="123" bestFit="1" customWidth="1"/>
    <col min="1543" max="1543" width="29.28515625" style="123" customWidth="1"/>
    <col min="1544" max="1548" width="0" style="123" hidden="1" customWidth="1"/>
    <col min="1549" max="1549" width="8.7109375" style="123" bestFit="1" customWidth="1"/>
    <col min="1550" max="1550" width="9.42578125" style="123" customWidth="1"/>
    <col min="1551" max="1555" width="8.7109375" style="123" bestFit="1" customWidth="1"/>
    <col min="1556" max="1792" width="9.140625" style="123"/>
    <col min="1793" max="1793" width="5.7109375" style="123" bestFit="1" customWidth="1"/>
    <col min="1794" max="1794" width="5" style="123" bestFit="1" customWidth="1"/>
    <col min="1795" max="1795" width="15.5703125" style="123" customWidth="1"/>
    <col min="1796" max="1797" width="5.140625" style="123" bestFit="1" customWidth="1"/>
    <col min="1798" max="1798" width="2" style="123" bestFit="1" customWidth="1"/>
    <col min="1799" max="1799" width="29.28515625" style="123" customWidth="1"/>
    <col min="1800" max="1804" width="0" style="123" hidden="1" customWidth="1"/>
    <col min="1805" max="1805" width="8.7109375" style="123" bestFit="1" customWidth="1"/>
    <col min="1806" max="1806" width="9.42578125" style="123" customWidth="1"/>
    <col min="1807" max="1811" width="8.7109375" style="123" bestFit="1" customWidth="1"/>
    <col min="1812" max="2048" width="9.140625" style="123"/>
    <col min="2049" max="2049" width="5.7109375" style="123" bestFit="1" customWidth="1"/>
    <col min="2050" max="2050" width="5" style="123" bestFit="1" customWidth="1"/>
    <col min="2051" max="2051" width="15.5703125" style="123" customWidth="1"/>
    <col min="2052" max="2053" width="5.140625" style="123" bestFit="1" customWidth="1"/>
    <col min="2054" max="2054" width="2" style="123" bestFit="1" customWidth="1"/>
    <col min="2055" max="2055" width="29.28515625" style="123" customWidth="1"/>
    <col min="2056" max="2060" width="0" style="123" hidden="1" customWidth="1"/>
    <col min="2061" max="2061" width="8.7109375" style="123" bestFit="1" customWidth="1"/>
    <col min="2062" max="2062" width="9.42578125" style="123" customWidth="1"/>
    <col min="2063" max="2067" width="8.7109375" style="123" bestFit="1" customWidth="1"/>
    <col min="2068" max="2304" width="9.140625" style="123"/>
    <col min="2305" max="2305" width="5.7109375" style="123" bestFit="1" customWidth="1"/>
    <col min="2306" max="2306" width="5" style="123" bestFit="1" customWidth="1"/>
    <col min="2307" max="2307" width="15.5703125" style="123" customWidth="1"/>
    <col min="2308" max="2309" width="5.140625" style="123" bestFit="1" customWidth="1"/>
    <col min="2310" max="2310" width="2" style="123" bestFit="1" customWidth="1"/>
    <col min="2311" max="2311" width="29.28515625" style="123" customWidth="1"/>
    <col min="2312" max="2316" width="0" style="123" hidden="1" customWidth="1"/>
    <col min="2317" max="2317" width="8.7109375" style="123" bestFit="1" customWidth="1"/>
    <col min="2318" max="2318" width="9.42578125" style="123" customWidth="1"/>
    <col min="2319" max="2323" width="8.7109375" style="123" bestFit="1" customWidth="1"/>
    <col min="2324" max="2560" width="9.140625" style="123"/>
    <col min="2561" max="2561" width="5.7109375" style="123" bestFit="1" customWidth="1"/>
    <col min="2562" max="2562" width="5" style="123" bestFit="1" customWidth="1"/>
    <col min="2563" max="2563" width="15.5703125" style="123" customWidth="1"/>
    <col min="2564" max="2565" width="5.140625" style="123" bestFit="1" customWidth="1"/>
    <col min="2566" max="2566" width="2" style="123" bestFit="1" customWidth="1"/>
    <col min="2567" max="2567" width="29.28515625" style="123" customWidth="1"/>
    <col min="2568" max="2572" width="0" style="123" hidden="1" customWidth="1"/>
    <col min="2573" max="2573" width="8.7109375" style="123" bestFit="1" customWidth="1"/>
    <col min="2574" max="2574" width="9.42578125" style="123" customWidth="1"/>
    <col min="2575" max="2579" width="8.7109375" style="123" bestFit="1" customWidth="1"/>
    <col min="2580" max="2816" width="9.140625" style="123"/>
    <col min="2817" max="2817" width="5.7109375" style="123" bestFit="1" customWidth="1"/>
    <col min="2818" max="2818" width="5" style="123" bestFit="1" customWidth="1"/>
    <col min="2819" max="2819" width="15.5703125" style="123" customWidth="1"/>
    <col min="2820" max="2821" width="5.140625" style="123" bestFit="1" customWidth="1"/>
    <col min="2822" max="2822" width="2" style="123" bestFit="1" customWidth="1"/>
    <col min="2823" max="2823" width="29.28515625" style="123" customWidth="1"/>
    <col min="2824" max="2828" width="0" style="123" hidden="1" customWidth="1"/>
    <col min="2829" max="2829" width="8.7109375" style="123" bestFit="1" customWidth="1"/>
    <col min="2830" max="2830" width="9.42578125" style="123" customWidth="1"/>
    <col min="2831" max="2835" width="8.7109375" style="123" bestFit="1" customWidth="1"/>
    <col min="2836" max="3072" width="9.140625" style="123"/>
    <col min="3073" max="3073" width="5.7109375" style="123" bestFit="1" customWidth="1"/>
    <col min="3074" max="3074" width="5" style="123" bestFit="1" customWidth="1"/>
    <col min="3075" max="3075" width="15.5703125" style="123" customWidth="1"/>
    <col min="3076" max="3077" width="5.140625" style="123" bestFit="1" customWidth="1"/>
    <col min="3078" max="3078" width="2" style="123" bestFit="1" customWidth="1"/>
    <col min="3079" max="3079" width="29.28515625" style="123" customWidth="1"/>
    <col min="3080" max="3084" width="0" style="123" hidden="1" customWidth="1"/>
    <col min="3085" max="3085" width="8.7109375" style="123" bestFit="1" customWidth="1"/>
    <col min="3086" max="3086" width="9.42578125" style="123" customWidth="1"/>
    <col min="3087" max="3091" width="8.7109375" style="123" bestFit="1" customWidth="1"/>
    <col min="3092" max="3328" width="9.140625" style="123"/>
    <col min="3329" max="3329" width="5.7109375" style="123" bestFit="1" customWidth="1"/>
    <col min="3330" max="3330" width="5" style="123" bestFit="1" customWidth="1"/>
    <col min="3331" max="3331" width="15.5703125" style="123" customWidth="1"/>
    <col min="3332" max="3333" width="5.140625" style="123" bestFit="1" customWidth="1"/>
    <col min="3334" max="3334" width="2" style="123" bestFit="1" customWidth="1"/>
    <col min="3335" max="3335" width="29.28515625" style="123" customWidth="1"/>
    <col min="3336" max="3340" width="0" style="123" hidden="1" customWidth="1"/>
    <col min="3341" max="3341" width="8.7109375" style="123" bestFit="1" customWidth="1"/>
    <col min="3342" max="3342" width="9.42578125" style="123" customWidth="1"/>
    <col min="3343" max="3347" width="8.7109375" style="123" bestFit="1" customWidth="1"/>
    <col min="3348" max="3584" width="9.140625" style="123"/>
    <col min="3585" max="3585" width="5.7109375" style="123" bestFit="1" customWidth="1"/>
    <col min="3586" max="3586" width="5" style="123" bestFit="1" customWidth="1"/>
    <col min="3587" max="3587" width="15.5703125" style="123" customWidth="1"/>
    <col min="3588" max="3589" width="5.140625" style="123" bestFit="1" customWidth="1"/>
    <col min="3590" max="3590" width="2" style="123" bestFit="1" customWidth="1"/>
    <col min="3591" max="3591" width="29.28515625" style="123" customWidth="1"/>
    <col min="3592" max="3596" width="0" style="123" hidden="1" customWidth="1"/>
    <col min="3597" max="3597" width="8.7109375" style="123" bestFit="1" customWidth="1"/>
    <col min="3598" max="3598" width="9.42578125" style="123" customWidth="1"/>
    <col min="3599" max="3603" width="8.7109375" style="123" bestFit="1" customWidth="1"/>
    <col min="3604" max="3840" width="9.140625" style="123"/>
    <col min="3841" max="3841" width="5.7109375" style="123" bestFit="1" customWidth="1"/>
    <col min="3842" max="3842" width="5" style="123" bestFit="1" customWidth="1"/>
    <col min="3843" max="3843" width="15.5703125" style="123" customWidth="1"/>
    <col min="3844" max="3845" width="5.140625" style="123" bestFit="1" customWidth="1"/>
    <col min="3846" max="3846" width="2" style="123" bestFit="1" customWidth="1"/>
    <col min="3847" max="3847" width="29.28515625" style="123" customWidth="1"/>
    <col min="3848" max="3852" width="0" style="123" hidden="1" customWidth="1"/>
    <col min="3853" max="3853" width="8.7109375" style="123" bestFit="1" customWidth="1"/>
    <col min="3854" max="3854" width="9.42578125" style="123" customWidth="1"/>
    <col min="3855" max="3859" width="8.7109375" style="123" bestFit="1" customWidth="1"/>
    <col min="3860" max="4096" width="9.140625" style="123"/>
    <col min="4097" max="4097" width="5.7109375" style="123" bestFit="1" customWidth="1"/>
    <col min="4098" max="4098" width="5" style="123" bestFit="1" customWidth="1"/>
    <col min="4099" max="4099" width="15.5703125" style="123" customWidth="1"/>
    <col min="4100" max="4101" width="5.140625" style="123" bestFit="1" customWidth="1"/>
    <col min="4102" max="4102" width="2" style="123" bestFit="1" customWidth="1"/>
    <col min="4103" max="4103" width="29.28515625" style="123" customWidth="1"/>
    <col min="4104" max="4108" width="0" style="123" hidden="1" customWidth="1"/>
    <col min="4109" max="4109" width="8.7109375" style="123" bestFit="1" customWidth="1"/>
    <col min="4110" max="4110" width="9.42578125" style="123" customWidth="1"/>
    <col min="4111" max="4115" width="8.7109375" style="123" bestFit="1" customWidth="1"/>
    <col min="4116" max="4352" width="9.140625" style="123"/>
    <col min="4353" max="4353" width="5.7109375" style="123" bestFit="1" customWidth="1"/>
    <col min="4354" max="4354" width="5" style="123" bestFit="1" customWidth="1"/>
    <col min="4355" max="4355" width="15.5703125" style="123" customWidth="1"/>
    <col min="4356" max="4357" width="5.140625" style="123" bestFit="1" customWidth="1"/>
    <col min="4358" max="4358" width="2" style="123" bestFit="1" customWidth="1"/>
    <col min="4359" max="4359" width="29.28515625" style="123" customWidth="1"/>
    <col min="4360" max="4364" width="0" style="123" hidden="1" customWidth="1"/>
    <col min="4365" max="4365" width="8.7109375" style="123" bestFit="1" customWidth="1"/>
    <col min="4366" max="4366" width="9.42578125" style="123" customWidth="1"/>
    <col min="4367" max="4371" width="8.7109375" style="123" bestFit="1" customWidth="1"/>
    <col min="4372" max="4608" width="9.140625" style="123"/>
    <col min="4609" max="4609" width="5.7109375" style="123" bestFit="1" customWidth="1"/>
    <col min="4610" max="4610" width="5" style="123" bestFit="1" customWidth="1"/>
    <col min="4611" max="4611" width="15.5703125" style="123" customWidth="1"/>
    <col min="4612" max="4613" width="5.140625" style="123" bestFit="1" customWidth="1"/>
    <col min="4614" max="4614" width="2" style="123" bestFit="1" customWidth="1"/>
    <col min="4615" max="4615" width="29.28515625" style="123" customWidth="1"/>
    <col min="4616" max="4620" width="0" style="123" hidden="1" customWidth="1"/>
    <col min="4621" max="4621" width="8.7109375" style="123" bestFit="1" customWidth="1"/>
    <col min="4622" max="4622" width="9.42578125" style="123" customWidth="1"/>
    <col min="4623" max="4627" width="8.7109375" style="123" bestFit="1" customWidth="1"/>
    <col min="4628" max="4864" width="9.140625" style="123"/>
    <col min="4865" max="4865" width="5.7109375" style="123" bestFit="1" customWidth="1"/>
    <col min="4866" max="4866" width="5" style="123" bestFit="1" customWidth="1"/>
    <col min="4867" max="4867" width="15.5703125" style="123" customWidth="1"/>
    <col min="4868" max="4869" width="5.140625" style="123" bestFit="1" customWidth="1"/>
    <col min="4870" max="4870" width="2" style="123" bestFit="1" customWidth="1"/>
    <col min="4871" max="4871" width="29.28515625" style="123" customWidth="1"/>
    <col min="4872" max="4876" width="0" style="123" hidden="1" customWidth="1"/>
    <col min="4877" max="4877" width="8.7109375" style="123" bestFit="1" customWidth="1"/>
    <col min="4878" max="4878" width="9.42578125" style="123" customWidth="1"/>
    <col min="4879" max="4883" width="8.7109375" style="123" bestFit="1" customWidth="1"/>
    <col min="4884" max="5120" width="9.140625" style="123"/>
    <col min="5121" max="5121" width="5.7109375" style="123" bestFit="1" customWidth="1"/>
    <col min="5122" max="5122" width="5" style="123" bestFit="1" customWidth="1"/>
    <col min="5123" max="5123" width="15.5703125" style="123" customWidth="1"/>
    <col min="5124" max="5125" width="5.140625" style="123" bestFit="1" customWidth="1"/>
    <col min="5126" max="5126" width="2" style="123" bestFit="1" customWidth="1"/>
    <col min="5127" max="5127" width="29.28515625" style="123" customWidth="1"/>
    <col min="5128" max="5132" width="0" style="123" hidden="1" customWidth="1"/>
    <col min="5133" max="5133" width="8.7109375" style="123" bestFit="1" customWidth="1"/>
    <col min="5134" max="5134" width="9.42578125" style="123" customWidth="1"/>
    <col min="5135" max="5139" width="8.7109375" style="123" bestFit="1" customWidth="1"/>
    <col min="5140" max="5376" width="9.140625" style="123"/>
    <col min="5377" max="5377" width="5.7109375" style="123" bestFit="1" customWidth="1"/>
    <col min="5378" max="5378" width="5" style="123" bestFit="1" customWidth="1"/>
    <col min="5379" max="5379" width="15.5703125" style="123" customWidth="1"/>
    <col min="5380" max="5381" width="5.140625" style="123" bestFit="1" customWidth="1"/>
    <col min="5382" max="5382" width="2" style="123" bestFit="1" customWidth="1"/>
    <col min="5383" max="5383" width="29.28515625" style="123" customWidth="1"/>
    <col min="5384" max="5388" width="0" style="123" hidden="1" customWidth="1"/>
    <col min="5389" max="5389" width="8.7109375" style="123" bestFit="1" customWidth="1"/>
    <col min="5390" max="5390" width="9.42578125" style="123" customWidth="1"/>
    <col min="5391" max="5395" width="8.7109375" style="123" bestFit="1" customWidth="1"/>
    <col min="5396" max="5632" width="9.140625" style="123"/>
    <col min="5633" max="5633" width="5.7109375" style="123" bestFit="1" customWidth="1"/>
    <col min="5634" max="5634" width="5" style="123" bestFit="1" customWidth="1"/>
    <col min="5635" max="5635" width="15.5703125" style="123" customWidth="1"/>
    <col min="5636" max="5637" width="5.140625" style="123" bestFit="1" customWidth="1"/>
    <col min="5638" max="5638" width="2" style="123" bestFit="1" customWidth="1"/>
    <col min="5639" max="5639" width="29.28515625" style="123" customWidth="1"/>
    <col min="5640" max="5644" width="0" style="123" hidden="1" customWidth="1"/>
    <col min="5645" max="5645" width="8.7109375" style="123" bestFit="1" customWidth="1"/>
    <col min="5646" max="5646" width="9.42578125" style="123" customWidth="1"/>
    <col min="5647" max="5651" width="8.7109375" style="123" bestFit="1" customWidth="1"/>
    <col min="5652" max="5888" width="9.140625" style="123"/>
    <col min="5889" max="5889" width="5.7109375" style="123" bestFit="1" customWidth="1"/>
    <col min="5890" max="5890" width="5" style="123" bestFit="1" customWidth="1"/>
    <col min="5891" max="5891" width="15.5703125" style="123" customWidth="1"/>
    <col min="5892" max="5893" width="5.140625" style="123" bestFit="1" customWidth="1"/>
    <col min="5894" max="5894" width="2" style="123" bestFit="1" customWidth="1"/>
    <col min="5895" max="5895" width="29.28515625" style="123" customWidth="1"/>
    <col min="5896" max="5900" width="0" style="123" hidden="1" customWidth="1"/>
    <col min="5901" max="5901" width="8.7109375" style="123" bestFit="1" customWidth="1"/>
    <col min="5902" max="5902" width="9.42578125" style="123" customWidth="1"/>
    <col min="5903" max="5907" width="8.7109375" style="123" bestFit="1" customWidth="1"/>
    <col min="5908" max="6144" width="9.140625" style="123"/>
    <col min="6145" max="6145" width="5.7109375" style="123" bestFit="1" customWidth="1"/>
    <col min="6146" max="6146" width="5" style="123" bestFit="1" customWidth="1"/>
    <col min="6147" max="6147" width="15.5703125" style="123" customWidth="1"/>
    <col min="6148" max="6149" width="5.140625" style="123" bestFit="1" customWidth="1"/>
    <col min="6150" max="6150" width="2" style="123" bestFit="1" customWidth="1"/>
    <col min="6151" max="6151" width="29.28515625" style="123" customWidth="1"/>
    <col min="6152" max="6156" width="0" style="123" hidden="1" customWidth="1"/>
    <col min="6157" max="6157" width="8.7109375" style="123" bestFit="1" customWidth="1"/>
    <col min="6158" max="6158" width="9.42578125" style="123" customWidth="1"/>
    <col min="6159" max="6163" width="8.7109375" style="123" bestFit="1" customWidth="1"/>
    <col min="6164" max="6400" width="9.140625" style="123"/>
    <col min="6401" max="6401" width="5.7109375" style="123" bestFit="1" customWidth="1"/>
    <col min="6402" max="6402" width="5" style="123" bestFit="1" customWidth="1"/>
    <col min="6403" max="6403" width="15.5703125" style="123" customWidth="1"/>
    <col min="6404" max="6405" width="5.140625" style="123" bestFit="1" customWidth="1"/>
    <col min="6406" max="6406" width="2" style="123" bestFit="1" customWidth="1"/>
    <col min="6407" max="6407" width="29.28515625" style="123" customWidth="1"/>
    <col min="6408" max="6412" width="0" style="123" hidden="1" customWidth="1"/>
    <col min="6413" max="6413" width="8.7109375" style="123" bestFit="1" customWidth="1"/>
    <col min="6414" max="6414" width="9.42578125" style="123" customWidth="1"/>
    <col min="6415" max="6419" width="8.7109375" style="123" bestFit="1" customWidth="1"/>
    <col min="6420" max="6656" width="9.140625" style="123"/>
    <col min="6657" max="6657" width="5.7109375" style="123" bestFit="1" customWidth="1"/>
    <col min="6658" max="6658" width="5" style="123" bestFit="1" customWidth="1"/>
    <col min="6659" max="6659" width="15.5703125" style="123" customWidth="1"/>
    <col min="6660" max="6661" width="5.140625" style="123" bestFit="1" customWidth="1"/>
    <col min="6662" max="6662" width="2" style="123" bestFit="1" customWidth="1"/>
    <col min="6663" max="6663" width="29.28515625" style="123" customWidth="1"/>
    <col min="6664" max="6668" width="0" style="123" hidden="1" customWidth="1"/>
    <col min="6669" max="6669" width="8.7109375" style="123" bestFit="1" customWidth="1"/>
    <col min="6670" max="6670" width="9.42578125" style="123" customWidth="1"/>
    <col min="6671" max="6675" width="8.7109375" style="123" bestFit="1" customWidth="1"/>
    <col min="6676" max="6912" width="9.140625" style="123"/>
    <col min="6913" max="6913" width="5.7109375" style="123" bestFit="1" customWidth="1"/>
    <col min="6914" max="6914" width="5" style="123" bestFit="1" customWidth="1"/>
    <col min="6915" max="6915" width="15.5703125" style="123" customWidth="1"/>
    <col min="6916" max="6917" width="5.140625" style="123" bestFit="1" customWidth="1"/>
    <col min="6918" max="6918" width="2" style="123" bestFit="1" customWidth="1"/>
    <col min="6919" max="6919" width="29.28515625" style="123" customWidth="1"/>
    <col min="6920" max="6924" width="0" style="123" hidden="1" customWidth="1"/>
    <col min="6925" max="6925" width="8.7109375" style="123" bestFit="1" customWidth="1"/>
    <col min="6926" max="6926" width="9.42578125" style="123" customWidth="1"/>
    <col min="6927" max="6931" width="8.7109375" style="123" bestFit="1" customWidth="1"/>
    <col min="6932" max="7168" width="9.140625" style="123"/>
    <col min="7169" max="7169" width="5.7109375" style="123" bestFit="1" customWidth="1"/>
    <col min="7170" max="7170" width="5" style="123" bestFit="1" customWidth="1"/>
    <col min="7171" max="7171" width="15.5703125" style="123" customWidth="1"/>
    <col min="7172" max="7173" width="5.140625" style="123" bestFit="1" customWidth="1"/>
    <col min="7174" max="7174" width="2" style="123" bestFit="1" customWidth="1"/>
    <col min="7175" max="7175" width="29.28515625" style="123" customWidth="1"/>
    <col min="7176" max="7180" width="0" style="123" hidden="1" customWidth="1"/>
    <col min="7181" max="7181" width="8.7109375" style="123" bestFit="1" customWidth="1"/>
    <col min="7182" max="7182" width="9.42578125" style="123" customWidth="1"/>
    <col min="7183" max="7187" width="8.7109375" style="123" bestFit="1" customWidth="1"/>
    <col min="7188" max="7424" width="9.140625" style="123"/>
    <col min="7425" max="7425" width="5.7109375" style="123" bestFit="1" customWidth="1"/>
    <col min="7426" max="7426" width="5" style="123" bestFit="1" customWidth="1"/>
    <col min="7427" max="7427" width="15.5703125" style="123" customWidth="1"/>
    <col min="7428" max="7429" width="5.140625" style="123" bestFit="1" customWidth="1"/>
    <col min="7430" max="7430" width="2" style="123" bestFit="1" customWidth="1"/>
    <col min="7431" max="7431" width="29.28515625" style="123" customWidth="1"/>
    <col min="7432" max="7436" width="0" style="123" hidden="1" customWidth="1"/>
    <col min="7437" max="7437" width="8.7109375" style="123" bestFit="1" customWidth="1"/>
    <col min="7438" max="7438" width="9.42578125" style="123" customWidth="1"/>
    <col min="7439" max="7443" width="8.7109375" style="123" bestFit="1" customWidth="1"/>
    <col min="7444" max="7680" width="9.140625" style="123"/>
    <col min="7681" max="7681" width="5.7109375" style="123" bestFit="1" customWidth="1"/>
    <col min="7682" max="7682" width="5" style="123" bestFit="1" customWidth="1"/>
    <col min="7683" max="7683" width="15.5703125" style="123" customWidth="1"/>
    <col min="7684" max="7685" width="5.140625" style="123" bestFit="1" customWidth="1"/>
    <col min="7686" max="7686" width="2" style="123" bestFit="1" customWidth="1"/>
    <col min="7687" max="7687" width="29.28515625" style="123" customWidth="1"/>
    <col min="7688" max="7692" width="0" style="123" hidden="1" customWidth="1"/>
    <col min="7693" max="7693" width="8.7109375" style="123" bestFit="1" customWidth="1"/>
    <col min="7694" max="7694" width="9.42578125" style="123" customWidth="1"/>
    <col min="7695" max="7699" width="8.7109375" style="123" bestFit="1" customWidth="1"/>
    <col min="7700" max="7936" width="9.140625" style="123"/>
    <col min="7937" max="7937" width="5.7109375" style="123" bestFit="1" customWidth="1"/>
    <col min="7938" max="7938" width="5" style="123" bestFit="1" customWidth="1"/>
    <col min="7939" max="7939" width="15.5703125" style="123" customWidth="1"/>
    <col min="7940" max="7941" width="5.140625" style="123" bestFit="1" customWidth="1"/>
    <col min="7942" max="7942" width="2" style="123" bestFit="1" customWidth="1"/>
    <col min="7943" max="7943" width="29.28515625" style="123" customWidth="1"/>
    <col min="7944" max="7948" width="0" style="123" hidden="1" customWidth="1"/>
    <col min="7949" max="7949" width="8.7109375" style="123" bestFit="1" customWidth="1"/>
    <col min="7950" max="7950" width="9.42578125" style="123" customWidth="1"/>
    <col min="7951" max="7955" width="8.7109375" style="123" bestFit="1" customWidth="1"/>
    <col min="7956" max="8192" width="9.140625" style="123"/>
    <col min="8193" max="8193" width="5.7109375" style="123" bestFit="1" customWidth="1"/>
    <col min="8194" max="8194" width="5" style="123" bestFit="1" customWidth="1"/>
    <col min="8195" max="8195" width="15.5703125" style="123" customWidth="1"/>
    <col min="8196" max="8197" width="5.140625" style="123" bestFit="1" customWidth="1"/>
    <col min="8198" max="8198" width="2" style="123" bestFit="1" customWidth="1"/>
    <col min="8199" max="8199" width="29.28515625" style="123" customWidth="1"/>
    <col min="8200" max="8204" width="0" style="123" hidden="1" customWidth="1"/>
    <col min="8205" max="8205" width="8.7109375" style="123" bestFit="1" customWidth="1"/>
    <col min="8206" max="8206" width="9.42578125" style="123" customWidth="1"/>
    <col min="8207" max="8211" width="8.7109375" style="123" bestFit="1" customWidth="1"/>
    <col min="8212" max="8448" width="9.140625" style="123"/>
    <col min="8449" max="8449" width="5.7109375" style="123" bestFit="1" customWidth="1"/>
    <col min="8450" max="8450" width="5" style="123" bestFit="1" customWidth="1"/>
    <col min="8451" max="8451" width="15.5703125" style="123" customWidth="1"/>
    <col min="8452" max="8453" width="5.140625" style="123" bestFit="1" customWidth="1"/>
    <col min="8454" max="8454" width="2" style="123" bestFit="1" customWidth="1"/>
    <col min="8455" max="8455" width="29.28515625" style="123" customWidth="1"/>
    <col min="8456" max="8460" width="0" style="123" hidden="1" customWidth="1"/>
    <col min="8461" max="8461" width="8.7109375" style="123" bestFit="1" customWidth="1"/>
    <col min="8462" max="8462" width="9.42578125" style="123" customWidth="1"/>
    <col min="8463" max="8467" width="8.7109375" style="123" bestFit="1" customWidth="1"/>
    <col min="8468" max="8704" width="9.140625" style="123"/>
    <col min="8705" max="8705" width="5.7109375" style="123" bestFit="1" customWidth="1"/>
    <col min="8706" max="8706" width="5" style="123" bestFit="1" customWidth="1"/>
    <col min="8707" max="8707" width="15.5703125" style="123" customWidth="1"/>
    <col min="8708" max="8709" width="5.140625" style="123" bestFit="1" customWidth="1"/>
    <col min="8710" max="8710" width="2" style="123" bestFit="1" customWidth="1"/>
    <col min="8711" max="8711" width="29.28515625" style="123" customWidth="1"/>
    <col min="8712" max="8716" width="0" style="123" hidden="1" customWidth="1"/>
    <col min="8717" max="8717" width="8.7109375" style="123" bestFit="1" customWidth="1"/>
    <col min="8718" max="8718" width="9.42578125" style="123" customWidth="1"/>
    <col min="8719" max="8723" width="8.7109375" style="123" bestFit="1" customWidth="1"/>
    <col min="8724" max="8960" width="9.140625" style="123"/>
    <col min="8961" max="8961" width="5.7109375" style="123" bestFit="1" customWidth="1"/>
    <col min="8962" max="8962" width="5" style="123" bestFit="1" customWidth="1"/>
    <col min="8963" max="8963" width="15.5703125" style="123" customWidth="1"/>
    <col min="8964" max="8965" width="5.140625" style="123" bestFit="1" customWidth="1"/>
    <col min="8966" max="8966" width="2" style="123" bestFit="1" customWidth="1"/>
    <col min="8967" max="8967" width="29.28515625" style="123" customWidth="1"/>
    <col min="8968" max="8972" width="0" style="123" hidden="1" customWidth="1"/>
    <col min="8973" max="8973" width="8.7109375" style="123" bestFit="1" customWidth="1"/>
    <col min="8974" max="8974" width="9.42578125" style="123" customWidth="1"/>
    <col min="8975" max="8979" width="8.7109375" style="123" bestFit="1" customWidth="1"/>
    <col min="8980" max="9216" width="9.140625" style="123"/>
    <col min="9217" max="9217" width="5.7109375" style="123" bestFit="1" customWidth="1"/>
    <col min="9218" max="9218" width="5" style="123" bestFit="1" customWidth="1"/>
    <col min="9219" max="9219" width="15.5703125" style="123" customWidth="1"/>
    <col min="9220" max="9221" width="5.140625" style="123" bestFit="1" customWidth="1"/>
    <col min="9222" max="9222" width="2" style="123" bestFit="1" customWidth="1"/>
    <col min="9223" max="9223" width="29.28515625" style="123" customWidth="1"/>
    <col min="9224" max="9228" width="0" style="123" hidden="1" customWidth="1"/>
    <col min="9229" max="9229" width="8.7109375" style="123" bestFit="1" customWidth="1"/>
    <col min="9230" max="9230" width="9.42578125" style="123" customWidth="1"/>
    <col min="9231" max="9235" width="8.7109375" style="123" bestFit="1" customWidth="1"/>
    <col min="9236" max="9472" width="9.140625" style="123"/>
    <col min="9473" max="9473" width="5.7109375" style="123" bestFit="1" customWidth="1"/>
    <col min="9474" max="9474" width="5" style="123" bestFit="1" customWidth="1"/>
    <col min="9475" max="9475" width="15.5703125" style="123" customWidth="1"/>
    <col min="9476" max="9477" width="5.140625" style="123" bestFit="1" customWidth="1"/>
    <col min="9478" max="9478" width="2" style="123" bestFit="1" customWidth="1"/>
    <col min="9479" max="9479" width="29.28515625" style="123" customWidth="1"/>
    <col min="9480" max="9484" width="0" style="123" hidden="1" customWidth="1"/>
    <col min="9485" max="9485" width="8.7109375" style="123" bestFit="1" customWidth="1"/>
    <col min="9486" max="9486" width="9.42578125" style="123" customWidth="1"/>
    <col min="9487" max="9491" width="8.7109375" style="123" bestFit="1" customWidth="1"/>
    <col min="9492" max="9728" width="9.140625" style="123"/>
    <col min="9729" max="9729" width="5.7109375" style="123" bestFit="1" customWidth="1"/>
    <col min="9730" max="9730" width="5" style="123" bestFit="1" customWidth="1"/>
    <col min="9731" max="9731" width="15.5703125" style="123" customWidth="1"/>
    <col min="9732" max="9733" width="5.140625" style="123" bestFit="1" customWidth="1"/>
    <col min="9734" max="9734" width="2" style="123" bestFit="1" customWidth="1"/>
    <col min="9735" max="9735" width="29.28515625" style="123" customWidth="1"/>
    <col min="9736" max="9740" width="0" style="123" hidden="1" customWidth="1"/>
    <col min="9741" max="9741" width="8.7109375" style="123" bestFit="1" customWidth="1"/>
    <col min="9742" max="9742" width="9.42578125" style="123" customWidth="1"/>
    <col min="9743" max="9747" width="8.7109375" style="123" bestFit="1" customWidth="1"/>
    <col min="9748" max="9984" width="9.140625" style="123"/>
    <col min="9985" max="9985" width="5.7109375" style="123" bestFit="1" customWidth="1"/>
    <col min="9986" max="9986" width="5" style="123" bestFit="1" customWidth="1"/>
    <col min="9987" max="9987" width="15.5703125" style="123" customWidth="1"/>
    <col min="9988" max="9989" width="5.140625" style="123" bestFit="1" customWidth="1"/>
    <col min="9990" max="9990" width="2" style="123" bestFit="1" customWidth="1"/>
    <col min="9991" max="9991" width="29.28515625" style="123" customWidth="1"/>
    <col min="9992" max="9996" width="0" style="123" hidden="1" customWidth="1"/>
    <col min="9997" max="9997" width="8.7109375" style="123" bestFit="1" customWidth="1"/>
    <col min="9998" max="9998" width="9.42578125" style="123" customWidth="1"/>
    <col min="9999" max="10003" width="8.7109375" style="123" bestFit="1" customWidth="1"/>
    <col min="10004" max="10240" width="9.140625" style="123"/>
    <col min="10241" max="10241" width="5.7109375" style="123" bestFit="1" customWidth="1"/>
    <col min="10242" max="10242" width="5" style="123" bestFit="1" customWidth="1"/>
    <col min="10243" max="10243" width="15.5703125" style="123" customWidth="1"/>
    <col min="10244" max="10245" width="5.140625" style="123" bestFit="1" customWidth="1"/>
    <col min="10246" max="10246" width="2" style="123" bestFit="1" customWidth="1"/>
    <col min="10247" max="10247" width="29.28515625" style="123" customWidth="1"/>
    <col min="10248" max="10252" width="0" style="123" hidden="1" customWidth="1"/>
    <col min="10253" max="10253" width="8.7109375" style="123" bestFit="1" customWidth="1"/>
    <col min="10254" max="10254" width="9.42578125" style="123" customWidth="1"/>
    <col min="10255" max="10259" width="8.7109375" style="123" bestFit="1" customWidth="1"/>
    <col min="10260" max="10496" width="9.140625" style="123"/>
    <col min="10497" max="10497" width="5.7109375" style="123" bestFit="1" customWidth="1"/>
    <col min="10498" max="10498" width="5" style="123" bestFit="1" customWidth="1"/>
    <col min="10499" max="10499" width="15.5703125" style="123" customWidth="1"/>
    <col min="10500" max="10501" width="5.140625" style="123" bestFit="1" customWidth="1"/>
    <col min="10502" max="10502" width="2" style="123" bestFit="1" customWidth="1"/>
    <col min="10503" max="10503" width="29.28515625" style="123" customWidth="1"/>
    <col min="10504" max="10508" width="0" style="123" hidden="1" customWidth="1"/>
    <col min="10509" max="10509" width="8.7109375" style="123" bestFit="1" customWidth="1"/>
    <col min="10510" max="10510" width="9.42578125" style="123" customWidth="1"/>
    <col min="10511" max="10515" width="8.7109375" style="123" bestFit="1" customWidth="1"/>
    <col min="10516" max="10752" width="9.140625" style="123"/>
    <col min="10753" max="10753" width="5.7109375" style="123" bestFit="1" customWidth="1"/>
    <col min="10754" max="10754" width="5" style="123" bestFit="1" customWidth="1"/>
    <col min="10755" max="10755" width="15.5703125" style="123" customWidth="1"/>
    <col min="10756" max="10757" width="5.140625" style="123" bestFit="1" customWidth="1"/>
    <col min="10758" max="10758" width="2" style="123" bestFit="1" customWidth="1"/>
    <col min="10759" max="10759" width="29.28515625" style="123" customWidth="1"/>
    <col min="10760" max="10764" width="0" style="123" hidden="1" customWidth="1"/>
    <col min="10765" max="10765" width="8.7109375" style="123" bestFit="1" customWidth="1"/>
    <col min="10766" max="10766" width="9.42578125" style="123" customWidth="1"/>
    <col min="10767" max="10771" width="8.7109375" style="123" bestFit="1" customWidth="1"/>
    <col min="10772" max="11008" width="9.140625" style="123"/>
    <col min="11009" max="11009" width="5.7109375" style="123" bestFit="1" customWidth="1"/>
    <col min="11010" max="11010" width="5" style="123" bestFit="1" customWidth="1"/>
    <col min="11011" max="11011" width="15.5703125" style="123" customWidth="1"/>
    <col min="11012" max="11013" width="5.140625" style="123" bestFit="1" customWidth="1"/>
    <col min="11014" max="11014" width="2" style="123" bestFit="1" customWidth="1"/>
    <col min="11015" max="11015" width="29.28515625" style="123" customWidth="1"/>
    <col min="11016" max="11020" width="0" style="123" hidden="1" customWidth="1"/>
    <col min="11021" max="11021" width="8.7109375" style="123" bestFit="1" customWidth="1"/>
    <col min="11022" max="11022" width="9.42578125" style="123" customWidth="1"/>
    <col min="11023" max="11027" width="8.7109375" style="123" bestFit="1" customWidth="1"/>
    <col min="11028" max="11264" width="9.140625" style="123"/>
    <col min="11265" max="11265" width="5.7109375" style="123" bestFit="1" customWidth="1"/>
    <col min="11266" max="11266" width="5" style="123" bestFit="1" customWidth="1"/>
    <col min="11267" max="11267" width="15.5703125" style="123" customWidth="1"/>
    <col min="11268" max="11269" width="5.140625" style="123" bestFit="1" customWidth="1"/>
    <col min="11270" max="11270" width="2" style="123" bestFit="1" customWidth="1"/>
    <col min="11271" max="11271" width="29.28515625" style="123" customWidth="1"/>
    <col min="11272" max="11276" width="0" style="123" hidden="1" customWidth="1"/>
    <col min="11277" max="11277" width="8.7109375" style="123" bestFit="1" customWidth="1"/>
    <col min="11278" max="11278" width="9.42578125" style="123" customWidth="1"/>
    <col min="11279" max="11283" width="8.7109375" style="123" bestFit="1" customWidth="1"/>
    <col min="11284" max="11520" width="9.140625" style="123"/>
    <col min="11521" max="11521" width="5.7109375" style="123" bestFit="1" customWidth="1"/>
    <col min="11522" max="11522" width="5" style="123" bestFit="1" customWidth="1"/>
    <col min="11523" max="11523" width="15.5703125" style="123" customWidth="1"/>
    <col min="11524" max="11525" width="5.140625" style="123" bestFit="1" customWidth="1"/>
    <col min="11526" max="11526" width="2" style="123" bestFit="1" customWidth="1"/>
    <col min="11527" max="11527" width="29.28515625" style="123" customWidth="1"/>
    <col min="11528" max="11532" width="0" style="123" hidden="1" customWidth="1"/>
    <col min="11533" max="11533" width="8.7109375" style="123" bestFit="1" customWidth="1"/>
    <col min="11534" max="11534" width="9.42578125" style="123" customWidth="1"/>
    <col min="11535" max="11539" width="8.7109375" style="123" bestFit="1" customWidth="1"/>
    <col min="11540" max="11776" width="9.140625" style="123"/>
    <col min="11777" max="11777" width="5.7109375" style="123" bestFit="1" customWidth="1"/>
    <col min="11778" max="11778" width="5" style="123" bestFit="1" customWidth="1"/>
    <col min="11779" max="11779" width="15.5703125" style="123" customWidth="1"/>
    <col min="11780" max="11781" width="5.140625" style="123" bestFit="1" customWidth="1"/>
    <col min="11782" max="11782" width="2" style="123" bestFit="1" customWidth="1"/>
    <col min="11783" max="11783" width="29.28515625" style="123" customWidth="1"/>
    <col min="11784" max="11788" width="0" style="123" hidden="1" customWidth="1"/>
    <col min="11789" max="11789" width="8.7109375" style="123" bestFit="1" customWidth="1"/>
    <col min="11790" max="11790" width="9.42578125" style="123" customWidth="1"/>
    <col min="11791" max="11795" width="8.7109375" style="123" bestFit="1" customWidth="1"/>
    <col min="11796" max="12032" width="9.140625" style="123"/>
    <col min="12033" max="12033" width="5.7109375" style="123" bestFit="1" customWidth="1"/>
    <col min="12034" max="12034" width="5" style="123" bestFit="1" customWidth="1"/>
    <col min="12035" max="12035" width="15.5703125" style="123" customWidth="1"/>
    <col min="12036" max="12037" width="5.140625" style="123" bestFit="1" customWidth="1"/>
    <col min="12038" max="12038" width="2" style="123" bestFit="1" customWidth="1"/>
    <col min="12039" max="12039" width="29.28515625" style="123" customWidth="1"/>
    <col min="12040" max="12044" width="0" style="123" hidden="1" customWidth="1"/>
    <col min="12045" max="12045" width="8.7109375" style="123" bestFit="1" customWidth="1"/>
    <col min="12046" max="12046" width="9.42578125" style="123" customWidth="1"/>
    <col min="12047" max="12051" width="8.7109375" style="123" bestFit="1" customWidth="1"/>
    <col min="12052" max="12288" width="9.140625" style="123"/>
    <col min="12289" max="12289" width="5.7109375" style="123" bestFit="1" customWidth="1"/>
    <col min="12290" max="12290" width="5" style="123" bestFit="1" customWidth="1"/>
    <col min="12291" max="12291" width="15.5703125" style="123" customWidth="1"/>
    <col min="12292" max="12293" width="5.140625" style="123" bestFit="1" customWidth="1"/>
    <col min="12294" max="12294" width="2" style="123" bestFit="1" customWidth="1"/>
    <col min="12295" max="12295" width="29.28515625" style="123" customWidth="1"/>
    <col min="12296" max="12300" width="0" style="123" hidden="1" customWidth="1"/>
    <col min="12301" max="12301" width="8.7109375" style="123" bestFit="1" customWidth="1"/>
    <col min="12302" max="12302" width="9.42578125" style="123" customWidth="1"/>
    <col min="12303" max="12307" width="8.7109375" style="123" bestFit="1" customWidth="1"/>
    <col min="12308" max="12544" width="9.140625" style="123"/>
    <col min="12545" max="12545" width="5.7109375" style="123" bestFit="1" customWidth="1"/>
    <col min="12546" max="12546" width="5" style="123" bestFit="1" customWidth="1"/>
    <col min="12547" max="12547" width="15.5703125" style="123" customWidth="1"/>
    <col min="12548" max="12549" width="5.140625" style="123" bestFit="1" customWidth="1"/>
    <col min="12550" max="12550" width="2" style="123" bestFit="1" customWidth="1"/>
    <col min="12551" max="12551" width="29.28515625" style="123" customWidth="1"/>
    <col min="12552" max="12556" width="0" style="123" hidden="1" customWidth="1"/>
    <col min="12557" max="12557" width="8.7109375" style="123" bestFit="1" customWidth="1"/>
    <col min="12558" max="12558" width="9.42578125" style="123" customWidth="1"/>
    <col min="12559" max="12563" width="8.7109375" style="123" bestFit="1" customWidth="1"/>
    <col min="12564" max="12800" width="9.140625" style="123"/>
    <col min="12801" max="12801" width="5.7109375" style="123" bestFit="1" customWidth="1"/>
    <col min="12802" max="12802" width="5" style="123" bestFit="1" customWidth="1"/>
    <col min="12803" max="12803" width="15.5703125" style="123" customWidth="1"/>
    <col min="12804" max="12805" width="5.140625" style="123" bestFit="1" customWidth="1"/>
    <col min="12806" max="12806" width="2" style="123" bestFit="1" customWidth="1"/>
    <col min="12807" max="12807" width="29.28515625" style="123" customWidth="1"/>
    <col min="12808" max="12812" width="0" style="123" hidden="1" customWidth="1"/>
    <col min="12813" max="12813" width="8.7109375" style="123" bestFit="1" customWidth="1"/>
    <col min="12814" max="12814" width="9.42578125" style="123" customWidth="1"/>
    <col min="12815" max="12819" width="8.7109375" style="123" bestFit="1" customWidth="1"/>
    <col min="12820" max="13056" width="9.140625" style="123"/>
    <col min="13057" max="13057" width="5.7109375" style="123" bestFit="1" customWidth="1"/>
    <col min="13058" max="13058" width="5" style="123" bestFit="1" customWidth="1"/>
    <col min="13059" max="13059" width="15.5703125" style="123" customWidth="1"/>
    <col min="13060" max="13061" width="5.140625" style="123" bestFit="1" customWidth="1"/>
    <col min="13062" max="13062" width="2" style="123" bestFit="1" customWidth="1"/>
    <col min="13063" max="13063" width="29.28515625" style="123" customWidth="1"/>
    <col min="13064" max="13068" width="0" style="123" hidden="1" customWidth="1"/>
    <col min="13069" max="13069" width="8.7109375" style="123" bestFit="1" customWidth="1"/>
    <col min="13070" max="13070" width="9.42578125" style="123" customWidth="1"/>
    <col min="13071" max="13075" width="8.7109375" style="123" bestFit="1" customWidth="1"/>
    <col min="13076" max="13312" width="9.140625" style="123"/>
    <col min="13313" max="13313" width="5.7109375" style="123" bestFit="1" customWidth="1"/>
    <col min="13314" max="13314" width="5" style="123" bestFit="1" customWidth="1"/>
    <col min="13315" max="13315" width="15.5703125" style="123" customWidth="1"/>
    <col min="13316" max="13317" width="5.140625" style="123" bestFit="1" customWidth="1"/>
    <col min="13318" max="13318" width="2" style="123" bestFit="1" customWidth="1"/>
    <col min="13319" max="13319" width="29.28515625" style="123" customWidth="1"/>
    <col min="13320" max="13324" width="0" style="123" hidden="1" customWidth="1"/>
    <col min="13325" max="13325" width="8.7109375" style="123" bestFit="1" customWidth="1"/>
    <col min="13326" max="13326" width="9.42578125" style="123" customWidth="1"/>
    <col min="13327" max="13331" width="8.7109375" style="123" bestFit="1" customWidth="1"/>
    <col min="13332" max="13568" width="9.140625" style="123"/>
    <col min="13569" max="13569" width="5.7109375" style="123" bestFit="1" customWidth="1"/>
    <col min="13570" max="13570" width="5" style="123" bestFit="1" customWidth="1"/>
    <col min="13571" max="13571" width="15.5703125" style="123" customWidth="1"/>
    <col min="13572" max="13573" width="5.140625" style="123" bestFit="1" customWidth="1"/>
    <col min="13574" max="13574" width="2" style="123" bestFit="1" customWidth="1"/>
    <col min="13575" max="13575" width="29.28515625" style="123" customWidth="1"/>
    <col min="13576" max="13580" width="0" style="123" hidden="1" customWidth="1"/>
    <col min="13581" max="13581" width="8.7109375" style="123" bestFit="1" customWidth="1"/>
    <col min="13582" max="13582" width="9.42578125" style="123" customWidth="1"/>
    <col min="13583" max="13587" width="8.7109375" style="123" bestFit="1" customWidth="1"/>
    <col min="13588" max="13824" width="9.140625" style="123"/>
    <col min="13825" max="13825" width="5.7109375" style="123" bestFit="1" customWidth="1"/>
    <col min="13826" max="13826" width="5" style="123" bestFit="1" customWidth="1"/>
    <col min="13827" max="13827" width="15.5703125" style="123" customWidth="1"/>
    <col min="13828" max="13829" width="5.140625" style="123" bestFit="1" customWidth="1"/>
    <col min="13830" max="13830" width="2" style="123" bestFit="1" customWidth="1"/>
    <col min="13831" max="13831" width="29.28515625" style="123" customWidth="1"/>
    <col min="13832" max="13836" width="0" style="123" hidden="1" customWidth="1"/>
    <col min="13837" max="13837" width="8.7109375" style="123" bestFit="1" customWidth="1"/>
    <col min="13838" max="13838" width="9.42578125" style="123" customWidth="1"/>
    <col min="13839" max="13843" width="8.7109375" style="123" bestFit="1" customWidth="1"/>
    <col min="13844" max="14080" width="9.140625" style="123"/>
    <col min="14081" max="14081" width="5.7109375" style="123" bestFit="1" customWidth="1"/>
    <col min="14082" max="14082" width="5" style="123" bestFit="1" customWidth="1"/>
    <col min="14083" max="14083" width="15.5703125" style="123" customWidth="1"/>
    <col min="14084" max="14085" width="5.140625" style="123" bestFit="1" customWidth="1"/>
    <col min="14086" max="14086" width="2" style="123" bestFit="1" customWidth="1"/>
    <col min="14087" max="14087" width="29.28515625" style="123" customWidth="1"/>
    <col min="14088" max="14092" width="0" style="123" hidden="1" customWidth="1"/>
    <col min="14093" max="14093" width="8.7109375" style="123" bestFit="1" customWidth="1"/>
    <col min="14094" max="14094" width="9.42578125" style="123" customWidth="1"/>
    <col min="14095" max="14099" width="8.7109375" style="123" bestFit="1" customWidth="1"/>
    <col min="14100" max="14336" width="9.140625" style="123"/>
    <col min="14337" max="14337" width="5.7109375" style="123" bestFit="1" customWidth="1"/>
    <col min="14338" max="14338" width="5" style="123" bestFit="1" customWidth="1"/>
    <col min="14339" max="14339" width="15.5703125" style="123" customWidth="1"/>
    <col min="14340" max="14341" width="5.140625" style="123" bestFit="1" customWidth="1"/>
    <col min="14342" max="14342" width="2" style="123" bestFit="1" customWidth="1"/>
    <col min="14343" max="14343" width="29.28515625" style="123" customWidth="1"/>
    <col min="14344" max="14348" width="0" style="123" hidden="1" customWidth="1"/>
    <col min="14349" max="14349" width="8.7109375" style="123" bestFit="1" customWidth="1"/>
    <col min="14350" max="14350" width="9.42578125" style="123" customWidth="1"/>
    <col min="14351" max="14355" width="8.7109375" style="123" bestFit="1" customWidth="1"/>
    <col min="14356" max="14592" width="9.140625" style="123"/>
    <col min="14593" max="14593" width="5.7109375" style="123" bestFit="1" customWidth="1"/>
    <col min="14594" max="14594" width="5" style="123" bestFit="1" customWidth="1"/>
    <col min="14595" max="14595" width="15.5703125" style="123" customWidth="1"/>
    <col min="14596" max="14597" width="5.140625" style="123" bestFit="1" customWidth="1"/>
    <col min="14598" max="14598" width="2" style="123" bestFit="1" customWidth="1"/>
    <col min="14599" max="14599" width="29.28515625" style="123" customWidth="1"/>
    <col min="14600" max="14604" width="0" style="123" hidden="1" customWidth="1"/>
    <col min="14605" max="14605" width="8.7109375" style="123" bestFit="1" customWidth="1"/>
    <col min="14606" max="14606" width="9.42578125" style="123" customWidth="1"/>
    <col min="14607" max="14611" width="8.7109375" style="123" bestFit="1" customWidth="1"/>
    <col min="14612" max="14848" width="9.140625" style="123"/>
    <col min="14849" max="14849" width="5.7109375" style="123" bestFit="1" customWidth="1"/>
    <col min="14850" max="14850" width="5" style="123" bestFit="1" customWidth="1"/>
    <col min="14851" max="14851" width="15.5703125" style="123" customWidth="1"/>
    <col min="14852" max="14853" width="5.140625" style="123" bestFit="1" customWidth="1"/>
    <col min="14854" max="14854" width="2" style="123" bestFit="1" customWidth="1"/>
    <col min="14855" max="14855" width="29.28515625" style="123" customWidth="1"/>
    <col min="14856" max="14860" width="0" style="123" hidden="1" customWidth="1"/>
    <col min="14861" max="14861" width="8.7109375" style="123" bestFit="1" customWidth="1"/>
    <col min="14862" max="14862" width="9.42578125" style="123" customWidth="1"/>
    <col min="14863" max="14867" width="8.7109375" style="123" bestFit="1" customWidth="1"/>
    <col min="14868" max="15104" width="9.140625" style="123"/>
    <col min="15105" max="15105" width="5.7109375" style="123" bestFit="1" customWidth="1"/>
    <col min="15106" max="15106" width="5" style="123" bestFit="1" customWidth="1"/>
    <col min="15107" max="15107" width="15.5703125" style="123" customWidth="1"/>
    <col min="15108" max="15109" width="5.140625" style="123" bestFit="1" customWidth="1"/>
    <col min="15110" max="15110" width="2" style="123" bestFit="1" customWidth="1"/>
    <col min="15111" max="15111" width="29.28515625" style="123" customWidth="1"/>
    <col min="15112" max="15116" width="0" style="123" hidden="1" customWidth="1"/>
    <col min="15117" max="15117" width="8.7109375" style="123" bestFit="1" customWidth="1"/>
    <col min="15118" max="15118" width="9.42578125" style="123" customWidth="1"/>
    <col min="15119" max="15123" width="8.7109375" style="123" bestFit="1" customWidth="1"/>
    <col min="15124" max="15360" width="9.140625" style="123"/>
    <col min="15361" max="15361" width="5.7109375" style="123" bestFit="1" customWidth="1"/>
    <col min="15362" max="15362" width="5" style="123" bestFit="1" customWidth="1"/>
    <col min="15363" max="15363" width="15.5703125" style="123" customWidth="1"/>
    <col min="15364" max="15365" width="5.140625" style="123" bestFit="1" customWidth="1"/>
    <col min="15366" max="15366" width="2" style="123" bestFit="1" customWidth="1"/>
    <col min="15367" max="15367" width="29.28515625" style="123" customWidth="1"/>
    <col min="15368" max="15372" width="0" style="123" hidden="1" customWidth="1"/>
    <col min="15373" max="15373" width="8.7109375" style="123" bestFit="1" customWidth="1"/>
    <col min="15374" max="15374" width="9.42578125" style="123" customWidth="1"/>
    <col min="15375" max="15379" width="8.7109375" style="123" bestFit="1" customWidth="1"/>
    <col min="15380" max="15616" width="9.140625" style="123"/>
    <col min="15617" max="15617" width="5.7109375" style="123" bestFit="1" customWidth="1"/>
    <col min="15618" max="15618" width="5" style="123" bestFit="1" customWidth="1"/>
    <col min="15619" max="15619" width="15.5703125" style="123" customWidth="1"/>
    <col min="15620" max="15621" width="5.140625" style="123" bestFit="1" customWidth="1"/>
    <col min="15622" max="15622" width="2" style="123" bestFit="1" customWidth="1"/>
    <col min="15623" max="15623" width="29.28515625" style="123" customWidth="1"/>
    <col min="15624" max="15628" width="0" style="123" hidden="1" customWidth="1"/>
    <col min="15629" max="15629" width="8.7109375" style="123" bestFit="1" customWidth="1"/>
    <col min="15630" max="15630" width="9.42578125" style="123" customWidth="1"/>
    <col min="15631" max="15635" width="8.7109375" style="123" bestFit="1" customWidth="1"/>
    <col min="15636" max="15872" width="9.140625" style="123"/>
    <col min="15873" max="15873" width="5.7109375" style="123" bestFit="1" customWidth="1"/>
    <col min="15874" max="15874" width="5" style="123" bestFit="1" customWidth="1"/>
    <col min="15875" max="15875" width="15.5703125" style="123" customWidth="1"/>
    <col min="15876" max="15877" width="5.140625" style="123" bestFit="1" customWidth="1"/>
    <col min="15878" max="15878" width="2" style="123" bestFit="1" customWidth="1"/>
    <col min="15879" max="15879" width="29.28515625" style="123" customWidth="1"/>
    <col min="15880" max="15884" width="0" style="123" hidden="1" customWidth="1"/>
    <col min="15885" max="15885" width="8.7109375" style="123" bestFit="1" customWidth="1"/>
    <col min="15886" max="15886" width="9.42578125" style="123" customWidth="1"/>
    <col min="15887" max="15891" width="8.7109375" style="123" bestFit="1" customWidth="1"/>
    <col min="15892" max="16128" width="9.140625" style="123"/>
    <col min="16129" max="16129" width="5.7109375" style="123" bestFit="1" customWidth="1"/>
    <col min="16130" max="16130" width="5" style="123" bestFit="1" customWidth="1"/>
    <col min="16131" max="16131" width="15.5703125" style="123" customWidth="1"/>
    <col min="16132" max="16133" width="5.140625" style="123" bestFit="1" customWidth="1"/>
    <col min="16134" max="16134" width="2" style="123" bestFit="1" customWidth="1"/>
    <col min="16135" max="16135" width="29.28515625" style="123" customWidth="1"/>
    <col min="16136" max="16140" width="0" style="123" hidden="1" customWidth="1"/>
    <col min="16141" max="16141" width="8.7109375" style="123" bestFit="1" customWidth="1"/>
    <col min="16142" max="16142" width="9.42578125" style="123" customWidth="1"/>
    <col min="16143" max="16147" width="8.7109375" style="123" bestFit="1" customWidth="1"/>
    <col min="16148" max="16384" width="9.140625" style="123"/>
  </cols>
  <sheetData>
    <row r="1" spans="1:19" x14ac:dyDescent="0.2">
      <c r="A1" s="1"/>
      <c r="C1" s="3"/>
      <c r="D1" s="3"/>
      <c r="E1" s="1"/>
      <c r="F1" s="1"/>
      <c r="G1" s="123"/>
    </row>
    <row r="2" spans="1:19" x14ac:dyDescent="0.2">
      <c r="A2" s="3" t="s">
        <v>0</v>
      </c>
      <c r="B2" s="5" t="s">
        <v>1</v>
      </c>
      <c r="C2" s="3" t="s">
        <v>2</v>
      </c>
      <c r="D2" s="3"/>
      <c r="E2" s="1" t="s">
        <v>3</v>
      </c>
      <c r="F2" s="1"/>
      <c r="G2" s="124" t="s">
        <v>465</v>
      </c>
      <c r="H2" s="125"/>
      <c r="I2" s="126"/>
      <c r="J2" s="127"/>
      <c r="K2" s="128"/>
      <c r="L2" s="129"/>
      <c r="M2" s="130" t="s">
        <v>366</v>
      </c>
      <c r="N2" s="131" t="s">
        <v>466</v>
      </c>
      <c r="O2" s="132"/>
      <c r="P2" s="132"/>
      <c r="Q2" s="132"/>
      <c r="R2" s="133"/>
    </row>
    <row r="3" spans="1:19" x14ac:dyDescent="0.2">
      <c r="A3" s="1"/>
      <c r="B3" s="6"/>
      <c r="C3" s="3"/>
      <c r="D3" s="3"/>
      <c r="E3" s="1"/>
      <c r="F3" s="1"/>
      <c r="G3" s="134" t="s">
        <v>4</v>
      </c>
      <c r="H3" s="135">
        <v>40908</v>
      </c>
      <c r="I3" s="135">
        <v>41274</v>
      </c>
      <c r="J3" s="135">
        <v>41639</v>
      </c>
      <c r="K3" s="135">
        <v>42004</v>
      </c>
      <c r="L3" s="135">
        <v>42369</v>
      </c>
      <c r="M3" s="135">
        <v>42735</v>
      </c>
      <c r="N3" s="135">
        <v>43100</v>
      </c>
      <c r="O3" s="135">
        <v>43465</v>
      </c>
      <c r="P3" s="135">
        <v>43830</v>
      </c>
      <c r="Q3" s="135">
        <v>44196</v>
      </c>
      <c r="R3" s="135">
        <v>44561</v>
      </c>
      <c r="S3" s="135">
        <v>44926</v>
      </c>
    </row>
    <row r="4" spans="1:19" x14ac:dyDescent="0.2">
      <c r="A4" s="7"/>
      <c r="B4" s="2" t="s">
        <v>5</v>
      </c>
      <c r="C4" s="3">
        <v>1</v>
      </c>
      <c r="D4" s="3"/>
      <c r="E4" s="5"/>
      <c r="F4" s="7"/>
      <c r="G4" s="103" t="s">
        <v>6</v>
      </c>
      <c r="H4" s="136">
        <f t="shared" ref="H4:S4" si="0">H5+H10</f>
        <v>0</v>
      </c>
      <c r="I4" s="136">
        <f t="shared" si="0"/>
        <v>2140.6549999999997</v>
      </c>
      <c r="J4" s="136">
        <f t="shared" si="0"/>
        <v>9590.7429999999986</v>
      </c>
      <c r="K4" s="136">
        <f t="shared" si="0"/>
        <v>10474.335999999999</v>
      </c>
      <c r="L4" s="136">
        <f t="shared" si="0"/>
        <v>10565.377</v>
      </c>
      <c r="M4" s="136">
        <f t="shared" si="0"/>
        <v>10849.173999999999</v>
      </c>
      <c r="N4" s="136">
        <f t="shared" si="0"/>
        <v>10881.83</v>
      </c>
      <c r="O4" s="136">
        <f t="shared" si="0"/>
        <v>10798.9</v>
      </c>
      <c r="P4" s="136">
        <f t="shared" si="0"/>
        <v>10929.5</v>
      </c>
      <c r="Q4" s="136">
        <f t="shared" si="0"/>
        <v>10912.5</v>
      </c>
      <c r="R4" s="136">
        <f t="shared" si="0"/>
        <v>10961.5</v>
      </c>
      <c r="S4" s="136">
        <f t="shared" si="0"/>
        <v>10932.956</v>
      </c>
    </row>
    <row r="5" spans="1:19" x14ac:dyDescent="0.2">
      <c r="B5" s="2" t="s">
        <v>7</v>
      </c>
      <c r="C5" s="3">
        <v>10</v>
      </c>
      <c r="D5" s="3"/>
      <c r="G5" s="110" t="s">
        <v>8</v>
      </c>
      <c r="H5" s="136">
        <f t="shared" ref="H5:Q5" si="1">SUM(H6:H9)</f>
        <v>0</v>
      </c>
      <c r="I5" s="136">
        <f t="shared" si="1"/>
        <v>46.777999999999999</v>
      </c>
      <c r="J5" s="136">
        <f t="shared" si="1"/>
        <v>97.816999999999993</v>
      </c>
      <c r="K5" s="136">
        <f t="shared" si="1"/>
        <v>181.46</v>
      </c>
      <c r="L5" s="136">
        <f t="shared" si="1"/>
        <v>159.40200000000002</v>
      </c>
      <c r="M5" s="136">
        <f t="shared" si="1"/>
        <v>271.62099999999998</v>
      </c>
      <c r="N5" s="136">
        <f t="shared" si="1"/>
        <v>128.32999999999998</v>
      </c>
      <c r="O5" s="136">
        <f t="shared" si="1"/>
        <v>144.4</v>
      </c>
      <c r="P5" s="136">
        <f t="shared" si="1"/>
        <v>330</v>
      </c>
      <c r="Q5" s="136">
        <f t="shared" si="1"/>
        <v>328</v>
      </c>
      <c r="R5" s="136">
        <f>SUM(R6:R9)</f>
        <v>392</v>
      </c>
      <c r="S5" s="136">
        <f>SUM(S6:S9)</f>
        <v>378.45600000000002</v>
      </c>
    </row>
    <row r="6" spans="1:19" ht="12" x14ac:dyDescent="0.2">
      <c r="B6" s="2" t="s">
        <v>9</v>
      </c>
      <c r="C6" s="10" t="s">
        <v>10</v>
      </c>
      <c r="E6" s="11" t="s">
        <v>11</v>
      </c>
      <c r="G6" s="110" t="s">
        <v>12</v>
      </c>
      <c r="H6" s="137">
        <v>0</v>
      </c>
      <c r="I6" s="137">
        <v>0.1</v>
      </c>
      <c r="J6" s="137">
        <v>81.132999999999996</v>
      </c>
      <c r="K6" s="137">
        <v>152.84</v>
      </c>
      <c r="L6" s="137">
        <v>109.02200000000001</v>
      </c>
      <c r="M6" s="137">
        <v>221.303</v>
      </c>
      <c r="N6" s="137">
        <v>101.75</v>
      </c>
      <c r="O6" s="137">
        <v>104</v>
      </c>
      <c r="P6" s="137">
        <v>264</v>
      </c>
      <c r="Q6" s="137">
        <v>273</v>
      </c>
      <c r="R6" s="137">
        <v>305</v>
      </c>
      <c r="S6" s="137">
        <v>298</v>
      </c>
    </row>
    <row r="7" spans="1:19" ht="12" x14ac:dyDescent="0.2">
      <c r="B7" s="2" t="s">
        <v>13</v>
      </c>
      <c r="C7" s="10" t="s">
        <v>14</v>
      </c>
      <c r="E7" s="11" t="s">
        <v>11</v>
      </c>
      <c r="G7" s="110" t="s">
        <v>15</v>
      </c>
      <c r="H7" s="137">
        <v>0</v>
      </c>
      <c r="I7" s="137">
        <v>39.527999999999999</v>
      </c>
      <c r="J7" s="137">
        <v>4.1639999999999997</v>
      </c>
      <c r="K7" s="137">
        <v>10.023</v>
      </c>
      <c r="L7" s="137">
        <v>27.277000000000001</v>
      </c>
      <c r="M7" s="137">
        <v>18.689</v>
      </c>
      <c r="N7" s="137">
        <v>-1.2809999999999999</v>
      </c>
      <c r="O7" s="137">
        <v>20.399999999999999</v>
      </c>
      <c r="P7" s="137">
        <v>26</v>
      </c>
      <c r="Q7" s="137">
        <v>25</v>
      </c>
      <c r="R7" s="137">
        <v>47</v>
      </c>
      <c r="S7" s="137">
        <v>35.456000000000003</v>
      </c>
    </row>
    <row r="8" spans="1:19" ht="12" x14ac:dyDescent="0.2">
      <c r="B8" s="2" t="s">
        <v>16</v>
      </c>
      <c r="C8" s="10" t="s">
        <v>17</v>
      </c>
      <c r="E8" s="11" t="s">
        <v>11</v>
      </c>
      <c r="G8" s="110" t="s">
        <v>18</v>
      </c>
      <c r="H8" s="137">
        <v>0</v>
      </c>
      <c r="I8" s="137">
        <v>0</v>
      </c>
      <c r="J8" s="137">
        <v>0</v>
      </c>
      <c r="K8" s="137">
        <v>0</v>
      </c>
      <c r="L8" s="137">
        <v>0</v>
      </c>
      <c r="M8" s="137">
        <v>0</v>
      </c>
      <c r="N8" s="137">
        <v>0</v>
      </c>
      <c r="O8" s="137">
        <v>0</v>
      </c>
      <c r="P8" s="137">
        <v>0</v>
      </c>
      <c r="Q8" s="137">
        <v>0</v>
      </c>
      <c r="R8" s="137">
        <v>0</v>
      </c>
      <c r="S8" s="137">
        <v>0</v>
      </c>
    </row>
    <row r="9" spans="1:19" x14ac:dyDescent="0.2">
      <c r="B9" s="2" t="s">
        <v>19</v>
      </c>
      <c r="C9" s="10">
        <v>108</v>
      </c>
      <c r="E9" s="12"/>
      <c r="G9" s="110" t="s">
        <v>20</v>
      </c>
      <c r="H9" s="137">
        <v>0</v>
      </c>
      <c r="I9" s="137">
        <v>7.15</v>
      </c>
      <c r="J9" s="137">
        <v>12.52</v>
      </c>
      <c r="K9" s="137">
        <v>18.597000000000001</v>
      </c>
      <c r="L9" s="137">
        <v>23.103000000000002</v>
      </c>
      <c r="M9" s="137">
        <v>31.629000000000001</v>
      </c>
      <c r="N9" s="137">
        <v>27.861000000000001</v>
      </c>
      <c r="O9" s="137">
        <v>20</v>
      </c>
      <c r="P9" s="137">
        <v>40</v>
      </c>
      <c r="Q9" s="137">
        <v>30</v>
      </c>
      <c r="R9" s="137">
        <v>40</v>
      </c>
      <c r="S9" s="137">
        <v>45</v>
      </c>
    </row>
    <row r="10" spans="1:19" x14ac:dyDescent="0.2">
      <c r="A10" s="13"/>
      <c r="B10" s="2" t="s">
        <v>21</v>
      </c>
      <c r="C10" s="14">
        <v>15</v>
      </c>
      <c r="D10" s="14"/>
      <c r="E10" s="12"/>
      <c r="F10" s="13"/>
      <c r="G10" s="110" t="s">
        <v>22</v>
      </c>
      <c r="H10" s="136">
        <f>SUM(H11:H16)</f>
        <v>0</v>
      </c>
      <c r="I10" s="136">
        <f t="shared" ref="I10:S10" si="2">SUM(I11:I16)</f>
        <v>2093.877</v>
      </c>
      <c r="J10" s="136">
        <f t="shared" si="2"/>
        <v>9492.9259999999995</v>
      </c>
      <c r="K10" s="136">
        <f t="shared" si="2"/>
        <v>10292.876</v>
      </c>
      <c r="L10" s="136">
        <f t="shared" si="2"/>
        <v>10405.975</v>
      </c>
      <c r="M10" s="136">
        <f t="shared" si="2"/>
        <v>10577.553</v>
      </c>
      <c r="N10" s="136">
        <f t="shared" si="2"/>
        <v>10753.5</v>
      </c>
      <c r="O10" s="136">
        <f t="shared" si="2"/>
        <v>10654.5</v>
      </c>
      <c r="P10" s="136">
        <f t="shared" si="2"/>
        <v>10599.5</v>
      </c>
      <c r="Q10" s="136">
        <f t="shared" si="2"/>
        <v>10584.5</v>
      </c>
      <c r="R10" s="136">
        <f t="shared" si="2"/>
        <v>10569.5</v>
      </c>
      <c r="S10" s="136">
        <f t="shared" si="2"/>
        <v>10554.5</v>
      </c>
    </row>
    <row r="11" spans="1:19" ht="12" x14ac:dyDescent="0.2">
      <c r="A11" s="13"/>
      <c r="B11" s="2" t="s">
        <v>23</v>
      </c>
      <c r="C11" s="14">
        <v>150</v>
      </c>
      <c r="D11" s="14"/>
      <c r="E11" s="11" t="s">
        <v>11</v>
      </c>
      <c r="F11" s="13"/>
      <c r="G11" s="110" t="s">
        <v>24</v>
      </c>
      <c r="H11" s="137">
        <v>0</v>
      </c>
      <c r="I11" s="137">
        <v>0</v>
      </c>
      <c r="J11" s="137">
        <v>0</v>
      </c>
      <c r="K11" s="137">
        <v>0</v>
      </c>
      <c r="L11" s="137">
        <v>0</v>
      </c>
      <c r="M11" s="137">
        <v>0</v>
      </c>
      <c r="N11" s="137">
        <v>0</v>
      </c>
      <c r="O11" s="137">
        <v>0</v>
      </c>
      <c r="P11" s="137">
        <v>0</v>
      </c>
      <c r="Q11" s="137">
        <v>0</v>
      </c>
      <c r="R11" s="137">
        <v>0</v>
      </c>
      <c r="S11" s="137">
        <v>0</v>
      </c>
    </row>
    <row r="12" spans="1:19" ht="12" x14ac:dyDescent="0.2">
      <c r="A12" s="13"/>
      <c r="B12" s="2" t="s">
        <v>25</v>
      </c>
      <c r="C12" s="14">
        <v>151</v>
      </c>
      <c r="D12" s="14"/>
      <c r="E12" s="11" t="s">
        <v>11</v>
      </c>
      <c r="F12" s="13"/>
      <c r="G12" s="110" t="s">
        <v>26</v>
      </c>
      <c r="H12" s="137">
        <v>0</v>
      </c>
      <c r="I12" s="137">
        <v>0</v>
      </c>
      <c r="J12" s="137">
        <v>0</v>
      </c>
      <c r="K12" s="137">
        <v>0</v>
      </c>
      <c r="L12" s="137">
        <v>0</v>
      </c>
      <c r="M12" s="137">
        <v>0</v>
      </c>
      <c r="N12" s="137">
        <v>0</v>
      </c>
      <c r="O12" s="137">
        <v>0</v>
      </c>
      <c r="P12" s="137">
        <v>0</v>
      </c>
      <c r="Q12" s="137">
        <v>0</v>
      </c>
      <c r="R12" s="137">
        <v>0</v>
      </c>
      <c r="S12" s="137">
        <v>0</v>
      </c>
    </row>
    <row r="13" spans="1:19" ht="12" x14ac:dyDescent="0.2">
      <c r="B13" s="2" t="s">
        <v>27</v>
      </c>
      <c r="C13" s="10" t="s">
        <v>28</v>
      </c>
      <c r="E13" s="11" t="s">
        <v>11</v>
      </c>
      <c r="G13" s="110" t="s">
        <v>29</v>
      </c>
      <c r="H13" s="137">
        <v>0</v>
      </c>
      <c r="I13" s="137">
        <v>0</v>
      </c>
      <c r="J13" s="137">
        <v>0</v>
      </c>
      <c r="K13" s="137">
        <v>0</v>
      </c>
      <c r="L13" s="137">
        <v>0</v>
      </c>
      <c r="M13" s="137">
        <v>0</v>
      </c>
      <c r="N13" s="137">
        <v>0</v>
      </c>
      <c r="O13" s="137">
        <v>0</v>
      </c>
      <c r="P13" s="137">
        <v>0</v>
      </c>
      <c r="Q13" s="137">
        <v>0</v>
      </c>
      <c r="R13" s="137">
        <v>0</v>
      </c>
      <c r="S13" s="137">
        <v>0</v>
      </c>
    </row>
    <row r="14" spans="1:19" ht="12" x14ac:dyDescent="0.2">
      <c r="B14" s="2" t="s">
        <v>30</v>
      </c>
      <c r="C14" s="10">
        <v>154</v>
      </c>
      <c r="E14" s="11" t="s">
        <v>11</v>
      </c>
      <c r="G14" s="110" t="s">
        <v>31</v>
      </c>
      <c r="H14" s="137">
        <v>0</v>
      </c>
      <c r="I14" s="137">
        <v>0</v>
      </c>
      <c r="J14" s="137">
        <v>0</v>
      </c>
      <c r="K14" s="137">
        <v>0</v>
      </c>
      <c r="L14" s="137">
        <v>0</v>
      </c>
      <c r="M14" s="137">
        <v>0</v>
      </c>
      <c r="N14" s="137">
        <v>0</v>
      </c>
      <c r="O14" s="137">
        <v>0</v>
      </c>
      <c r="P14" s="137">
        <v>0</v>
      </c>
      <c r="Q14" s="137">
        <v>0</v>
      </c>
      <c r="R14" s="137">
        <v>0</v>
      </c>
      <c r="S14" s="137">
        <v>0</v>
      </c>
    </row>
    <row r="15" spans="1:19" ht="12" x14ac:dyDescent="0.2">
      <c r="B15" s="2" t="s">
        <v>32</v>
      </c>
      <c r="C15" s="10" t="s">
        <v>33</v>
      </c>
      <c r="E15" s="11" t="s">
        <v>11</v>
      </c>
      <c r="G15" s="110" t="s">
        <v>34</v>
      </c>
      <c r="H15" s="137">
        <v>0</v>
      </c>
      <c r="I15" s="137">
        <v>2093.877</v>
      </c>
      <c r="J15" s="137">
        <v>9492.9259999999995</v>
      </c>
      <c r="K15" s="137">
        <v>10292.876</v>
      </c>
      <c r="L15" s="137">
        <v>10405.975</v>
      </c>
      <c r="M15" s="137">
        <v>10577.553</v>
      </c>
      <c r="N15" s="137">
        <v>10753.5</v>
      </c>
      <c r="O15" s="137">
        <f>+N15+O45+O58</f>
        <v>10654.5</v>
      </c>
      <c r="P15" s="137">
        <f>+O15+P45-P58</f>
        <v>10599.5</v>
      </c>
      <c r="Q15" s="137">
        <f>+P15+Q45-Q58</f>
        <v>10584.5</v>
      </c>
      <c r="R15" s="137">
        <f>+Q15+R45-R58</f>
        <v>10569.5</v>
      </c>
      <c r="S15" s="137">
        <f>+R15+S45-S58</f>
        <v>10554.5</v>
      </c>
    </row>
    <row r="16" spans="1:19" ht="12" x14ac:dyDescent="0.2">
      <c r="B16" s="2" t="s">
        <v>35</v>
      </c>
      <c r="C16" s="10">
        <v>157</v>
      </c>
      <c r="E16" s="11" t="s">
        <v>11</v>
      </c>
      <c r="G16" s="110" t="s">
        <v>36</v>
      </c>
      <c r="H16" s="137">
        <v>0</v>
      </c>
      <c r="I16" s="137">
        <v>0</v>
      </c>
      <c r="J16" s="137">
        <v>0</v>
      </c>
      <c r="K16" s="137">
        <v>0</v>
      </c>
      <c r="L16" s="137">
        <v>0</v>
      </c>
      <c r="M16" s="137">
        <v>0</v>
      </c>
      <c r="N16" s="137">
        <v>0</v>
      </c>
      <c r="O16" s="137">
        <v>0</v>
      </c>
      <c r="P16" s="137">
        <v>0</v>
      </c>
      <c r="Q16" s="137">
        <v>0</v>
      </c>
      <c r="R16" s="137">
        <v>0</v>
      </c>
      <c r="S16" s="137">
        <v>0</v>
      </c>
    </row>
    <row r="17" spans="1:19" s="142" customFormat="1" ht="12" x14ac:dyDescent="0.2">
      <c r="A17" s="138"/>
      <c r="B17" s="2" t="s">
        <v>37</v>
      </c>
      <c r="C17" s="78" t="s">
        <v>38</v>
      </c>
      <c r="D17" s="138"/>
      <c r="E17" s="11" t="s">
        <v>11</v>
      </c>
      <c r="F17" s="139"/>
      <c r="G17" s="140" t="s">
        <v>39</v>
      </c>
      <c r="H17" s="141">
        <v>0</v>
      </c>
      <c r="I17" s="141">
        <v>0</v>
      </c>
      <c r="J17" s="141">
        <v>0</v>
      </c>
      <c r="K17" s="141">
        <v>0</v>
      </c>
      <c r="L17" s="141">
        <v>0</v>
      </c>
      <c r="M17" s="141">
        <v>0</v>
      </c>
      <c r="N17" s="141">
        <v>0</v>
      </c>
      <c r="O17" s="141">
        <v>0</v>
      </c>
      <c r="P17" s="141">
        <v>0</v>
      </c>
      <c r="Q17" s="141">
        <v>0</v>
      </c>
      <c r="R17" s="141">
        <v>0</v>
      </c>
      <c r="S17" s="141">
        <v>0</v>
      </c>
    </row>
    <row r="18" spans="1:19" x14ac:dyDescent="0.2">
      <c r="B18" s="2" t="s">
        <v>40</v>
      </c>
      <c r="C18" s="10">
        <v>2</v>
      </c>
      <c r="E18" s="12"/>
      <c r="G18" s="110" t="s">
        <v>41</v>
      </c>
      <c r="H18" s="136">
        <f>H19+H27</f>
        <v>0</v>
      </c>
      <c r="I18" s="136">
        <f t="shared" ref="I18:S18" si="3">I19+I27</f>
        <v>2140.6549999999997</v>
      </c>
      <c r="J18" s="136">
        <f t="shared" si="3"/>
        <v>9590.7419999999984</v>
      </c>
      <c r="K18" s="136">
        <f t="shared" si="3"/>
        <v>10474.336000000001</v>
      </c>
      <c r="L18" s="136">
        <f t="shared" si="3"/>
        <v>10565.376</v>
      </c>
      <c r="M18" s="136">
        <f t="shared" si="3"/>
        <v>10849.174999999999</v>
      </c>
      <c r="N18" s="136">
        <f t="shared" si="3"/>
        <v>10881.835000000001</v>
      </c>
      <c r="O18" s="136">
        <f t="shared" si="3"/>
        <v>10799</v>
      </c>
      <c r="P18" s="136">
        <f t="shared" si="3"/>
        <v>10929.456</v>
      </c>
      <c r="Q18" s="136">
        <f t="shared" si="3"/>
        <v>10912.5</v>
      </c>
      <c r="R18" s="136">
        <f t="shared" si="3"/>
        <v>10961.5</v>
      </c>
      <c r="S18" s="136">
        <f t="shared" si="3"/>
        <v>10933</v>
      </c>
    </row>
    <row r="19" spans="1:19" x14ac:dyDescent="0.2">
      <c r="B19" s="2" t="s">
        <v>42</v>
      </c>
      <c r="C19" s="10" t="s">
        <v>43</v>
      </c>
      <c r="E19" s="12"/>
      <c r="G19" s="110" t="s">
        <v>44</v>
      </c>
      <c r="H19" s="136">
        <f>SUM(H21:H26)</f>
        <v>0</v>
      </c>
      <c r="I19" s="136">
        <f t="shared" ref="I19:S19" si="4">SUM(I21:I26)</f>
        <v>55.875</v>
      </c>
      <c r="J19" s="136">
        <f t="shared" si="4"/>
        <v>76.986999999999995</v>
      </c>
      <c r="K19" s="136">
        <f t="shared" si="4"/>
        <v>113.575</v>
      </c>
      <c r="L19" s="136">
        <f t="shared" si="4"/>
        <v>116.371</v>
      </c>
      <c r="M19" s="136">
        <f t="shared" si="4"/>
        <v>415.85300000000001</v>
      </c>
      <c r="N19" s="136">
        <f t="shared" si="4"/>
        <v>320.95400000000001</v>
      </c>
      <c r="O19" s="136">
        <f t="shared" si="4"/>
        <v>287</v>
      </c>
      <c r="P19" s="136">
        <f t="shared" si="4"/>
        <v>124.456</v>
      </c>
      <c r="Q19" s="136">
        <f t="shared" si="4"/>
        <v>110.5</v>
      </c>
      <c r="R19" s="136">
        <f t="shared" si="4"/>
        <v>115.5</v>
      </c>
      <c r="S19" s="136">
        <f t="shared" si="4"/>
        <v>71</v>
      </c>
    </row>
    <row r="20" spans="1:19" s="145" customFormat="1" ht="12" x14ac:dyDescent="0.2">
      <c r="A20" s="143"/>
      <c r="B20" s="2" t="s">
        <v>45</v>
      </c>
      <c r="C20" s="78" t="s">
        <v>46</v>
      </c>
      <c r="D20" s="138"/>
      <c r="E20" s="11" t="s">
        <v>11</v>
      </c>
      <c r="F20" s="143"/>
      <c r="G20" s="140" t="s">
        <v>47</v>
      </c>
      <c r="H20" s="144">
        <v>0</v>
      </c>
      <c r="I20" s="144">
        <v>55.875</v>
      </c>
      <c r="J20" s="144">
        <v>76.986999999999995</v>
      </c>
      <c r="K20" s="144">
        <v>113.575</v>
      </c>
      <c r="L20" s="144">
        <v>116.371</v>
      </c>
      <c r="M20" s="144">
        <v>313.70499999999998</v>
      </c>
      <c r="N20" s="144">
        <v>300</v>
      </c>
      <c r="O20" s="144">
        <v>200</v>
      </c>
      <c r="P20" s="144">
        <v>80</v>
      </c>
      <c r="Q20" s="144">
        <v>78</v>
      </c>
      <c r="R20" s="144">
        <v>65</v>
      </c>
      <c r="S20" s="144">
        <v>0</v>
      </c>
    </row>
    <row r="21" spans="1:19" ht="12" x14ac:dyDescent="0.2">
      <c r="B21" s="2" t="s">
        <v>48</v>
      </c>
      <c r="C21" s="18" t="s">
        <v>49</v>
      </c>
      <c r="D21" s="18"/>
      <c r="E21" s="11" t="s">
        <v>11</v>
      </c>
      <c r="G21" s="110" t="s">
        <v>50</v>
      </c>
      <c r="H21" s="137">
        <v>0</v>
      </c>
      <c r="I21" s="137">
        <v>55.875</v>
      </c>
      <c r="J21" s="137">
        <v>76.986999999999995</v>
      </c>
      <c r="K21" s="137">
        <v>113.575</v>
      </c>
      <c r="L21" s="137">
        <v>116.371</v>
      </c>
      <c r="M21" s="137">
        <f>313.705-17.852</f>
        <v>295.85300000000001</v>
      </c>
      <c r="N21" s="137">
        <v>218.654</v>
      </c>
      <c r="O21" s="137">
        <v>209</v>
      </c>
      <c r="P21" s="137">
        <v>71.456000000000003</v>
      </c>
      <c r="Q21" s="137">
        <v>82.5</v>
      </c>
      <c r="R21" s="137">
        <v>115.5</v>
      </c>
      <c r="S21" s="137">
        <v>71</v>
      </c>
    </row>
    <row r="22" spans="1:19" ht="12" x14ac:dyDescent="0.2">
      <c r="B22" s="2" t="s">
        <v>51</v>
      </c>
      <c r="C22" s="10" t="s">
        <v>52</v>
      </c>
      <c r="E22" s="11" t="s">
        <v>11</v>
      </c>
      <c r="G22" s="110" t="s">
        <v>53</v>
      </c>
      <c r="H22" s="137">
        <v>0</v>
      </c>
      <c r="I22" s="137">
        <v>0</v>
      </c>
      <c r="J22" s="137">
        <v>0</v>
      </c>
      <c r="K22" s="137">
        <v>0</v>
      </c>
      <c r="L22" s="137">
        <v>0</v>
      </c>
      <c r="M22" s="137">
        <v>0</v>
      </c>
      <c r="N22" s="137">
        <v>0</v>
      </c>
      <c r="O22" s="137">
        <v>0</v>
      </c>
      <c r="P22" s="137">
        <v>0</v>
      </c>
      <c r="Q22" s="137">
        <v>0</v>
      </c>
      <c r="R22" s="137">
        <v>0</v>
      </c>
      <c r="S22" s="137">
        <v>0</v>
      </c>
    </row>
    <row r="23" spans="1:19" ht="12" x14ac:dyDescent="0.2">
      <c r="B23" s="2" t="s">
        <v>54</v>
      </c>
      <c r="C23" s="10">
        <v>257</v>
      </c>
      <c r="E23" s="11" t="s">
        <v>11</v>
      </c>
      <c r="G23" s="110" t="s">
        <v>55</v>
      </c>
      <c r="H23" s="137">
        <v>0</v>
      </c>
      <c r="I23" s="137">
        <v>0</v>
      </c>
      <c r="J23" s="137">
        <v>0</v>
      </c>
      <c r="K23" s="137">
        <v>0</v>
      </c>
      <c r="L23" s="137">
        <v>0</v>
      </c>
      <c r="M23" s="137">
        <v>0</v>
      </c>
      <c r="N23" s="137">
        <v>0</v>
      </c>
      <c r="O23" s="137">
        <v>0</v>
      </c>
      <c r="P23" s="137">
        <v>0</v>
      </c>
      <c r="Q23" s="137">
        <v>0</v>
      </c>
      <c r="R23" s="137">
        <v>0</v>
      </c>
      <c r="S23" s="137">
        <v>0</v>
      </c>
    </row>
    <row r="24" spans="1:19" ht="12" x14ac:dyDescent="0.2">
      <c r="A24" s="146"/>
      <c r="B24" s="2" t="s">
        <v>56</v>
      </c>
      <c r="C24" s="10" t="s">
        <v>57</v>
      </c>
      <c r="E24" s="11" t="s">
        <v>11</v>
      </c>
      <c r="F24" s="146"/>
      <c r="G24" s="110" t="s">
        <v>58</v>
      </c>
      <c r="H24" s="137">
        <v>0</v>
      </c>
      <c r="I24" s="137">
        <v>0</v>
      </c>
      <c r="J24" s="137">
        <v>0</v>
      </c>
      <c r="K24" s="137">
        <v>0</v>
      </c>
      <c r="L24" s="137">
        <v>0</v>
      </c>
      <c r="M24" s="137">
        <f>17.852+102.148</f>
        <v>120</v>
      </c>
      <c r="N24" s="137">
        <v>102.3</v>
      </c>
      <c r="O24" s="137">
        <v>78</v>
      </c>
      <c r="P24" s="137">
        <v>53</v>
      </c>
      <c r="Q24" s="137">
        <v>28</v>
      </c>
      <c r="R24" s="137">
        <v>0</v>
      </c>
      <c r="S24" s="137">
        <v>0</v>
      </c>
    </row>
    <row r="25" spans="1:19" ht="12" x14ac:dyDescent="0.2">
      <c r="A25" s="146"/>
      <c r="B25" s="2" t="s">
        <v>59</v>
      </c>
      <c r="C25" s="10" t="s">
        <v>60</v>
      </c>
      <c r="E25" s="11" t="s">
        <v>11</v>
      </c>
      <c r="F25" s="146"/>
      <c r="G25" s="110" t="s">
        <v>61</v>
      </c>
      <c r="H25" s="137">
        <v>0</v>
      </c>
      <c r="I25" s="137">
        <v>0</v>
      </c>
      <c r="J25" s="137">
        <v>0</v>
      </c>
      <c r="K25" s="137">
        <v>0</v>
      </c>
      <c r="L25" s="137">
        <v>0</v>
      </c>
      <c r="M25" s="137">
        <v>0</v>
      </c>
      <c r="N25" s="137">
        <v>0</v>
      </c>
      <c r="O25" s="137">
        <v>0</v>
      </c>
      <c r="P25" s="137">
        <v>0</v>
      </c>
      <c r="Q25" s="137">
        <v>0</v>
      </c>
      <c r="R25" s="137">
        <v>0</v>
      </c>
      <c r="S25" s="137">
        <v>0</v>
      </c>
    </row>
    <row r="26" spans="1:19" ht="12" x14ac:dyDescent="0.2">
      <c r="B26" s="2" t="s">
        <v>62</v>
      </c>
      <c r="C26" s="10">
        <v>28</v>
      </c>
      <c r="E26" s="11" t="s">
        <v>11</v>
      </c>
      <c r="G26" s="110" t="s">
        <v>63</v>
      </c>
      <c r="H26" s="137">
        <v>0</v>
      </c>
      <c r="I26" s="137">
        <v>0</v>
      </c>
      <c r="J26" s="137">
        <v>0</v>
      </c>
      <c r="K26" s="137">
        <v>0</v>
      </c>
      <c r="L26" s="137">
        <v>0</v>
      </c>
      <c r="M26" s="137">
        <v>0</v>
      </c>
      <c r="N26" s="137">
        <v>0</v>
      </c>
      <c r="O26" s="137">
        <v>0</v>
      </c>
      <c r="P26" s="137">
        <v>0</v>
      </c>
      <c r="Q26" s="137">
        <v>0</v>
      </c>
      <c r="R26" s="137">
        <v>0</v>
      </c>
      <c r="S26" s="137">
        <v>0</v>
      </c>
    </row>
    <row r="27" spans="1:19" x14ac:dyDescent="0.2">
      <c r="B27" s="2" t="s">
        <v>64</v>
      </c>
      <c r="C27" s="10">
        <v>29</v>
      </c>
      <c r="E27" s="12"/>
      <c r="G27" s="110" t="s">
        <v>65</v>
      </c>
      <c r="H27" s="136">
        <f>SUM(H28:H30)</f>
        <v>0</v>
      </c>
      <c r="I27" s="136">
        <f t="shared" ref="I27:S27" si="5">SUM(I28:I30)</f>
        <v>2084.7799999999997</v>
      </c>
      <c r="J27" s="136">
        <f t="shared" si="5"/>
        <v>9513.7549999999992</v>
      </c>
      <c r="K27" s="136">
        <f t="shared" si="5"/>
        <v>10360.761</v>
      </c>
      <c r="L27" s="136">
        <f t="shared" si="5"/>
        <v>10449.005000000001</v>
      </c>
      <c r="M27" s="136">
        <f t="shared" si="5"/>
        <v>10433.322</v>
      </c>
      <c r="N27" s="136">
        <f t="shared" si="5"/>
        <v>10560.881000000001</v>
      </c>
      <c r="O27" s="136">
        <f t="shared" si="5"/>
        <v>10512</v>
      </c>
      <c r="P27" s="136">
        <f t="shared" si="5"/>
        <v>10805</v>
      </c>
      <c r="Q27" s="136">
        <f t="shared" si="5"/>
        <v>10802</v>
      </c>
      <c r="R27" s="136">
        <f t="shared" si="5"/>
        <v>10846</v>
      </c>
      <c r="S27" s="136">
        <f t="shared" si="5"/>
        <v>10862</v>
      </c>
    </row>
    <row r="28" spans="1:19" ht="12" x14ac:dyDescent="0.2">
      <c r="B28" s="2" t="s">
        <v>66</v>
      </c>
      <c r="C28" s="8" t="s">
        <v>67</v>
      </c>
      <c r="D28" s="8"/>
      <c r="E28" s="11" t="s">
        <v>11</v>
      </c>
      <c r="G28" s="110" t="s">
        <v>68</v>
      </c>
      <c r="H28" s="137">
        <v>0</v>
      </c>
      <c r="I28" s="137">
        <v>0.1</v>
      </c>
      <c r="J28" s="137">
        <v>9483.027</v>
      </c>
      <c r="K28" s="137">
        <v>10304.337</v>
      </c>
      <c r="L28" s="137">
        <v>10304.337</v>
      </c>
      <c r="M28" s="137">
        <v>10304.337</v>
      </c>
      <c r="N28" s="137">
        <v>10304</v>
      </c>
      <c r="O28" s="137">
        <v>10304</v>
      </c>
      <c r="P28" s="137">
        <v>10304</v>
      </c>
      <c r="Q28" s="137">
        <v>10304</v>
      </c>
      <c r="R28" s="137">
        <v>10304</v>
      </c>
      <c r="S28" s="137">
        <v>10304</v>
      </c>
    </row>
    <row r="29" spans="1:19" ht="12" x14ac:dyDescent="0.2">
      <c r="B29" s="2" t="s">
        <v>69</v>
      </c>
      <c r="C29" s="10">
        <v>298</v>
      </c>
      <c r="E29" s="11" t="s">
        <v>11</v>
      </c>
      <c r="G29" s="110" t="s">
        <v>70</v>
      </c>
      <c r="H29" s="137">
        <v>0</v>
      </c>
      <c r="I29" s="137">
        <v>0</v>
      </c>
      <c r="J29" s="137">
        <v>0</v>
      </c>
      <c r="K29" s="137">
        <v>21.53</v>
      </c>
      <c r="L29" s="137">
        <f>K29+K30</f>
        <v>56.423999999999999</v>
      </c>
      <c r="M29" s="137">
        <v>144.66900000000001</v>
      </c>
      <c r="N29" s="137">
        <v>128.98400000000001</v>
      </c>
      <c r="O29" s="137">
        <v>257</v>
      </c>
      <c r="P29" s="137">
        <f>+O29+O30</f>
        <v>208</v>
      </c>
      <c r="Q29" s="137">
        <f>+P29+P30</f>
        <v>501</v>
      </c>
      <c r="R29" s="137">
        <f>+Q29+Q30</f>
        <v>498</v>
      </c>
      <c r="S29" s="137">
        <f>+R29+R30</f>
        <v>542</v>
      </c>
    </row>
    <row r="30" spans="1:19" ht="12" x14ac:dyDescent="0.2">
      <c r="B30" s="2" t="s">
        <v>71</v>
      </c>
      <c r="C30" s="10">
        <v>299</v>
      </c>
      <c r="E30" s="11" t="s">
        <v>72</v>
      </c>
      <c r="G30" s="110" t="s">
        <v>73</v>
      </c>
      <c r="H30" s="137">
        <v>0</v>
      </c>
      <c r="I30" s="137">
        <v>2084.6799999999998</v>
      </c>
      <c r="J30" s="137">
        <v>30.728000000000002</v>
      </c>
      <c r="K30" s="137">
        <v>34.893999999999998</v>
      </c>
      <c r="L30" s="137">
        <v>88.244</v>
      </c>
      <c r="M30" s="137">
        <v>-15.683999999999999</v>
      </c>
      <c r="N30" s="137">
        <v>127.89700000000001</v>
      </c>
      <c r="O30" s="137">
        <v>-49</v>
      </c>
      <c r="P30" s="137">
        <v>293</v>
      </c>
      <c r="Q30" s="137">
        <v>-3</v>
      </c>
      <c r="R30" s="137">
        <v>44</v>
      </c>
      <c r="S30" s="137">
        <v>16</v>
      </c>
    </row>
    <row r="31" spans="1:19" s="152" customFormat="1" x14ac:dyDescent="0.2">
      <c r="A31" s="147"/>
      <c r="B31" s="2" t="s">
        <v>368</v>
      </c>
      <c r="C31" s="83" t="s">
        <v>369</v>
      </c>
      <c r="D31" s="148"/>
      <c r="E31" s="149"/>
      <c r="F31" s="147"/>
      <c r="G31" s="150" t="s">
        <v>74</v>
      </c>
      <c r="H31" s="151">
        <f t="shared" ref="H31:S31" si="6">H4-H18</f>
        <v>0</v>
      </c>
      <c r="I31" s="151">
        <f t="shared" si="6"/>
        <v>0</v>
      </c>
      <c r="J31" s="151">
        <f t="shared" si="6"/>
        <v>1.0000000002037268E-3</v>
      </c>
      <c r="K31" s="151">
        <f t="shared" si="6"/>
        <v>0</v>
      </c>
      <c r="L31" s="151">
        <f t="shared" si="6"/>
        <v>1.0000000002037268E-3</v>
      </c>
      <c r="M31" s="151">
        <f t="shared" si="6"/>
        <v>-1.0000000002037268E-3</v>
      </c>
      <c r="N31" s="151">
        <f t="shared" si="6"/>
        <v>-5.0000000010186341E-3</v>
      </c>
      <c r="O31" s="151">
        <f t="shared" si="6"/>
        <v>-0.1000000000003638</v>
      </c>
      <c r="P31" s="151">
        <f t="shared" si="6"/>
        <v>4.3999999999869033E-2</v>
      </c>
      <c r="Q31" s="151">
        <f t="shared" si="6"/>
        <v>0</v>
      </c>
      <c r="R31" s="151">
        <f t="shared" si="6"/>
        <v>0</v>
      </c>
      <c r="S31" s="151">
        <f t="shared" si="6"/>
        <v>-4.3999999999869033E-2</v>
      </c>
    </row>
    <row r="32" spans="1:19" x14ac:dyDescent="0.2">
      <c r="G32" s="134" t="s">
        <v>75</v>
      </c>
      <c r="H32" s="153">
        <v>2011</v>
      </c>
      <c r="I32" s="153">
        <f t="shared" ref="I32:S32" si="7">H32+1</f>
        <v>2012</v>
      </c>
      <c r="J32" s="153">
        <f t="shared" si="7"/>
        <v>2013</v>
      </c>
      <c r="K32" s="153">
        <f t="shared" si="7"/>
        <v>2014</v>
      </c>
      <c r="L32" s="153">
        <f t="shared" si="7"/>
        <v>2015</v>
      </c>
      <c r="M32" s="153">
        <f t="shared" si="7"/>
        <v>2016</v>
      </c>
      <c r="N32" s="153">
        <f t="shared" si="7"/>
        <v>2017</v>
      </c>
      <c r="O32" s="153">
        <f t="shared" si="7"/>
        <v>2018</v>
      </c>
      <c r="P32" s="153">
        <f t="shared" si="7"/>
        <v>2019</v>
      </c>
      <c r="Q32" s="153">
        <f t="shared" si="7"/>
        <v>2020</v>
      </c>
      <c r="R32" s="153">
        <f t="shared" si="7"/>
        <v>2021</v>
      </c>
      <c r="S32" s="153">
        <f t="shared" si="7"/>
        <v>2022</v>
      </c>
    </row>
    <row r="33" spans="1:19" x14ac:dyDescent="0.2">
      <c r="B33" s="2" t="s">
        <v>76</v>
      </c>
      <c r="C33" s="10">
        <v>3</v>
      </c>
      <c r="G33" s="103" t="s">
        <v>77</v>
      </c>
      <c r="H33" s="136">
        <f>SUM(H34:H37)</f>
        <v>0</v>
      </c>
      <c r="I33" s="136">
        <f t="shared" ref="I33:S33" si="8">SUM(I34:I37)</f>
        <v>2084.6799999999998</v>
      </c>
      <c r="J33" s="136">
        <f t="shared" si="8"/>
        <v>830.57399999999996</v>
      </c>
      <c r="K33" s="136">
        <f t="shared" si="8"/>
        <v>859.81100000000004</v>
      </c>
      <c r="L33" s="136">
        <f t="shared" si="8"/>
        <v>1056.4680000000001</v>
      </c>
      <c r="M33" s="136">
        <f t="shared" si="8"/>
        <v>1236.1889999999999</v>
      </c>
      <c r="N33" s="136">
        <f t="shared" si="8"/>
        <v>1409.0690000000002</v>
      </c>
      <c r="O33" s="136">
        <f t="shared" si="8"/>
        <v>1374.1660000000002</v>
      </c>
      <c r="P33" s="136">
        <f t="shared" si="8"/>
        <v>2179</v>
      </c>
      <c r="Q33" s="136">
        <f t="shared" si="8"/>
        <v>2028</v>
      </c>
      <c r="R33" s="136">
        <f t="shared" si="8"/>
        <v>2138</v>
      </c>
      <c r="S33" s="136">
        <f t="shared" si="8"/>
        <v>2353.4300000000003</v>
      </c>
    </row>
    <row r="34" spans="1:19" ht="12" x14ac:dyDescent="0.2">
      <c r="B34" s="2" t="s">
        <v>78</v>
      </c>
      <c r="C34" s="10">
        <v>30</v>
      </c>
      <c r="E34" s="11" t="s">
        <v>11</v>
      </c>
      <c r="G34" s="110" t="s">
        <v>79</v>
      </c>
      <c r="H34" s="137">
        <v>0</v>
      </c>
      <c r="I34" s="137">
        <v>0</v>
      </c>
      <c r="J34" s="137">
        <v>0</v>
      </c>
      <c r="K34" s="137">
        <v>0</v>
      </c>
      <c r="L34" s="137">
        <v>0</v>
      </c>
      <c r="M34" s="137">
        <v>0</v>
      </c>
      <c r="N34" s="137">
        <v>0</v>
      </c>
      <c r="O34" s="137">
        <v>0</v>
      </c>
      <c r="P34" s="137">
        <v>0</v>
      </c>
      <c r="Q34" s="137">
        <v>0</v>
      </c>
      <c r="R34" s="137">
        <v>0</v>
      </c>
      <c r="S34" s="137">
        <v>0</v>
      </c>
    </row>
    <row r="35" spans="1:19" ht="12" x14ac:dyDescent="0.2">
      <c r="B35" s="2" t="s">
        <v>80</v>
      </c>
      <c r="C35" s="10">
        <v>32</v>
      </c>
      <c r="E35" s="11" t="s">
        <v>11</v>
      </c>
      <c r="G35" s="110" t="s">
        <v>81</v>
      </c>
      <c r="H35" s="137">
        <v>0</v>
      </c>
      <c r="I35" s="137">
        <v>0</v>
      </c>
      <c r="J35" s="137">
        <v>227.785</v>
      </c>
      <c r="K35" s="137">
        <v>248.31399999999999</v>
      </c>
      <c r="L35" s="137">
        <v>229.154</v>
      </c>
      <c r="M35" s="137">
        <v>386.46800000000002</v>
      </c>
      <c r="N35" s="137">
        <v>469.36200000000002</v>
      </c>
      <c r="O35" s="137">
        <v>469.51900000000001</v>
      </c>
      <c r="P35" s="137">
        <v>1322</v>
      </c>
      <c r="Q35" s="137">
        <v>1147</v>
      </c>
      <c r="R35" s="137">
        <v>1217</v>
      </c>
      <c r="S35" s="137">
        <v>1523.9490000000001</v>
      </c>
    </row>
    <row r="36" spans="1:19" ht="12" x14ac:dyDescent="0.2">
      <c r="A36" s="13"/>
      <c r="B36" s="2" t="s">
        <v>82</v>
      </c>
      <c r="C36" s="10">
        <v>35</v>
      </c>
      <c r="E36" s="11" t="s">
        <v>11</v>
      </c>
      <c r="F36" s="13"/>
      <c r="G36" s="110" t="s">
        <v>83</v>
      </c>
      <c r="H36" s="137">
        <v>0</v>
      </c>
      <c r="I36" s="137">
        <v>2084.6799999999998</v>
      </c>
      <c r="J36" s="137">
        <v>595.81799999999998</v>
      </c>
      <c r="K36" s="137">
        <v>599.89800000000002</v>
      </c>
      <c r="L36" s="137">
        <v>814.83299999999997</v>
      </c>
      <c r="M36" s="137">
        <v>849.40099999999995</v>
      </c>
      <c r="N36" s="137">
        <v>925.30700000000002</v>
      </c>
      <c r="O36" s="137">
        <v>889.64700000000005</v>
      </c>
      <c r="P36" s="137">
        <v>839</v>
      </c>
      <c r="Q36" s="137">
        <v>863</v>
      </c>
      <c r="R36" s="137">
        <v>903</v>
      </c>
      <c r="S36" s="137">
        <v>811.48099999999999</v>
      </c>
    </row>
    <row r="37" spans="1:19" ht="12" x14ac:dyDescent="0.2">
      <c r="B37" s="2" t="s">
        <v>84</v>
      </c>
      <c r="C37" s="10">
        <v>38</v>
      </c>
      <c r="E37" s="11" t="s">
        <v>72</v>
      </c>
      <c r="G37" s="110" t="s">
        <v>85</v>
      </c>
      <c r="H37" s="137">
        <v>0</v>
      </c>
      <c r="I37" s="137">
        <v>0</v>
      </c>
      <c r="J37" s="137">
        <v>6.9710000000000001</v>
      </c>
      <c r="K37" s="137">
        <v>11.599</v>
      </c>
      <c r="L37" s="137">
        <v>12.481</v>
      </c>
      <c r="M37" s="137">
        <v>0.32</v>
      </c>
      <c r="N37" s="137">
        <v>14.4</v>
      </c>
      <c r="O37" s="137">
        <v>15</v>
      </c>
      <c r="P37" s="137">
        <v>18</v>
      </c>
      <c r="Q37" s="137">
        <v>18</v>
      </c>
      <c r="R37" s="137">
        <v>18</v>
      </c>
      <c r="S37" s="137">
        <v>18</v>
      </c>
    </row>
    <row r="38" spans="1:19" x14ac:dyDescent="0.2">
      <c r="B38" s="2" t="s">
        <v>86</v>
      </c>
      <c r="C38" s="10">
        <v>4</v>
      </c>
      <c r="E38" s="23"/>
      <c r="G38" s="110" t="s">
        <v>87</v>
      </c>
      <c r="H38" s="136">
        <f>H39+H40</f>
        <v>0</v>
      </c>
      <c r="I38" s="136">
        <f t="shared" ref="I38:S38" si="9">I39+I40</f>
        <v>0</v>
      </c>
      <c r="J38" s="136">
        <f t="shared" si="9"/>
        <v>-3.7570000000000001</v>
      </c>
      <c r="K38" s="136">
        <f t="shared" si="9"/>
        <v>-2.7429999999999999</v>
      </c>
      <c r="L38" s="136">
        <f t="shared" si="9"/>
        <v>-2.9860000000000002</v>
      </c>
      <c r="M38" s="136">
        <f t="shared" si="9"/>
        <v>-3.1459999999999999</v>
      </c>
      <c r="N38" s="136">
        <f t="shared" si="9"/>
        <v>-1.5</v>
      </c>
      <c r="O38" s="136">
        <f t="shared" si="9"/>
        <v>-3</v>
      </c>
      <c r="P38" s="136">
        <f t="shared" si="9"/>
        <v>-3</v>
      </c>
      <c r="Q38" s="136">
        <f t="shared" si="9"/>
        <v>-3</v>
      </c>
      <c r="R38" s="136">
        <f t="shared" si="9"/>
        <v>-3</v>
      </c>
      <c r="S38" s="136">
        <f t="shared" si="9"/>
        <v>-3</v>
      </c>
    </row>
    <row r="39" spans="1:19" ht="12" x14ac:dyDescent="0.2">
      <c r="B39" s="2" t="s">
        <v>88</v>
      </c>
      <c r="C39" s="10">
        <v>41</v>
      </c>
      <c r="E39" s="11" t="s">
        <v>89</v>
      </c>
      <c r="G39" s="110" t="s">
        <v>90</v>
      </c>
      <c r="H39" s="137">
        <v>0</v>
      </c>
      <c r="I39" s="137">
        <v>0</v>
      </c>
      <c r="J39" s="137">
        <v>0</v>
      </c>
      <c r="K39" s="137">
        <v>0</v>
      </c>
      <c r="L39" s="137">
        <v>0</v>
      </c>
      <c r="M39" s="137">
        <v>0</v>
      </c>
      <c r="N39" s="137">
        <v>0</v>
      </c>
      <c r="O39" s="137">
        <v>0</v>
      </c>
      <c r="P39" s="137">
        <v>0</v>
      </c>
      <c r="Q39" s="137">
        <v>0</v>
      </c>
      <c r="R39" s="137">
        <v>0</v>
      </c>
      <c r="S39" s="137">
        <v>0</v>
      </c>
    </row>
    <row r="40" spans="1:19" ht="12" x14ac:dyDescent="0.2">
      <c r="B40" s="2" t="s">
        <v>91</v>
      </c>
      <c r="C40" s="10">
        <v>45</v>
      </c>
      <c r="E40" s="11" t="s">
        <v>89</v>
      </c>
      <c r="G40" s="110" t="s">
        <v>92</v>
      </c>
      <c r="H40" s="137">
        <v>0</v>
      </c>
      <c r="I40" s="137">
        <v>0</v>
      </c>
      <c r="J40" s="137">
        <v>-3.7570000000000001</v>
      </c>
      <c r="K40" s="137">
        <v>-2.7429999999999999</v>
      </c>
      <c r="L40" s="137">
        <v>-2.9860000000000002</v>
      </c>
      <c r="M40" s="137">
        <v>-3.1459999999999999</v>
      </c>
      <c r="N40" s="137">
        <v>-1.5</v>
      </c>
      <c r="O40" s="137">
        <v>-3</v>
      </c>
      <c r="P40" s="137">
        <v>-3</v>
      </c>
      <c r="Q40" s="137">
        <v>-3</v>
      </c>
      <c r="R40" s="137">
        <v>-3</v>
      </c>
      <c r="S40" s="137">
        <v>-3</v>
      </c>
    </row>
    <row r="41" spans="1:19" x14ac:dyDescent="0.2">
      <c r="A41" s="13"/>
      <c r="B41" s="2" t="s">
        <v>93</v>
      </c>
      <c r="C41" s="10" t="s">
        <v>94</v>
      </c>
      <c r="E41" s="23"/>
      <c r="F41" s="13"/>
      <c r="G41" s="110" t="s">
        <v>95</v>
      </c>
      <c r="H41" s="136">
        <f>SUM(H42:H45)</f>
        <v>0</v>
      </c>
      <c r="I41" s="136">
        <f t="shared" ref="I41:S41" si="10">SUM(I42:I45)</f>
        <v>0</v>
      </c>
      <c r="J41" s="136">
        <f t="shared" si="10"/>
        <v>-796.09600000000012</v>
      </c>
      <c r="K41" s="136">
        <f t="shared" si="10"/>
        <v>-822.18100000000004</v>
      </c>
      <c r="L41" s="136">
        <f t="shared" si="10"/>
        <v>-965.26</v>
      </c>
      <c r="M41" s="136">
        <f t="shared" si="10"/>
        <v>-1247.538</v>
      </c>
      <c r="N41" s="136">
        <f t="shared" si="10"/>
        <v>-1277.4229999999998</v>
      </c>
      <c r="O41" s="136">
        <f t="shared" si="10"/>
        <v>-1420.325</v>
      </c>
      <c r="P41" s="136">
        <f t="shared" si="10"/>
        <v>-1883</v>
      </c>
      <c r="Q41" s="136">
        <f t="shared" si="10"/>
        <v>-2027.7629999999999</v>
      </c>
      <c r="R41" s="136">
        <f t="shared" si="10"/>
        <v>-2091</v>
      </c>
      <c r="S41" s="136">
        <f t="shared" si="10"/>
        <v>-2334.3019999999997</v>
      </c>
    </row>
    <row r="42" spans="1:19" ht="12" x14ac:dyDescent="0.2">
      <c r="B42" s="2" t="s">
        <v>96</v>
      </c>
      <c r="C42" s="10">
        <v>50</v>
      </c>
      <c r="E42" s="11" t="s">
        <v>89</v>
      </c>
      <c r="G42" s="110" t="s">
        <v>97</v>
      </c>
      <c r="H42" s="137">
        <v>0</v>
      </c>
      <c r="I42" s="137">
        <v>0</v>
      </c>
      <c r="J42" s="137">
        <v>-491.02100000000002</v>
      </c>
      <c r="K42" s="137">
        <v>-500.02699999999999</v>
      </c>
      <c r="L42" s="137">
        <v>-543.91700000000003</v>
      </c>
      <c r="M42" s="137">
        <v>-732.62300000000005</v>
      </c>
      <c r="N42" s="137">
        <v>-814.55</v>
      </c>
      <c r="O42" s="137">
        <v>-878.32500000000005</v>
      </c>
      <c r="P42" s="137">
        <v>-1173</v>
      </c>
      <c r="Q42" s="137">
        <v>-1325.2739999999999</v>
      </c>
      <c r="R42" s="137">
        <v>-1329</v>
      </c>
      <c r="S42" s="137">
        <v>-1536.2529999999999</v>
      </c>
    </row>
    <row r="43" spans="1:19" ht="12" x14ac:dyDescent="0.2">
      <c r="B43" s="2" t="s">
        <v>98</v>
      </c>
      <c r="C43" s="10">
        <v>55</v>
      </c>
      <c r="E43" s="11" t="s">
        <v>89</v>
      </c>
      <c r="G43" s="110" t="s">
        <v>99</v>
      </c>
      <c r="H43" s="137">
        <v>0</v>
      </c>
      <c r="I43" s="137">
        <v>0</v>
      </c>
      <c r="J43" s="137">
        <v>-216.97200000000001</v>
      </c>
      <c r="K43" s="137">
        <v>-239.11600000000001</v>
      </c>
      <c r="L43" s="137">
        <v>-273.83300000000003</v>
      </c>
      <c r="M43" s="137">
        <v>-373.9</v>
      </c>
      <c r="N43" s="137">
        <v>-347.05099999999999</v>
      </c>
      <c r="O43" s="137">
        <v>-440</v>
      </c>
      <c r="P43" s="137">
        <v>-592</v>
      </c>
      <c r="Q43" s="137">
        <v>-585.48900000000003</v>
      </c>
      <c r="R43" s="137">
        <v>-645</v>
      </c>
      <c r="S43" s="137">
        <v>-680.04899999999998</v>
      </c>
    </row>
    <row r="44" spans="1:19" ht="12" x14ac:dyDescent="0.2">
      <c r="A44" s="13"/>
      <c r="B44" s="2" t="s">
        <v>100</v>
      </c>
      <c r="C44" s="10">
        <v>60</v>
      </c>
      <c r="E44" s="11" t="s">
        <v>89</v>
      </c>
      <c r="F44" s="13"/>
      <c r="G44" s="110" t="s">
        <v>101</v>
      </c>
      <c r="H44" s="137">
        <v>0</v>
      </c>
      <c r="I44" s="137">
        <v>0</v>
      </c>
      <c r="J44" s="137">
        <v>-25.009</v>
      </c>
      <c r="K44" s="137">
        <v>-14.644</v>
      </c>
      <c r="L44" s="137">
        <v>-16.434999999999999</v>
      </c>
      <c r="M44" s="137">
        <v>-38.637999999999998</v>
      </c>
      <c r="N44" s="137">
        <v>-9.3219999999999992</v>
      </c>
      <c r="O44" s="137">
        <v>-3</v>
      </c>
      <c r="P44" s="137">
        <v>-3</v>
      </c>
      <c r="Q44" s="137">
        <v>-2</v>
      </c>
      <c r="R44" s="137">
        <v>-2</v>
      </c>
      <c r="S44" s="137">
        <v>-3</v>
      </c>
    </row>
    <row r="45" spans="1:19" ht="12" x14ac:dyDescent="0.2">
      <c r="B45" s="2" t="s">
        <v>102</v>
      </c>
      <c r="C45" s="10">
        <v>61</v>
      </c>
      <c r="E45" s="11" t="s">
        <v>89</v>
      </c>
      <c r="G45" s="110" t="s">
        <v>103</v>
      </c>
      <c r="H45" s="137">
        <v>0</v>
      </c>
      <c r="I45" s="137">
        <v>0</v>
      </c>
      <c r="J45" s="137">
        <v>-63.094000000000001</v>
      </c>
      <c r="K45" s="137">
        <v>-68.394000000000005</v>
      </c>
      <c r="L45" s="137">
        <v>-131.07499999999999</v>
      </c>
      <c r="M45" s="137">
        <v>-102.377</v>
      </c>
      <c r="N45" s="137">
        <v>-106.5</v>
      </c>
      <c r="O45" s="137">
        <v>-99</v>
      </c>
      <c r="P45" s="137">
        <v>-115</v>
      </c>
      <c r="Q45" s="137">
        <v>-115</v>
      </c>
      <c r="R45" s="137">
        <v>-115</v>
      </c>
      <c r="S45" s="137">
        <v>-115</v>
      </c>
    </row>
    <row r="46" spans="1:19" x14ac:dyDescent="0.2">
      <c r="B46" s="2" t="s">
        <v>104</v>
      </c>
      <c r="G46" s="110" t="s">
        <v>105</v>
      </c>
      <c r="H46" s="136">
        <f>H33+H38+H41</f>
        <v>0</v>
      </c>
      <c r="I46" s="136">
        <f t="shared" ref="I46:S46" si="11">I33+I38+I41</f>
        <v>2084.6799999999998</v>
      </c>
      <c r="J46" s="136">
        <f t="shared" si="11"/>
        <v>30.72099999999989</v>
      </c>
      <c r="K46" s="136">
        <f t="shared" si="11"/>
        <v>34.886999999999944</v>
      </c>
      <c r="L46" s="136">
        <f t="shared" si="11"/>
        <v>88.22199999999998</v>
      </c>
      <c r="M46" s="136">
        <f t="shared" si="11"/>
        <v>-14.495000000000118</v>
      </c>
      <c r="N46" s="136">
        <f t="shared" si="11"/>
        <v>130.14600000000041</v>
      </c>
      <c r="O46" s="136">
        <f t="shared" si="11"/>
        <v>-49.158999999999878</v>
      </c>
      <c r="P46" s="136">
        <f t="shared" si="11"/>
        <v>293</v>
      </c>
      <c r="Q46" s="136">
        <f t="shared" si="11"/>
        <v>-2.76299999999992</v>
      </c>
      <c r="R46" s="136">
        <f t="shared" si="11"/>
        <v>44</v>
      </c>
      <c r="S46" s="136">
        <f t="shared" si="11"/>
        <v>16.128000000000611</v>
      </c>
    </row>
    <row r="47" spans="1:19" ht="12" x14ac:dyDescent="0.2">
      <c r="B47" s="2" t="s">
        <v>106</v>
      </c>
      <c r="C47" s="10">
        <v>65</v>
      </c>
      <c r="E47" s="11" t="s">
        <v>72</v>
      </c>
      <c r="G47" s="110" t="s">
        <v>107</v>
      </c>
      <c r="H47" s="137">
        <v>0</v>
      </c>
      <c r="I47" s="137">
        <v>0</v>
      </c>
      <c r="J47" s="137">
        <v>8.0000000000000002E-3</v>
      </c>
      <c r="K47" s="137">
        <v>1.9E-2</v>
      </c>
      <c r="L47" s="137">
        <v>2.1999999999999999E-2</v>
      </c>
      <c r="M47" s="137">
        <f>0.018-1.218+0.011</f>
        <v>-1.1890000000000001</v>
      </c>
      <c r="N47" s="137">
        <v>-2.274</v>
      </c>
      <c r="O47" s="137">
        <v>0</v>
      </c>
      <c r="P47" s="137">
        <v>0</v>
      </c>
      <c r="Q47" s="137">
        <v>0</v>
      </c>
      <c r="R47" s="137">
        <v>0</v>
      </c>
      <c r="S47" s="137">
        <v>0</v>
      </c>
    </row>
    <row r="48" spans="1:19" x14ac:dyDescent="0.2">
      <c r="B48" s="2" t="s">
        <v>108</v>
      </c>
      <c r="G48" s="110" t="s">
        <v>109</v>
      </c>
      <c r="H48" s="136">
        <f>H46+H47</f>
        <v>0</v>
      </c>
      <c r="I48" s="136">
        <f t="shared" ref="I48:S48" si="12">I46+I47</f>
        <v>2084.6799999999998</v>
      </c>
      <c r="J48" s="136">
        <f t="shared" si="12"/>
        <v>30.728999999999889</v>
      </c>
      <c r="K48" s="136">
        <f t="shared" si="12"/>
        <v>34.905999999999942</v>
      </c>
      <c r="L48" s="136">
        <f t="shared" si="12"/>
        <v>88.243999999999986</v>
      </c>
      <c r="M48" s="136">
        <f t="shared" si="12"/>
        <v>-15.684000000000118</v>
      </c>
      <c r="N48" s="136">
        <f t="shared" si="12"/>
        <v>127.87200000000041</v>
      </c>
      <c r="O48" s="136">
        <f t="shared" si="12"/>
        <v>-49.158999999999878</v>
      </c>
      <c r="P48" s="136">
        <f t="shared" si="12"/>
        <v>293</v>
      </c>
      <c r="Q48" s="136">
        <f t="shared" si="12"/>
        <v>-2.76299999999992</v>
      </c>
      <c r="R48" s="136">
        <f t="shared" si="12"/>
        <v>44</v>
      </c>
      <c r="S48" s="136">
        <f t="shared" si="12"/>
        <v>16.128000000000611</v>
      </c>
    </row>
    <row r="49" spans="1:19" ht="12" x14ac:dyDescent="0.2">
      <c r="B49" s="2" t="s">
        <v>110</v>
      </c>
      <c r="C49" s="10">
        <v>68</v>
      </c>
      <c r="E49" s="11" t="s">
        <v>89</v>
      </c>
      <c r="G49" s="110" t="s">
        <v>111</v>
      </c>
      <c r="H49" s="137">
        <v>0</v>
      </c>
      <c r="I49" s="137">
        <v>0</v>
      </c>
      <c r="J49" s="137">
        <v>0</v>
      </c>
      <c r="K49" s="137">
        <v>0</v>
      </c>
      <c r="L49" s="137">
        <v>0</v>
      </c>
      <c r="M49" s="137">
        <v>0</v>
      </c>
      <c r="N49" s="137">
        <v>0</v>
      </c>
      <c r="O49" s="137">
        <v>0</v>
      </c>
      <c r="P49" s="137">
        <v>0</v>
      </c>
      <c r="Q49" s="137">
        <v>0</v>
      </c>
      <c r="R49" s="137">
        <v>0</v>
      </c>
      <c r="S49" s="137">
        <v>0</v>
      </c>
    </row>
    <row r="50" spans="1:19" ht="12" x14ac:dyDescent="0.2">
      <c r="B50" s="2" t="s">
        <v>112</v>
      </c>
      <c r="C50" s="10">
        <v>69</v>
      </c>
      <c r="E50" s="11" t="s">
        <v>11</v>
      </c>
      <c r="G50" s="110" t="s">
        <v>113</v>
      </c>
      <c r="H50" s="137">
        <v>0</v>
      </c>
      <c r="I50" s="137">
        <v>0</v>
      </c>
      <c r="J50" s="137">
        <v>0</v>
      </c>
      <c r="K50" s="137">
        <v>0</v>
      </c>
      <c r="L50" s="137">
        <v>0</v>
      </c>
      <c r="M50" s="137">
        <v>0</v>
      </c>
      <c r="N50" s="137">
        <v>0</v>
      </c>
      <c r="O50" s="137">
        <v>0</v>
      </c>
      <c r="P50" s="137">
        <v>0</v>
      </c>
      <c r="Q50" s="137">
        <v>0</v>
      </c>
      <c r="R50" s="137">
        <v>0</v>
      </c>
      <c r="S50" s="137">
        <v>0</v>
      </c>
    </row>
    <row r="51" spans="1:19" x14ac:dyDescent="0.2">
      <c r="B51" s="2" t="s">
        <v>114</v>
      </c>
      <c r="G51" s="110" t="s">
        <v>115</v>
      </c>
      <c r="H51" s="136">
        <f>H48+H49+H50</f>
        <v>0</v>
      </c>
      <c r="I51" s="136">
        <f t="shared" ref="I51:S51" si="13">I48+I49+I50</f>
        <v>2084.6799999999998</v>
      </c>
      <c r="J51" s="136">
        <f t="shared" si="13"/>
        <v>30.728999999999889</v>
      </c>
      <c r="K51" s="136">
        <f t="shared" si="13"/>
        <v>34.905999999999942</v>
      </c>
      <c r="L51" s="136">
        <f t="shared" si="13"/>
        <v>88.243999999999986</v>
      </c>
      <c r="M51" s="136">
        <f t="shared" si="13"/>
        <v>-15.684000000000118</v>
      </c>
      <c r="N51" s="136">
        <f t="shared" si="13"/>
        <v>127.87200000000041</v>
      </c>
      <c r="O51" s="136">
        <f t="shared" si="13"/>
        <v>-49.158999999999878</v>
      </c>
      <c r="P51" s="136">
        <f t="shared" si="13"/>
        <v>293</v>
      </c>
      <c r="Q51" s="136">
        <f t="shared" si="13"/>
        <v>-2.76299999999992</v>
      </c>
      <c r="R51" s="136">
        <f t="shared" si="13"/>
        <v>44</v>
      </c>
      <c r="S51" s="136">
        <f t="shared" si="13"/>
        <v>16.128000000000611</v>
      </c>
    </row>
    <row r="52" spans="1:19" x14ac:dyDescent="0.2">
      <c r="A52" s="154"/>
      <c r="B52" s="2" t="s">
        <v>370</v>
      </c>
      <c r="C52" s="83" t="s">
        <v>371</v>
      </c>
      <c r="D52" s="155"/>
      <c r="E52" s="156"/>
      <c r="F52" s="154"/>
      <c r="G52" s="150" t="s">
        <v>116</v>
      </c>
      <c r="H52" s="151">
        <f>H30-H51</f>
        <v>0</v>
      </c>
      <c r="I52" s="151">
        <f t="shared" ref="I52:S52" si="14">I30-I51</f>
        <v>0</v>
      </c>
      <c r="J52" s="151">
        <f t="shared" si="14"/>
        <v>-9.999999998875353E-4</v>
      </c>
      <c r="K52" s="151">
        <f t="shared" si="14"/>
        <v>-1.1999999999943611E-2</v>
      </c>
      <c r="L52" s="151">
        <f t="shared" si="14"/>
        <v>0</v>
      </c>
      <c r="M52" s="151">
        <f t="shared" si="14"/>
        <v>1.1901590823981678E-13</v>
      </c>
      <c r="N52" s="151">
        <f t="shared" si="14"/>
        <v>2.499999999959357E-2</v>
      </c>
      <c r="O52" s="151">
        <f t="shared" si="14"/>
        <v>0.15899999999987813</v>
      </c>
      <c r="P52" s="151">
        <f t="shared" si="14"/>
        <v>0</v>
      </c>
      <c r="Q52" s="151">
        <f t="shared" si="14"/>
        <v>-0.23700000000008004</v>
      </c>
      <c r="R52" s="151">
        <f t="shared" si="14"/>
        <v>0</v>
      </c>
      <c r="S52" s="151">
        <f t="shared" si="14"/>
        <v>-0.12800000000061118</v>
      </c>
    </row>
    <row r="53" spans="1:19" x14ac:dyDescent="0.2">
      <c r="G53" s="27" t="s">
        <v>117</v>
      </c>
    </row>
    <row r="54" spans="1:19" ht="12" x14ac:dyDescent="0.2">
      <c r="C54" s="10">
        <v>90</v>
      </c>
      <c r="E54" s="11" t="s">
        <v>11</v>
      </c>
      <c r="G54" s="27" t="s">
        <v>118</v>
      </c>
      <c r="H54" s="137">
        <v>0</v>
      </c>
      <c r="I54" s="137">
        <v>0</v>
      </c>
      <c r="J54" s="137">
        <v>55</v>
      </c>
      <c r="K54" s="137">
        <v>53</v>
      </c>
      <c r="L54" s="137">
        <v>52</v>
      </c>
      <c r="M54" s="137">
        <v>57</v>
      </c>
      <c r="N54" s="137">
        <v>59</v>
      </c>
      <c r="O54" s="137">
        <v>60</v>
      </c>
      <c r="P54" s="137">
        <v>64</v>
      </c>
      <c r="Q54" s="137">
        <v>64</v>
      </c>
      <c r="R54" s="137">
        <v>64</v>
      </c>
      <c r="S54" s="137">
        <v>64</v>
      </c>
    </row>
    <row r="55" spans="1:19" ht="12" x14ac:dyDescent="0.2">
      <c r="E55" s="11" t="s">
        <v>11</v>
      </c>
      <c r="G55" s="27" t="s">
        <v>119</v>
      </c>
      <c r="H55" s="137"/>
      <c r="I55" s="137"/>
      <c r="J55" s="137"/>
      <c r="K55" s="137"/>
      <c r="L55" s="157"/>
      <c r="M55" s="157"/>
      <c r="N55" s="157"/>
      <c r="O55" s="157"/>
      <c r="P55" s="157"/>
      <c r="Q55" s="157"/>
      <c r="R55" s="157"/>
      <c r="S55" s="157"/>
    </row>
    <row r="57" spans="1:19" x14ac:dyDescent="0.2">
      <c r="D57" s="29" t="s">
        <v>120</v>
      </c>
      <c r="E57" s="30" t="s">
        <v>3</v>
      </c>
      <c r="F57" s="9"/>
      <c r="G57" s="134" t="s">
        <v>121</v>
      </c>
      <c r="H57" s="153">
        <f>H32</f>
        <v>2011</v>
      </c>
      <c r="I57" s="153">
        <f t="shared" ref="I57:S57" si="15">I32</f>
        <v>2012</v>
      </c>
      <c r="J57" s="153">
        <f t="shared" si="15"/>
        <v>2013</v>
      </c>
      <c r="K57" s="153">
        <f t="shared" si="15"/>
        <v>2014</v>
      </c>
      <c r="L57" s="153">
        <f t="shared" si="15"/>
        <v>2015</v>
      </c>
      <c r="M57" s="153">
        <f t="shared" si="15"/>
        <v>2016</v>
      </c>
      <c r="N57" s="153">
        <f t="shared" si="15"/>
        <v>2017</v>
      </c>
      <c r="O57" s="153">
        <f t="shared" si="15"/>
        <v>2018</v>
      </c>
      <c r="P57" s="153">
        <f t="shared" si="15"/>
        <v>2019</v>
      </c>
      <c r="Q57" s="153">
        <f t="shared" si="15"/>
        <v>2020</v>
      </c>
      <c r="R57" s="153">
        <f t="shared" si="15"/>
        <v>2021</v>
      </c>
      <c r="S57" s="153">
        <f t="shared" si="15"/>
        <v>2022</v>
      </c>
    </row>
    <row r="58" spans="1:19" ht="11.25" customHeight="1" x14ac:dyDescent="0.2">
      <c r="B58" s="31" t="s">
        <v>122</v>
      </c>
      <c r="C58" s="8" t="s">
        <v>123</v>
      </c>
      <c r="D58" s="32" t="s">
        <v>124</v>
      </c>
      <c r="E58" s="11" t="s">
        <v>89</v>
      </c>
      <c r="F58" s="12"/>
      <c r="G58" s="103" t="s">
        <v>125</v>
      </c>
      <c r="H58" s="137">
        <v>0</v>
      </c>
      <c r="I58" s="137">
        <v>0</v>
      </c>
      <c r="J58" s="137">
        <v>-76.603999999999999</v>
      </c>
      <c r="K58" s="137">
        <v>-60.802999999999997</v>
      </c>
      <c r="L58" s="137">
        <v>-32.968000000000004</v>
      </c>
      <c r="M58" s="137">
        <v>-274.38</v>
      </c>
      <c r="N58" s="137">
        <v>-282.46800000000002</v>
      </c>
      <c r="O58" s="137"/>
      <c r="P58" s="137">
        <v>-60</v>
      </c>
      <c r="Q58" s="137">
        <v>-100</v>
      </c>
      <c r="R58" s="137">
        <v>-100</v>
      </c>
      <c r="S58" s="137">
        <v>-100</v>
      </c>
    </row>
    <row r="59" spans="1:19" ht="12" x14ac:dyDescent="0.2">
      <c r="B59" s="31" t="s">
        <v>126</v>
      </c>
      <c r="C59" s="33" t="s">
        <v>127</v>
      </c>
      <c r="D59" s="32" t="s">
        <v>128</v>
      </c>
      <c r="E59" s="11" t="s">
        <v>11</v>
      </c>
      <c r="F59" s="12"/>
      <c r="G59" s="158" t="s">
        <v>129</v>
      </c>
      <c r="H59" s="137">
        <v>0</v>
      </c>
      <c r="I59" s="137">
        <v>0</v>
      </c>
      <c r="J59" s="137">
        <v>0.377</v>
      </c>
      <c r="K59" s="137">
        <v>0</v>
      </c>
      <c r="L59" s="137">
        <v>0</v>
      </c>
      <c r="M59" s="137">
        <v>0</v>
      </c>
      <c r="N59" s="137">
        <v>0</v>
      </c>
      <c r="O59" s="137">
        <v>0</v>
      </c>
      <c r="P59" s="137">
        <v>0</v>
      </c>
      <c r="Q59" s="137">
        <v>0</v>
      </c>
      <c r="R59" s="137">
        <v>0</v>
      </c>
      <c r="S59" s="137">
        <v>0</v>
      </c>
    </row>
    <row r="60" spans="1:19" ht="12" x14ac:dyDescent="0.2">
      <c r="B60" s="31" t="s">
        <v>130</v>
      </c>
      <c r="C60" s="34" t="s">
        <v>372</v>
      </c>
      <c r="D60" s="32" t="s">
        <v>131</v>
      </c>
      <c r="E60" s="11" t="s">
        <v>11</v>
      </c>
      <c r="F60" s="12"/>
      <c r="G60" s="110" t="s">
        <v>132</v>
      </c>
      <c r="H60" s="137">
        <v>0</v>
      </c>
      <c r="I60" s="137">
        <v>0</v>
      </c>
      <c r="J60" s="137">
        <v>0</v>
      </c>
      <c r="K60" s="137">
        <v>0</v>
      </c>
      <c r="L60" s="137">
        <v>0</v>
      </c>
      <c r="M60" s="137">
        <v>271.89800000000002</v>
      </c>
      <c r="N60" s="137">
        <v>224.464</v>
      </c>
      <c r="O60" s="137">
        <v>2743.94</v>
      </c>
      <c r="P60" s="137">
        <v>3319</v>
      </c>
      <c r="Q60" s="137">
        <v>1500</v>
      </c>
      <c r="R60" s="137">
        <v>3343</v>
      </c>
      <c r="S60" s="137">
        <v>2450</v>
      </c>
    </row>
    <row r="61" spans="1:19" ht="12" x14ac:dyDescent="0.2">
      <c r="B61" s="31" t="s">
        <v>133</v>
      </c>
      <c r="C61" s="34" t="s">
        <v>134</v>
      </c>
      <c r="D61" s="34" t="s">
        <v>135</v>
      </c>
      <c r="E61" s="11" t="s">
        <v>89</v>
      </c>
      <c r="F61" s="12"/>
      <c r="G61" s="110" t="s">
        <v>136</v>
      </c>
      <c r="H61" s="137">
        <v>0</v>
      </c>
      <c r="I61" s="137">
        <v>0</v>
      </c>
      <c r="J61" s="137">
        <v>0</v>
      </c>
      <c r="K61" s="137">
        <v>0</v>
      </c>
      <c r="L61" s="137">
        <v>0</v>
      </c>
      <c r="M61" s="137">
        <v>0</v>
      </c>
      <c r="N61" s="137">
        <v>0</v>
      </c>
      <c r="O61" s="137">
        <v>0</v>
      </c>
      <c r="P61" s="137">
        <v>0</v>
      </c>
      <c r="Q61" s="137">
        <v>0</v>
      </c>
      <c r="R61" s="137">
        <v>0</v>
      </c>
      <c r="S61" s="137">
        <v>0</v>
      </c>
    </row>
    <row r="62" spans="1:19" ht="12" x14ac:dyDescent="0.2">
      <c r="B62" s="31" t="s">
        <v>137</v>
      </c>
      <c r="C62" s="10">
        <v>253800</v>
      </c>
      <c r="D62" s="34" t="s">
        <v>131</v>
      </c>
      <c r="E62" s="11" t="s">
        <v>11</v>
      </c>
      <c r="F62" s="12"/>
      <c r="G62" s="110" t="s">
        <v>138</v>
      </c>
      <c r="H62" s="137">
        <v>0</v>
      </c>
      <c r="I62" s="137">
        <v>0</v>
      </c>
      <c r="J62" s="137">
        <v>0</v>
      </c>
      <c r="K62" s="137">
        <v>0</v>
      </c>
      <c r="L62" s="137">
        <v>0</v>
      </c>
      <c r="M62" s="137">
        <v>0</v>
      </c>
      <c r="N62" s="137">
        <v>0</v>
      </c>
      <c r="O62" s="137">
        <v>0</v>
      </c>
      <c r="P62" s="137">
        <v>0</v>
      </c>
      <c r="Q62" s="137">
        <v>0</v>
      </c>
      <c r="R62" s="137">
        <v>0</v>
      </c>
      <c r="S62" s="137">
        <v>0</v>
      </c>
    </row>
    <row r="63" spans="1:19" ht="12" x14ac:dyDescent="0.2">
      <c r="B63" s="31" t="s">
        <v>139</v>
      </c>
      <c r="C63" s="10">
        <v>150</v>
      </c>
      <c r="D63" s="34" t="s">
        <v>135</v>
      </c>
      <c r="E63" s="11" t="s">
        <v>89</v>
      </c>
      <c r="F63" s="12"/>
      <c r="G63" s="110" t="s">
        <v>140</v>
      </c>
      <c r="H63" s="137">
        <v>0</v>
      </c>
      <c r="I63" s="137">
        <v>0</v>
      </c>
      <c r="J63" s="137">
        <v>0</v>
      </c>
      <c r="K63" s="137">
        <v>0</v>
      </c>
      <c r="L63" s="137">
        <v>0</v>
      </c>
      <c r="M63" s="137">
        <v>0</v>
      </c>
      <c r="N63" s="137">
        <v>0</v>
      </c>
      <c r="O63" s="137">
        <v>0</v>
      </c>
      <c r="P63" s="137">
        <v>0</v>
      </c>
      <c r="Q63" s="137">
        <v>0</v>
      </c>
      <c r="R63" s="137">
        <v>0</v>
      </c>
      <c r="S63" s="137">
        <v>0</v>
      </c>
    </row>
    <row r="64" spans="1:19" ht="12" x14ac:dyDescent="0.2">
      <c r="B64" s="31" t="s">
        <v>141</v>
      </c>
      <c r="C64" s="34" t="s">
        <v>142</v>
      </c>
      <c r="D64" s="34" t="s">
        <v>131</v>
      </c>
      <c r="E64" s="11" t="s">
        <v>11</v>
      </c>
      <c r="F64" s="12"/>
      <c r="G64" s="110" t="s">
        <v>143</v>
      </c>
      <c r="H64" s="137">
        <v>0</v>
      </c>
      <c r="I64" s="137">
        <v>0</v>
      </c>
      <c r="J64" s="137">
        <v>0</v>
      </c>
      <c r="K64" s="137">
        <v>0</v>
      </c>
      <c r="L64" s="137">
        <v>0</v>
      </c>
      <c r="M64" s="137">
        <v>0</v>
      </c>
      <c r="N64" s="137">
        <v>0</v>
      </c>
      <c r="O64" s="137">
        <v>0</v>
      </c>
      <c r="P64" s="137">
        <v>0</v>
      </c>
      <c r="Q64" s="137">
        <v>0</v>
      </c>
      <c r="R64" s="137">
        <v>0</v>
      </c>
      <c r="S64" s="137">
        <v>0</v>
      </c>
    </row>
    <row r="65" spans="2:19" ht="12" x14ac:dyDescent="0.2">
      <c r="B65" s="31" t="s">
        <v>144</v>
      </c>
      <c r="C65" s="8" t="s">
        <v>373</v>
      </c>
      <c r="D65" s="34" t="s">
        <v>135</v>
      </c>
      <c r="E65" s="11" t="s">
        <v>89</v>
      </c>
      <c r="F65" s="12"/>
      <c r="G65" s="110" t="s">
        <v>145</v>
      </c>
      <c r="H65" s="137">
        <v>0</v>
      </c>
      <c r="I65" s="137">
        <v>0</v>
      </c>
      <c r="J65" s="137">
        <v>0</v>
      </c>
      <c r="K65" s="137">
        <v>0</v>
      </c>
      <c r="L65" s="137">
        <v>0</v>
      </c>
      <c r="M65" s="137">
        <v>0</v>
      </c>
      <c r="N65" s="137">
        <v>0</v>
      </c>
      <c r="O65" s="137">
        <v>0</v>
      </c>
      <c r="P65" s="137">
        <v>0</v>
      </c>
      <c r="Q65" s="137">
        <v>0</v>
      </c>
      <c r="R65" s="137">
        <v>0</v>
      </c>
      <c r="S65" s="137">
        <v>0</v>
      </c>
    </row>
    <row r="66" spans="2:19" ht="12" x14ac:dyDescent="0.2">
      <c r="B66" s="31" t="s">
        <v>146</v>
      </c>
      <c r="C66" s="8" t="s">
        <v>373</v>
      </c>
      <c r="D66" s="34" t="s">
        <v>131</v>
      </c>
      <c r="E66" s="11" t="s">
        <v>11</v>
      </c>
      <c r="F66" s="12"/>
      <c r="G66" s="110" t="s">
        <v>147</v>
      </c>
      <c r="H66" s="137">
        <v>0</v>
      </c>
      <c r="I66" s="137">
        <v>0</v>
      </c>
      <c r="J66" s="137">
        <v>0</v>
      </c>
      <c r="K66" s="137">
        <v>0</v>
      </c>
      <c r="L66" s="137">
        <v>0</v>
      </c>
      <c r="M66" s="137">
        <v>0</v>
      </c>
      <c r="N66" s="137">
        <v>0</v>
      </c>
      <c r="O66" s="137">
        <v>0</v>
      </c>
      <c r="P66" s="137">
        <v>0</v>
      </c>
      <c r="Q66" s="137">
        <v>0</v>
      </c>
      <c r="R66" s="137">
        <v>0</v>
      </c>
      <c r="S66" s="137">
        <v>0</v>
      </c>
    </row>
    <row r="67" spans="2:19" ht="12" x14ac:dyDescent="0.2">
      <c r="B67" s="31" t="s">
        <v>148</v>
      </c>
      <c r="C67" s="8" t="s">
        <v>149</v>
      </c>
      <c r="D67" s="34" t="s">
        <v>135</v>
      </c>
      <c r="E67" s="11" t="s">
        <v>89</v>
      </c>
      <c r="F67" s="12"/>
      <c r="G67" s="110" t="s">
        <v>150</v>
      </c>
      <c r="H67" s="137">
        <v>0</v>
      </c>
      <c r="I67" s="137">
        <v>0</v>
      </c>
      <c r="J67" s="137">
        <v>0</v>
      </c>
      <c r="K67" s="137">
        <v>0</v>
      </c>
      <c r="L67" s="137">
        <v>0</v>
      </c>
      <c r="M67" s="137">
        <v>0</v>
      </c>
      <c r="N67" s="137">
        <v>0</v>
      </c>
      <c r="O67" s="137">
        <v>0</v>
      </c>
      <c r="P67" s="137">
        <v>0</v>
      </c>
      <c r="Q67" s="137">
        <v>0</v>
      </c>
      <c r="R67" s="137">
        <v>0</v>
      </c>
      <c r="S67" s="137">
        <v>0</v>
      </c>
    </row>
    <row r="68" spans="2:19" ht="12" x14ac:dyDescent="0.2">
      <c r="B68" s="31" t="s">
        <v>151</v>
      </c>
      <c r="C68" s="8" t="s">
        <v>149</v>
      </c>
      <c r="D68" s="34" t="s">
        <v>131</v>
      </c>
      <c r="E68" s="11" t="s">
        <v>11</v>
      </c>
      <c r="F68" s="12"/>
      <c r="G68" s="110" t="s">
        <v>152</v>
      </c>
      <c r="H68" s="137">
        <v>0</v>
      </c>
      <c r="I68" s="137">
        <v>0</v>
      </c>
      <c r="J68" s="137">
        <v>0</v>
      </c>
      <c r="K68" s="137">
        <v>0</v>
      </c>
      <c r="L68" s="137">
        <v>0</v>
      </c>
      <c r="M68" s="137">
        <v>0</v>
      </c>
      <c r="N68" s="137">
        <v>0</v>
      </c>
      <c r="O68" s="137">
        <v>0</v>
      </c>
      <c r="P68" s="137">
        <v>0</v>
      </c>
      <c r="Q68" s="137">
        <v>0</v>
      </c>
      <c r="R68" s="137">
        <v>0</v>
      </c>
      <c r="S68" s="137">
        <v>0</v>
      </c>
    </row>
    <row r="69" spans="2:19" ht="12" x14ac:dyDescent="0.2">
      <c r="B69" s="31" t="s">
        <v>153</v>
      </c>
      <c r="C69" s="34" t="s">
        <v>142</v>
      </c>
      <c r="D69" s="34" t="s">
        <v>131</v>
      </c>
      <c r="E69" s="11" t="s">
        <v>11</v>
      </c>
      <c r="F69" s="12"/>
      <c r="G69" s="110" t="s">
        <v>154</v>
      </c>
      <c r="H69" s="137">
        <v>0</v>
      </c>
      <c r="I69" s="137">
        <v>0</v>
      </c>
      <c r="J69" s="137">
        <v>0</v>
      </c>
      <c r="K69" s="137">
        <v>0</v>
      </c>
      <c r="L69" s="137">
        <v>0</v>
      </c>
      <c r="M69" s="137">
        <v>0</v>
      </c>
      <c r="N69" s="137">
        <v>0</v>
      </c>
      <c r="O69" s="137">
        <v>0</v>
      </c>
      <c r="P69" s="137">
        <v>0</v>
      </c>
      <c r="Q69" s="137">
        <v>0</v>
      </c>
      <c r="R69" s="137">
        <v>0</v>
      </c>
      <c r="S69" s="137">
        <v>0</v>
      </c>
    </row>
    <row r="70" spans="2:19" ht="12" x14ac:dyDescent="0.2">
      <c r="B70" s="31" t="s">
        <v>155</v>
      </c>
      <c r="C70" s="35" t="s">
        <v>156</v>
      </c>
      <c r="D70" s="8"/>
      <c r="E70" s="11" t="s">
        <v>72</v>
      </c>
      <c r="F70" s="12"/>
      <c r="G70" s="110" t="s">
        <v>107</v>
      </c>
      <c r="H70" s="137">
        <v>0</v>
      </c>
      <c r="I70" s="137">
        <v>0</v>
      </c>
      <c r="J70" s="137">
        <v>8.0000000000000002E-3</v>
      </c>
      <c r="K70" s="137">
        <v>1.9E-2</v>
      </c>
      <c r="L70" s="137">
        <v>2.1999999999999999E-2</v>
      </c>
      <c r="M70" s="137">
        <v>2.8000000000000001E-2</v>
      </c>
      <c r="N70" s="137">
        <v>0</v>
      </c>
      <c r="O70" s="137">
        <v>0</v>
      </c>
      <c r="P70" s="137">
        <v>0</v>
      </c>
      <c r="Q70" s="137">
        <v>0</v>
      </c>
      <c r="R70" s="137">
        <v>0</v>
      </c>
      <c r="S70" s="137">
        <v>0</v>
      </c>
    </row>
    <row r="71" spans="2:19" x14ac:dyDescent="0.2">
      <c r="B71" s="31" t="s">
        <v>157</v>
      </c>
      <c r="D71" s="8"/>
      <c r="E71" s="12"/>
      <c r="F71" s="12"/>
      <c r="G71" s="100" t="s">
        <v>158</v>
      </c>
      <c r="H71" s="136">
        <f t="shared" ref="H71:S71" si="16">SUM(H58:H70)</f>
        <v>0</v>
      </c>
      <c r="I71" s="136">
        <f t="shared" si="16"/>
        <v>0</v>
      </c>
      <c r="J71" s="136">
        <f t="shared" si="16"/>
        <v>-76.219000000000008</v>
      </c>
      <c r="K71" s="136">
        <f t="shared" si="16"/>
        <v>-60.783999999999999</v>
      </c>
      <c r="L71" s="136">
        <f t="shared" si="16"/>
        <v>-32.946000000000005</v>
      </c>
      <c r="M71" s="136">
        <f t="shared" si="16"/>
        <v>-2.4539999999999709</v>
      </c>
      <c r="N71" s="136">
        <f t="shared" si="16"/>
        <v>-58.004000000000019</v>
      </c>
      <c r="O71" s="136">
        <f t="shared" si="16"/>
        <v>2743.94</v>
      </c>
      <c r="P71" s="136">
        <f t="shared" si="16"/>
        <v>3259</v>
      </c>
      <c r="Q71" s="136">
        <f t="shared" si="16"/>
        <v>1400</v>
      </c>
      <c r="R71" s="136">
        <f t="shared" si="16"/>
        <v>3243</v>
      </c>
      <c r="S71" s="136">
        <f t="shared" si="16"/>
        <v>2350</v>
      </c>
    </row>
    <row r="72" spans="2:19" x14ac:dyDescent="0.2">
      <c r="D72" s="8"/>
    </row>
    <row r="73" spans="2:19" x14ac:dyDescent="0.2">
      <c r="D73" s="29" t="s">
        <v>120</v>
      </c>
      <c r="E73" s="30" t="s">
        <v>3</v>
      </c>
      <c r="F73" s="9"/>
      <c r="G73" s="134" t="s">
        <v>159</v>
      </c>
      <c r="H73" s="153">
        <f t="shared" ref="H73:S73" si="17">H57</f>
        <v>2011</v>
      </c>
      <c r="I73" s="153">
        <f t="shared" si="17"/>
        <v>2012</v>
      </c>
      <c r="J73" s="153">
        <f t="shared" si="17"/>
        <v>2013</v>
      </c>
      <c r="K73" s="153">
        <f t="shared" si="17"/>
        <v>2014</v>
      </c>
      <c r="L73" s="153">
        <f t="shared" si="17"/>
        <v>2015</v>
      </c>
      <c r="M73" s="153">
        <f t="shared" si="17"/>
        <v>2016</v>
      </c>
      <c r="N73" s="153">
        <f t="shared" si="17"/>
        <v>2017</v>
      </c>
      <c r="O73" s="153">
        <f t="shared" si="17"/>
        <v>2018</v>
      </c>
      <c r="P73" s="153">
        <f t="shared" si="17"/>
        <v>2019</v>
      </c>
      <c r="Q73" s="153">
        <f t="shared" si="17"/>
        <v>2020</v>
      </c>
      <c r="R73" s="153">
        <f t="shared" si="17"/>
        <v>2021</v>
      </c>
      <c r="S73" s="153">
        <f t="shared" si="17"/>
        <v>2022</v>
      </c>
    </row>
    <row r="74" spans="2:19" ht="12" x14ac:dyDescent="0.2">
      <c r="B74" s="2" t="s">
        <v>160</v>
      </c>
      <c r="C74" s="34" t="s">
        <v>161</v>
      </c>
      <c r="D74" s="34" t="s">
        <v>128</v>
      </c>
      <c r="E74" s="11" t="s">
        <v>11</v>
      </c>
      <c r="G74" s="103" t="s">
        <v>162</v>
      </c>
      <c r="H74" s="137">
        <v>0</v>
      </c>
      <c r="I74" s="137">
        <v>0</v>
      </c>
      <c r="J74" s="137">
        <v>0</v>
      </c>
      <c r="K74" s="137">
        <v>0</v>
      </c>
      <c r="L74" s="137">
        <v>0</v>
      </c>
      <c r="M74" s="137">
        <v>0</v>
      </c>
      <c r="N74" s="137">
        <v>0</v>
      </c>
      <c r="O74" s="137">
        <v>0</v>
      </c>
      <c r="P74" s="137">
        <v>0</v>
      </c>
      <c r="Q74" s="137">
        <v>0</v>
      </c>
      <c r="R74" s="137">
        <v>0</v>
      </c>
      <c r="S74" s="137">
        <v>0</v>
      </c>
    </row>
    <row r="75" spans="2:19" ht="12" x14ac:dyDescent="0.2">
      <c r="B75" s="2" t="s">
        <v>163</v>
      </c>
      <c r="C75" s="34" t="s">
        <v>161</v>
      </c>
      <c r="D75" s="34" t="s">
        <v>124</v>
      </c>
      <c r="E75" s="11" t="s">
        <v>89</v>
      </c>
      <c r="F75" s="12"/>
      <c r="G75" s="110" t="s">
        <v>164</v>
      </c>
      <c r="H75" s="137">
        <v>0</v>
      </c>
      <c r="I75" s="137">
        <v>0</v>
      </c>
      <c r="J75" s="137">
        <v>0</v>
      </c>
      <c r="K75" s="137">
        <v>0</v>
      </c>
      <c r="L75" s="137">
        <v>0</v>
      </c>
      <c r="M75" s="137">
        <v>0</v>
      </c>
      <c r="N75" s="137">
        <v>0</v>
      </c>
      <c r="O75" s="137">
        <v>0</v>
      </c>
      <c r="P75" s="137">
        <v>0</v>
      </c>
      <c r="Q75" s="137">
        <v>0</v>
      </c>
      <c r="R75" s="137">
        <v>0</v>
      </c>
      <c r="S75" s="137">
        <v>0</v>
      </c>
    </row>
    <row r="76" spans="2:19" ht="12" x14ac:dyDescent="0.2">
      <c r="B76" s="2" t="s">
        <v>165</v>
      </c>
      <c r="C76" s="34" t="s">
        <v>166</v>
      </c>
      <c r="D76" s="34" t="s">
        <v>131</v>
      </c>
      <c r="E76" s="11" t="s">
        <v>11</v>
      </c>
      <c r="G76" s="110" t="s">
        <v>167</v>
      </c>
      <c r="H76" s="137">
        <v>0</v>
      </c>
      <c r="I76" s="137">
        <v>0</v>
      </c>
      <c r="J76" s="137">
        <v>0</v>
      </c>
      <c r="K76" s="137">
        <v>0</v>
      </c>
      <c r="L76" s="137">
        <v>0</v>
      </c>
      <c r="M76" s="137">
        <v>120</v>
      </c>
      <c r="N76" s="137">
        <v>0</v>
      </c>
      <c r="O76" s="137">
        <v>0</v>
      </c>
      <c r="P76" s="137">
        <v>0</v>
      </c>
      <c r="Q76" s="137">
        <v>0</v>
      </c>
      <c r="R76" s="137">
        <v>0</v>
      </c>
      <c r="S76" s="137">
        <v>0</v>
      </c>
    </row>
    <row r="77" spans="2:19" ht="12" x14ac:dyDescent="0.2">
      <c r="B77" s="2" t="s">
        <v>168</v>
      </c>
      <c r="C77" s="34" t="s">
        <v>166</v>
      </c>
      <c r="D77" s="34" t="s">
        <v>135</v>
      </c>
      <c r="E77" s="11" t="s">
        <v>89</v>
      </c>
      <c r="F77" s="12"/>
      <c r="G77" s="110" t="s">
        <v>169</v>
      </c>
      <c r="H77" s="137">
        <v>0</v>
      </c>
      <c r="I77" s="137">
        <v>0</v>
      </c>
      <c r="J77" s="137">
        <v>0</v>
      </c>
      <c r="K77" s="137">
        <v>0</v>
      </c>
      <c r="L77" s="137">
        <v>0</v>
      </c>
      <c r="M77" s="137">
        <v>0</v>
      </c>
      <c r="N77" s="137">
        <v>-17.8</v>
      </c>
      <c r="O77" s="137">
        <v>-24</v>
      </c>
      <c r="P77" s="137">
        <v>-25</v>
      </c>
      <c r="Q77" s="137">
        <v>-25</v>
      </c>
      <c r="R77" s="137">
        <v>-28</v>
      </c>
      <c r="S77" s="137">
        <v>0</v>
      </c>
    </row>
    <row r="78" spans="2:19" ht="12" x14ac:dyDescent="0.2">
      <c r="B78" s="2" t="s">
        <v>170</v>
      </c>
      <c r="C78" s="34" t="s">
        <v>171</v>
      </c>
      <c r="D78" s="34" t="s">
        <v>135</v>
      </c>
      <c r="E78" s="11" t="s">
        <v>89</v>
      </c>
      <c r="F78" s="12"/>
      <c r="G78" s="110" t="s">
        <v>172</v>
      </c>
      <c r="H78" s="137">
        <v>0</v>
      </c>
      <c r="I78" s="137">
        <v>0</v>
      </c>
      <c r="J78" s="137">
        <v>0</v>
      </c>
      <c r="K78" s="137">
        <v>0</v>
      </c>
      <c r="L78" s="137">
        <v>0</v>
      </c>
      <c r="M78" s="137">
        <v>0</v>
      </c>
      <c r="N78" s="137">
        <v>0</v>
      </c>
      <c r="O78" s="137">
        <v>0</v>
      </c>
      <c r="P78" s="137">
        <v>0</v>
      </c>
      <c r="Q78" s="137">
        <v>0</v>
      </c>
      <c r="R78" s="137">
        <v>0</v>
      </c>
      <c r="S78" s="137">
        <v>0</v>
      </c>
    </row>
    <row r="79" spans="2:19" ht="12" x14ac:dyDescent="0.2">
      <c r="B79" s="2" t="s">
        <v>173</v>
      </c>
      <c r="C79" s="34" t="s">
        <v>174</v>
      </c>
      <c r="D79" s="34" t="s">
        <v>135</v>
      </c>
      <c r="E79" s="11" t="s">
        <v>89</v>
      </c>
      <c r="F79" s="12"/>
      <c r="G79" s="110" t="s">
        <v>175</v>
      </c>
      <c r="H79" s="137">
        <v>0</v>
      </c>
      <c r="I79" s="137">
        <v>0</v>
      </c>
      <c r="J79" s="137">
        <v>0</v>
      </c>
      <c r="K79" s="137">
        <v>0</v>
      </c>
      <c r="L79" s="137">
        <v>-5.0999999999999997E-2</v>
      </c>
      <c r="M79" s="137">
        <v>-1.218</v>
      </c>
      <c r="N79" s="137">
        <v>0</v>
      </c>
      <c r="O79" s="137">
        <v>0</v>
      </c>
      <c r="P79" s="137">
        <v>0</v>
      </c>
      <c r="Q79" s="137">
        <v>0</v>
      </c>
      <c r="R79" s="137">
        <v>0</v>
      </c>
      <c r="S79" s="137">
        <v>0</v>
      </c>
    </row>
    <row r="80" spans="2:19" ht="12" x14ac:dyDescent="0.2">
      <c r="B80" s="2" t="s">
        <v>176</v>
      </c>
      <c r="C80" s="34" t="s">
        <v>177</v>
      </c>
      <c r="D80" s="34" t="s">
        <v>135</v>
      </c>
      <c r="E80" s="11" t="s">
        <v>89</v>
      </c>
      <c r="F80" s="12"/>
      <c r="G80" s="110" t="s">
        <v>178</v>
      </c>
      <c r="H80" s="137">
        <v>0</v>
      </c>
      <c r="I80" s="137">
        <v>0</v>
      </c>
      <c r="J80" s="137">
        <v>0</v>
      </c>
      <c r="K80" s="137">
        <v>0</v>
      </c>
      <c r="L80" s="137">
        <v>0</v>
      </c>
      <c r="M80" s="137">
        <v>0</v>
      </c>
      <c r="N80" s="137">
        <v>0</v>
      </c>
      <c r="O80" s="137">
        <v>0</v>
      </c>
      <c r="P80" s="137">
        <v>0</v>
      </c>
      <c r="Q80" s="137">
        <v>0</v>
      </c>
      <c r="R80" s="137">
        <v>0</v>
      </c>
      <c r="S80" s="137">
        <v>0</v>
      </c>
    </row>
    <row r="81" spans="1:19" ht="12" x14ac:dyDescent="0.2">
      <c r="B81" s="2" t="s">
        <v>179</v>
      </c>
      <c r="C81" s="34" t="s">
        <v>52</v>
      </c>
      <c r="D81" s="34" t="s">
        <v>135</v>
      </c>
      <c r="E81" s="11" t="s">
        <v>89</v>
      </c>
      <c r="F81" s="12"/>
      <c r="G81" s="110" t="s">
        <v>180</v>
      </c>
      <c r="H81" s="137">
        <v>0</v>
      </c>
      <c r="I81" s="137">
        <v>0</v>
      </c>
      <c r="J81" s="137">
        <v>0</v>
      </c>
      <c r="K81" s="137">
        <v>0</v>
      </c>
      <c r="L81" s="137">
        <v>0</v>
      </c>
      <c r="M81" s="137">
        <v>0</v>
      </c>
      <c r="N81" s="137">
        <v>0</v>
      </c>
      <c r="O81" s="137">
        <v>0</v>
      </c>
      <c r="P81" s="137">
        <v>0</v>
      </c>
      <c r="Q81" s="137">
        <v>0</v>
      </c>
      <c r="R81" s="137">
        <v>0</v>
      </c>
      <c r="S81" s="137">
        <v>0</v>
      </c>
    </row>
    <row r="82" spans="1:19" ht="12" x14ac:dyDescent="0.2">
      <c r="B82" s="2" t="s">
        <v>181</v>
      </c>
      <c r="C82" s="34" t="s">
        <v>182</v>
      </c>
      <c r="D82" s="34" t="s">
        <v>131</v>
      </c>
      <c r="E82" s="11" t="s">
        <v>11</v>
      </c>
      <c r="G82" s="110" t="s">
        <v>183</v>
      </c>
      <c r="H82" s="137">
        <v>0</v>
      </c>
      <c r="I82" s="159">
        <v>0.1</v>
      </c>
      <c r="J82" s="137">
        <v>0</v>
      </c>
      <c r="K82" s="137">
        <v>0</v>
      </c>
      <c r="L82" s="137">
        <v>0</v>
      </c>
      <c r="M82" s="137">
        <v>0</v>
      </c>
      <c r="N82" s="137">
        <v>0</v>
      </c>
      <c r="O82" s="137">
        <v>0</v>
      </c>
      <c r="P82" s="137">
        <v>0</v>
      </c>
      <c r="Q82" s="137">
        <v>0</v>
      </c>
      <c r="R82" s="137">
        <v>0</v>
      </c>
      <c r="S82" s="137">
        <v>0</v>
      </c>
    </row>
    <row r="83" spans="1:19" ht="12" x14ac:dyDescent="0.2">
      <c r="B83" s="2" t="s">
        <v>184</v>
      </c>
      <c r="C83" s="34" t="s">
        <v>182</v>
      </c>
      <c r="D83" s="34" t="s">
        <v>135</v>
      </c>
      <c r="E83" s="11" t="s">
        <v>89</v>
      </c>
      <c r="F83" s="12"/>
      <c r="G83" s="110" t="s">
        <v>374</v>
      </c>
      <c r="H83" s="137">
        <v>0</v>
      </c>
      <c r="I83" s="137">
        <v>0</v>
      </c>
      <c r="J83" s="137">
        <v>0</v>
      </c>
      <c r="K83" s="137">
        <v>0</v>
      </c>
      <c r="L83" s="137">
        <v>0</v>
      </c>
      <c r="M83" s="137">
        <v>0</v>
      </c>
      <c r="N83" s="137">
        <v>0</v>
      </c>
      <c r="O83" s="137">
        <v>0</v>
      </c>
      <c r="P83" s="137">
        <v>0</v>
      </c>
      <c r="Q83" s="137">
        <v>0</v>
      </c>
      <c r="R83" s="137">
        <v>0</v>
      </c>
      <c r="S83" s="137">
        <v>0</v>
      </c>
    </row>
    <row r="84" spans="1:19" ht="12" x14ac:dyDescent="0.2">
      <c r="B84" s="2" t="s">
        <v>185</v>
      </c>
      <c r="C84" s="34" t="s">
        <v>375</v>
      </c>
      <c r="D84" s="34" t="s">
        <v>135</v>
      </c>
      <c r="E84" s="11" t="s">
        <v>89</v>
      </c>
      <c r="F84" s="12"/>
      <c r="G84" s="110" t="s">
        <v>376</v>
      </c>
      <c r="H84" s="137">
        <v>0</v>
      </c>
      <c r="I84" s="137">
        <v>0</v>
      </c>
      <c r="J84" s="137">
        <v>0</v>
      </c>
      <c r="K84" s="137">
        <v>0</v>
      </c>
      <c r="L84" s="137">
        <v>0</v>
      </c>
      <c r="M84" s="137">
        <v>0</v>
      </c>
      <c r="N84" s="137">
        <v>0</v>
      </c>
      <c r="O84" s="137">
        <v>0</v>
      </c>
      <c r="P84" s="137">
        <v>0</v>
      </c>
      <c r="Q84" s="137">
        <v>0</v>
      </c>
      <c r="R84" s="137">
        <v>0</v>
      </c>
      <c r="S84" s="137">
        <v>0</v>
      </c>
    </row>
    <row r="85" spans="1:19" ht="12" x14ac:dyDescent="0.2">
      <c r="B85" s="2" t="s">
        <v>186</v>
      </c>
      <c r="C85" s="36">
        <v>68</v>
      </c>
      <c r="D85" s="34" t="s">
        <v>135</v>
      </c>
      <c r="E85" s="11" t="s">
        <v>89</v>
      </c>
      <c r="F85" s="12"/>
      <c r="G85" s="46" t="s">
        <v>111</v>
      </c>
      <c r="H85" s="137">
        <v>0</v>
      </c>
      <c r="I85" s="137">
        <v>0</v>
      </c>
      <c r="J85" s="137">
        <v>0</v>
      </c>
      <c r="K85" s="137">
        <v>0</v>
      </c>
      <c r="L85" s="137">
        <v>0</v>
      </c>
      <c r="M85" s="137">
        <v>0</v>
      </c>
      <c r="N85" s="137">
        <v>0</v>
      </c>
      <c r="O85" s="137">
        <v>0</v>
      </c>
      <c r="P85" s="137">
        <v>0</v>
      </c>
      <c r="Q85" s="137">
        <v>0</v>
      </c>
      <c r="R85" s="137">
        <v>0</v>
      </c>
      <c r="S85" s="137">
        <v>0</v>
      </c>
    </row>
    <row r="86" spans="1:19" x14ac:dyDescent="0.2">
      <c r="B86" s="2" t="s">
        <v>377</v>
      </c>
      <c r="G86" s="46" t="s">
        <v>158</v>
      </c>
      <c r="H86" s="136">
        <f t="shared" ref="H86:S86" si="18">SUM(H74:H85)</f>
        <v>0</v>
      </c>
      <c r="I86" s="136">
        <f t="shared" si="18"/>
        <v>0.1</v>
      </c>
      <c r="J86" s="136">
        <f t="shared" si="18"/>
        <v>0</v>
      </c>
      <c r="K86" s="136">
        <f t="shared" si="18"/>
        <v>0</v>
      </c>
      <c r="L86" s="136">
        <f t="shared" si="18"/>
        <v>-5.0999999999999997E-2</v>
      </c>
      <c r="M86" s="136">
        <f t="shared" si="18"/>
        <v>118.782</v>
      </c>
      <c r="N86" s="136">
        <f t="shared" si="18"/>
        <v>-17.8</v>
      </c>
      <c r="O86" s="136">
        <f t="shared" si="18"/>
        <v>-24</v>
      </c>
      <c r="P86" s="136">
        <f t="shared" si="18"/>
        <v>-25</v>
      </c>
      <c r="Q86" s="136">
        <f t="shared" si="18"/>
        <v>-25</v>
      </c>
      <c r="R86" s="136">
        <f t="shared" si="18"/>
        <v>-28</v>
      </c>
      <c r="S86" s="136">
        <f t="shared" si="18"/>
        <v>0</v>
      </c>
    </row>
    <row r="87" spans="1:19" x14ac:dyDescent="0.2">
      <c r="B87" s="2" t="s">
        <v>378</v>
      </c>
      <c r="G87" s="160" t="s">
        <v>379</v>
      </c>
      <c r="H87" s="161"/>
      <c r="I87" s="151">
        <f t="shared" ref="I87:S87" si="19">(I14+I15)-(H14+H15-I58-I59+I45)</f>
        <v>2093.877</v>
      </c>
      <c r="J87" s="151">
        <f t="shared" si="19"/>
        <v>7385.9159999999993</v>
      </c>
      <c r="K87" s="151">
        <f t="shared" si="19"/>
        <v>807.54100000000108</v>
      </c>
      <c r="L87" s="151">
        <f t="shared" si="19"/>
        <v>211.20600000000013</v>
      </c>
      <c r="M87" s="151">
        <f t="shared" si="19"/>
        <v>-0.4249999999992724</v>
      </c>
      <c r="N87" s="151">
        <f t="shared" si="19"/>
        <v>-2.1000000000640284E-2</v>
      </c>
      <c r="O87" s="151">
        <f t="shared" si="19"/>
        <v>0</v>
      </c>
      <c r="P87" s="151">
        <f t="shared" si="19"/>
        <v>0</v>
      </c>
      <c r="Q87" s="151">
        <f t="shared" si="19"/>
        <v>0</v>
      </c>
      <c r="R87" s="151">
        <f t="shared" si="19"/>
        <v>0</v>
      </c>
      <c r="S87" s="151">
        <f t="shared" si="19"/>
        <v>0</v>
      </c>
    </row>
    <row r="88" spans="1:19" x14ac:dyDescent="0.2">
      <c r="B88" s="2" t="s">
        <v>380</v>
      </c>
      <c r="G88" s="160" t="s">
        <v>381</v>
      </c>
      <c r="H88" s="161"/>
      <c r="I88" s="151">
        <f>I24-(H24+(I74+I76)+(I75+I77)+(I78))</f>
        <v>0</v>
      </c>
      <c r="J88" s="151">
        <f>J24-(I24+(J74+J76)+(J75+J77)+(J78))</f>
        <v>0</v>
      </c>
      <c r="K88" s="151">
        <f>K24-(J24+(K74+K76)+(K75+K77)+(K78))</f>
        <v>0</v>
      </c>
      <c r="L88" s="151">
        <f>L24-(K24+(L74+L76)+(L75+L77)+(L78))</f>
        <v>0</v>
      </c>
      <c r="M88" s="151">
        <f>M24-(L24+(M74+M76)+(M75+M77)+(M78))</f>
        <v>0</v>
      </c>
      <c r="N88" s="151">
        <f t="shared" ref="N88:S88" si="20">N24-(M24+(N74+N76)+(N75+N77)+(N78))</f>
        <v>9.9999999999994316E-2</v>
      </c>
      <c r="O88" s="151">
        <f t="shared" si="20"/>
        <v>-0.29999999999999716</v>
      </c>
      <c r="P88" s="151">
        <f t="shared" si="20"/>
        <v>0</v>
      </c>
      <c r="Q88" s="151">
        <f t="shared" si="20"/>
        <v>0</v>
      </c>
      <c r="R88" s="151">
        <f t="shared" si="20"/>
        <v>0</v>
      </c>
      <c r="S88" s="151">
        <f t="shared" si="20"/>
        <v>0</v>
      </c>
    </row>
    <row r="89" spans="1:19" x14ac:dyDescent="0.2">
      <c r="B89" s="2" t="s">
        <v>382</v>
      </c>
      <c r="G89" s="160" t="s">
        <v>383</v>
      </c>
      <c r="H89" s="161"/>
      <c r="I89" s="151">
        <f t="shared" ref="I89:S89" si="21">I28-(H28+(I82+I83))</f>
        <v>0</v>
      </c>
      <c r="J89" s="151">
        <f t="shared" si="21"/>
        <v>9482.9269999999997</v>
      </c>
      <c r="K89" s="151">
        <f t="shared" si="21"/>
        <v>821.30999999999949</v>
      </c>
      <c r="L89" s="151">
        <f t="shared" si="21"/>
        <v>0</v>
      </c>
      <c r="M89" s="151">
        <f t="shared" si="21"/>
        <v>0</v>
      </c>
      <c r="N89" s="151">
        <f t="shared" si="21"/>
        <v>-0.33699999999953434</v>
      </c>
      <c r="O89" s="151">
        <f t="shared" si="21"/>
        <v>0</v>
      </c>
      <c r="P89" s="151">
        <f t="shared" si="21"/>
        <v>0</v>
      </c>
      <c r="Q89" s="151">
        <f t="shared" si="21"/>
        <v>0</v>
      </c>
      <c r="R89" s="151">
        <f t="shared" si="21"/>
        <v>0</v>
      </c>
      <c r="S89" s="151">
        <f t="shared" si="21"/>
        <v>0</v>
      </c>
    </row>
    <row r="90" spans="1:19" x14ac:dyDescent="0.2">
      <c r="B90" s="2" t="s">
        <v>384</v>
      </c>
      <c r="G90" s="160" t="s">
        <v>385</v>
      </c>
      <c r="H90" s="161"/>
      <c r="I90" s="151">
        <f t="shared" ref="I90:S90" si="22">I29-(H29+H30)-I84</f>
        <v>0</v>
      </c>
      <c r="J90" s="151">
        <f t="shared" si="22"/>
        <v>-2084.6799999999998</v>
      </c>
      <c r="K90" s="151">
        <f t="shared" si="22"/>
        <v>-9.1980000000000004</v>
      </c>
      <c r="L90" s="151">
        <f t="shared" si="22"/>
        <v>0</v>
      </c>
      <c r="M90" s="151">
        <f t="shared" si="22"/>
        <v>1.0000000000047748E-3</v>
      </c>
      <c r="N90" s="151">
        <f t="shared" si="22"/>
        <v>-1.0000000000047748E-3</v>
      </c>
      <c r="O90" s="151">
        <f t="shared" si="22"/>
        <v>0.11899999999997135</v>
      </c>
      <c r="P90" s="151">
        <f t="shared" si="22"/>
        <v>0</v>
      </c>
      <c r="Q90" s="151">
        <f t="shared" si="22"/>
        <v>0</v>
      </c>
      <c r="R90" s="151">
        <f t="shared" si="22"/>
        <v>0</v>
      </c>
      <c r="S90" s="151">
        <f t="shared" si="22"/>
        <v>0</v>
      </c>
    </row>
    <row r="91" spans="1:19" x14ac:dyDescent="0.2">
      <c r="L91" s="162">
        <f>L90-L87</f>
        <v>-211.20600000000013</v>
      </c>
    </row>
    <row r="92" spans="1:19" x14ac:dyDescent="0.2">
      <c r="A92" s="13" t="s">
        <v>0</v>
      </c>
      <c r="D92" s="769" t="s">
        <v>187</v>
      </c>
      <c r="E92" s="770"/>
      <c r="G92" s="134" t="s">
        <v>386</v>
      </c>
      <c r="H92" s="153">
        <f>H73</f>
        <v>2011</v>
      </c>
      <c r="I92" s="153">
        <f t="shared" ref="I92:S92" si="23">I73</f>
        <v>2012</v>
      </c>
      <c r="J92" s="153">
        <f t="shared" si="23"/>
        <v>2013</v>
      </c>
      <c r="K92" s="153">
        <f t="shared" si="23"/>
        <v>2014</v>
      </c>
      <c r="L92" s="153">
        <f t="shared" si="23"/>
        <v>2015</v>
      </c>
      <c r="M92" s="153">
        <f t="shared" si="23"/>
        <v>2016</v>
      </c>
      <c r="N92" s="153">
        <f t="shared" si="23"/>
        <v>2017</v>
      </c>
      <c r="O92" s="153">
        <f t="shared" si="23"/>
        <v>2018</v>
      </c>
      <c r="P92" s="153">
        <f t="shared" si="23"/>
        <v>2019</v>
      </c>
      <c r="Q92" s="153">
        <f t="shared" si="23"/>
        <v>2020</v>
      </c>
      <c r="R92" s="153">
        <f t="shared" si="23"/>
        <v>2021</v>
      </c>
      <c r="S92" s="153">
        <f t="shared" si="23"/>
        <v>2022</v>
      </c>
    </row>
    <row r="93" spans="1:19" x14ac:dyDescent="0.2">
      <c r="B93" s="2" t="s">
        <v>387</v>
      </c>
      <c r="C93" s="10" t="s">
        <v>388</v>
      </c>
      <c r="G93" s="95" t="s">
        <v>389</v>
      </c>
      <c r="H93" s="163">
        <f>H5+H11+H12+H13</f>
        <v>0</v>
      </c>
      <c r="I93" s="163">
        <f>I5+I11+I12+I13</f>
        <v>46.777999999999999</v>
      </c>
      <c r="J93" s="163">
        <f t="shared" ref="J93:S93" si="24">J5+J11+J12+J13</f>
        <v>97.816999999999993</v>
      </c>
      <c r="K93" s="163">
        <f t="shared" si="24"/>
        <v>181.46</v>
      </c>
      <c r="L93" s="163">
        <f t="shared" si="24"/>
        <v>159.40200000000002</v>
      </c>
      <c r="M93" s="163">
        <f t="shared" si="24"/>
        <v>271.62099999999998</v>
      </c>
      <c r="N93" s="163">
        <f t="shared" si="24"/>
        <v>128.32999999999998</v>
      </c>
      <c r="O93" s="163">
        <f t="shared" si="24"/>
        <v>144.4</v>
      </c>
      <c r="P93" s="163">
        <f t="shared" si="24"/>
        <v>330</v>
      </c>
      <c r="Q93" s="163">
        <f t="shared" si="24"/>
        <v>328</v>
      </c>
      <c r="R93" s="163">
        <f t="shared" si="24"/>
        <v>392</v>
      </c>
      <c r="S93" s="163">
        <f t="shared" si="24"/>
        <v>378.45600000000002</v>
      </c>
    </row>
    <row r="94" spans="1:19" x14ac:dyDescent="0.2">
      <c r="B94" s="2" t="s">
        <v>390</v>
      </c>
      <c r="G94" s="97" t="s">
        <v>391</v>
      </c>
      <c r="H94" s="161"/>
      <c r="I94" s="163">
        <f>I93-H93</f>
        <v>46.777999999999999</v>
      </c>
      <c r="J94" s="163">
        <f t="shared" ref="J94:S94" si="25">J93-I93</f>
        <v>51.038999999999994</v>
      </c>
      <c r="K94" s="163">
        <f t="shared" si="25"/>
        <v>83.643000000000015</v>
      </c>
      <c r="L94" s="163">
        <f t="shared" si="25"/>
        <v>-22.057999999999993</v>
      </c>
      <c r="M94" s="163">
        <f t="shared" si="25"/>
        <v>112.21899999999997</v>
      </c>
      <c r="N94" s="163">
        <f t="shared" si="25"/>
        <v>-143.291</v>
      </c>
      <c r="O94" s="163">
        <f t="shared" si="25"/>
        <v>16.070000000000022</v>
      </c>
      <c r="P94" s="163">
        <f t="shared" si="25"/>
        <v>185.6</v>
      </c>
      <c r="Q94" s="163">
        <f t="shared" si="25"/>
        <v>-2</v>
      </c>
      <c r="R94" s="163">
        <f t="shared" si="25"/>
        <v>64</v>
      </c>
      <c r="S94" s="163">
        <f t="shared" si="25"/>
        <v>-13.543999999999983</v>
      </c>
    </row>
    <row r="95" spans="1:19" x14ac:dyDescent="0.2">
      <c r="B95" s="2" t="s">
        <v>392</v>
      </c>
      <c r="C95" s="10" t="s">
        <v>42</v>
      </c>
      <c r="G95" s="95" t="s">
        <v>393</v>
      </c>
      <c r="H95" s="163">
        <f>H19</f>
        <v>0</v>
      </c>
      <c r="I95" s="163">
        <f t="shared" ref="I95:S95" si="26">I19</f>
        <v>55.875</v>
      </c>
      <c r="J95" s="163">
        <f t="shared" si="26"/>
        <v>76.986999999999995</v>
      </c>
      <c r="K95" s="163">
        <f t="shared" si="26"/>
        <v>113.575</v>
      </c>
      <c r="L95" s="163">
        <f t="shared" si="26"/>
        <v>116.371</v>
      </c>
      <c r="M95" s="163">
        <f t="shared" si="26"/>
        <v>415.85300000000001</v>
      </c>
      <c r="N95" s="163">
        <f>N19</f>
        <v>320.95400000000001</v>
      </c>
      <c r="O95" s="163">
        <f t="shared" si="26"/>
        <v>287</v>
      </c>
      <c r="P95" s="163">
        <f t="shared" si="26"/>
        <v>124.456</v>
      </c>
      <c r="Q95" s="163">
        <f t="shared" si="26"/>
        <v>110.5</v>
      </c>
      <c r="R95" s="163">
        <f t="shared" si="26"/>
        <v>115.5</v>
      </c>
      <c r="S95" s="163">
        <f t="shared" si="26"/>
        <v>71</v>
      </c>
    </row>
    <row r="96" spans="1:19" x14ac:dyDescent="0.2">
      <c r="B96" s="2" t="s">
        <v>394</v>
      </c>
      <c r="G96" s="97" t="s">
        <v>391</v>
      </c>
      <c r="H96" s="161"/>
      <c r="I96" s="163">
        <f>I95-H95</f>
        <v>55.875</v>
      </c>
      <c r="J96" s="163">
        <f t="shared" ref="J96:S96" si="27">J95-I95</f>
        <v>21.111999999999995</v>
      </c>
      <c r="K96" s="163">
        <f t="shared" si="27"/>
        <v>36.588000000000008</v>
      </c>
      <c r="L96" s="163">
        <f t="shared" si="27"/>
        <v>2.7959999999999923</v>
      </c>
      <c r="M96" s="163">
        <f t="shared" si="27"/>
        <v>299.48200000000003</v>
      </c>
      <c r="N96" s="163">
        <f t="shared" si="27"/>
        <v>-94.899000000000001</v>
      </c>
      <c r="O96" s="163">
        <f t="shared" si="27"/>
        <v>-33.954000000000008</v>
      </c>
      <c r="P96" s="163">
        <f t="shared" si="27"/>
        <v>-162.54399999999998</v>
      </c>
      <c r="Q96" s="163">
        <f t="shared" si="27"/>
        <v>-13.956000000000003</v>
      </c>
      <c r="R96" s="163">
        <f t="shared" si="27"/>
        <v>5</v>
      </c>
      <c r="S96" s="163">
        <f t="shared" si="27"/>
        <v>-44.5</v>
      </c>
    </row>
    <row r="97" spans="1:20" s="166" customFormat="1" x14ac:dyDescent="0.2">
      <c r="A97" s="29" t="s">
        <v>395</v>
      </c>
      <c r="B97" s="2" t="s">
        <v>188</v>
      </c>
      <c r="C97" s="10" t="s">
        <v>396</v>
      </c>
      <c r="D97" s="99"/>
      <c r="E97" s="30"/>
      <c r="F97" s="29"/>
      <c r="G97" s="100" t="s">
        <v>386</v>
      </c>
      <c r="H97" s="164"/>
      <c r="I97" s="165">
        <f>I94-I96</f>
        <v>-9.0970000000000013</v>
      </c>
      <c r="J97" s="165">
        <f t="shared" ref="J97:S97" si="28">J94-J96</f>
        <v>29.927</v>
      </c>
      <c r="K97" s="165">
        <f t="shared" si="28"/>
        <v>47.055000000000007</v>
      </c>
      <c r="L97" s="165">
        <f t="shared" si="28"/>
        <v>-24.853999999999985</v>
      </c>
      <c r="M97" s="165">
        <f t="shared" si="28"/>
        <v>-187.26300000000006</v>
      </c>
      <c r="N97" s="165">
        <f t="shared" si="28"/>
        <v>-48.391999999999996</v>
      </c>
      <c r="O97" s="165">
        <f t="shared" si="28"/>
        <v>50.024000000000029</v>
      </c>
      <c r="P97" s="165">
        <f t="shared" si="28"/>
        <v>348.14400000000001</v>
      </c>
      <c r="Q97" s="165">
        <f t="shared" si="28"/>
        <v>11.956000000000003</v>
      </c>
      <c r="R97" s="165">
        <f t="shared" si="28"/>
        <v>59</v>
      </c>
      <c r="S97" s="165">
        <f t="shared" si="28"/>
        <v>30.956000000000017</v>
      </c>
    </row>
    <row r="98" spans="1:20" x14ac:dyDescent="0.2">
      <c r="G98" s="164"/>
      <c r="H98" s="164"/>
      <c r="I98" s="164"/>
      <c r="J98" s="164"/>
      <c r="K98" s="164"/>
      <c r="L98" s="164"/>
      <c r="M98" s="164"/>
      <c r="N98" s="164"/>
      <c r="O98" s="164"/>
      <c r="P98" s="164"/>
      <c r="Q98" s="164"/>
      <c r="R98" s="164"/>
      <c r="S98" s="164"/>
    </row>
    <row r="99" spans="1:20" x14ac:dyDescent="0.2">
      <c r="B99" s="2" t="s">
        <v>397</v>
      </c>
      <c r="C99" s="10" t="s">
        <v>398</v>
      </c>
      <c r="G99" s="95" t="s">
        <v>399</v>
      </c>
      <c r="H99" s="163">
        <f>H4-H93</f>
        <v>0</v>
      </c>
      <c r="I99" s="163">
        <f t="shared" ref="I99:S99" si="29">I4-I93</f>
        <v>2093.877</v>
      </c>
      <c r="J99" s="163">
        <f t="shared" si="29"/>
        <v>9492.9259999999995</v>
      </c>
      <c r="K99" s="163">
        <f t="shared" si="29"/>
        <v>10292.876</v>
      </c>
      <c r="L99" s="163">
        <f t="shared" si="29"/>
        <v>10405.975</v>
      </c>
      <c r="M99" s="163">
        <f t="shared" si="29"/>
        <v>10577.553</v>
      </c>
      <c r="N99" s="163">
        <f t="shared" si="29"/>
        <v>10753.5</v>
      </c>
      <c r="O99" s="163">
        <f t="shared" si="29"/>
        <v>10654.5</v>
      </c>
      <c r="P99" s="163">
        <f t="shared" si="29"/>
        <v>10599.5</v>
      </c>
      <c r="Q99" s="163">
        <f t="shared" si="29"/>
        <v>10584.5</v>
      </c>
      <c r="R99" s="163">
        <f t="shared" si="29"/>
        <v>10569.5</v>
      </c>
      <c r="S99" s="163">
        <f t="shared" si="29"/>
        <v>10554.5</v>
      </c>
    </row>
    <row r="100" spans="1:20" x14ac:dyDescent="0.2">
      <c r="B100" s="2" t="s">
        <v>400</v>
      </c>
      <c r="G100" s="97" t="s">
        <v>391</v>
      </c>
      <c r="H100" s="161"/>
      <c r="I100" s="163">
        <f>I99-H99</f>
        <v>2093.877</v>
      </c>
      <c r="J100" s="163">
        <f t="shared" ref="J100:S100" si="30">J99-I99</f>
        <v>7399.0489999999991</v>
      </c>
      <c r="K100" s="163">
        <f t="shared" si="30"/>
        <v>799.95000000000073</v>
      </c>
      <c r="L100" s="163">
        <f t="shared" si="30"/>
        <v>113.09900000000016</v>
      </c>
      <c r="M100" s="163">
        <f t="shared" si="30"/>
        <v>171.57799999999952</v>
      </c>
      <c r="N100" s="163">
        <f t="shared" si="30"/>
        <v>175.94700000000012</v>
      </c>
      <c r="O100" s="163">
        <f t="shared" si="30"/>
        <v>-99</v>
      </c>
      <c r="P100" s="163">
        <f t="shared" si="30"/>
        <v>-55</v>
      </c>
      <c r="Q100" s="163">
        <f t="shared" si="30"/>
        <v>-15</v>
      </c>
      <c r="R100" s="163">
        <f t="shared" si="30"/>
        <v>-15</v>
      </c>
      <c r="S100" s="163">
        <f t="shared" si="30"/>
        <v>-15</v>
      </c>
    </row>
    <row r="101" spans="1:20" x14ac:dyDescent="0.2">
      <c r="B101" s="2" t="s">
        <v>401</v>
      </c>
      <c r="C101" s="10" t="s">
        <v>64</v>
      </c>
      <c r="G101" s="95" t="s">
        <v>402</v>
      </c>
      <c r="H101" s="163">
        <f>H27</f>
        <v>0</v>
      </c>
      <c r="I101" s="163">
        <f t="shared" ref="I101:S101" si="31">I27</f>
        <v>2084.7799999999997</v>
      </c>
      <c r="J101" s="163">
        <f t="shared" si="31"/>
        <v>9513.7549999999992</v>
      </c>
      <c r="K101" s="163">
        <f t="shared" si="31"/>
        <v>10360.761</v>
      </c>
      <c r="L101" s="163">
        <f t="shared" si="31"/>
        <v>10449.005000000001</v>
      </c>
      <c r="M101" s="163">
        <f t="shared" si="31"/>
        <v>10433.322</v>
      </c>
      <c r="N101" s="163">
        <f t="shared" si="31"/>
        <v>10560.881000000001</v>
      </c>
      <c r="O101" s="163">
        <f t="shared" si="31"/>
        <v>10512</v>
      </c>
      <c r="P101" s="163">
        <f t="shared" si="31"/>
        <v>10805</v>
      </c>
      <c r="Q101" s="163">
        <f t="shared" si="31"/>
        <v>10802</v>
      </c>
      <c r="R101" s="163">
        <f t="shared" si="31"/>
        <v>10846</v>
      </c>
      <c r="S101" s="163">
        <f t="shared" si="31"/>
        <v>10862</v>
      </c>
    </row>
    <row r="102" spans="1:20" x14ac:dyDescent="0.2">
      <c r="B102" s="2" t="s">
        <v>403</v>
      </c>
      <c r="G102" s="97" t="s">
        <v>391</v>
      </c>
      <c r="H102" s="161"/>
      <c r="I102" s="163">
        <f>I101-H101</f>
        <v>2084.7799999999997</v>
      </c>
      <c r="J102" s="163">
        <f t="shared" ref="J102:S102" si="32">J101-I101</f>
        <v>7428.9749999999995</v>
      </c>
      <c r="K102" s="163">
        <f t="shared" si="32"/>
        <v>847.00600000000122</v>
      </c>
      <c r="L102" s="163">
        <f t="shared" si="32"/>
        <v>88.244000000000597</v>
      </c>
      <c r="M102" s="163">
        <f t="shared" si="32"/>
        <v>-15.683000000000902</v>
      </c>
      <c r="N102" s="163">
        <f t="shared" si="32"/>
        <v>127.55900000000111</v>
      </c>
      <c r="O102" s="163">
        <f t="shared" si="32"/>
        <v>-48.881000000001222</v>
      </c>
      <c r="P102" s="163">
        <f t="shared" si="32"/>
        <v>293</v>
      </c>
      <c r="Q102" s="163">
        <f t="shared" si="32"/>
        <v>-3</v>
      </c>
      <c r="R102" s="163">
        <f t="shared" si="32"/>
        <v>44</v>
      </c>
      <c r="S102" s="163">
        <f t="shared" si="32"/>
        <v>16</v>
      </c>
    </row>
    <row r="103" spans="1:20" s="166" customFormat="1" x14ac:dyDescent="0.2">
      <c r="A103" s="29" t="s">
        <v>404</v>
      </c>
      <c r="B103" s="2" t="s">
        <v>189</v>
      </c>
      <c r="C103" s="10" t="s">
        <v>405</v>
      </c>
      <c r="D103" s="10"/>
      <c r="E103" s="9"/>
      <c r="F103" s="8"/>
      <c r="G103" s="100" t="s">
        <v>406</v>
      </c>
      <c r="H103" s="164"/>
      <c r="I103" s="165">
        <f>I102-I100</f>
        <v>-9.0970000000002074</v>
      </c>
      <c r="J103" s="165">
        <f t="shared" ref="J103:S103" si="33">J102-J100</f>
        <v>29.926000000000386</v>
      </c>
      <c r="K103" s="165">
        <f t="shared" si="33"/>
        <v>47.056000000000495</v>
      </c>
      <c r="L103" s="165">
        <f t="shared" si="33"/>
        <v>-24.854999999999563</v>
      </c>
      <c r="M103" s="165">
        <f t="shared" si="33"/>
        <v>-187.26100000000042</v>
      </c>
      <c r="N103" s="165">
        <f t="shared" si="33"/>
        <v>-48.38799999999901</v>
      </c>
      <c r="O103" s="165">
        <f t="shared" si="33"/>
        <v>50.118999999998778</v>
      </c>
      <c r="P103" s="165">
        <f t="shared" si="33"/>
        <v>348</v>
      </c>
      <c r="Q103" s="165">
        <f t="shared" si="33"/>
        <v>12</v>
      </c>
      <c r="R103" s="165">
        <f t="shared" si="33"/>
        <v>59</v>
      </c>
      <c r="S103" s="165">
        <f t="shared" si="33"/>
        <v>31</v>
      </c>
    </row>
    <row r="104" spans="1:20" x14ac:dyDescent="0.2">
      <c r="G104" s="164"/>
      <c r="H104" s="164"/>
      <c r="I104" s="164"/>
      <c r="J104" s="164"/>
      <c r="K104" s="164"/>
      <c r="L104" s="164"/>
      <c r="M104" s="164"/>
      <c r="N104" s="164"/>
      <c r="O104" s="164"/>
      <c r="P104" s="164"/>
      <c r="Q104" s="164"/>
      <c r="R104" s="164"/>
      <c r="S104" s="164"/>
    </row>
    <row r="105" spans="1:20" x14ac:dyDescent="0.2">
      <c r="A105" s="13"/>
      <c r="G105" s="134" t="s">
        <v>407</v>
      </c>
      <c r="H105" s="153">
        <f t="shared" ref="H105:S105" si="34">H32</f>
        <v>2011</v>
      </c>
      <c r="I105" s="153">
        <f t="shared" si="34"/>
        <v>2012</v>
      </c>
      <c r="J105" s="153">
        <f t="shared" si="34"/>
        <v>2013</v>
      </c>
      <c r="K105" s="153">
        <f t="shared" si="34"/>
        <v>2014</v>
      </c>
      <c r="L105" s="153">
        <f t="shared" si="34"/>
        <v>2015</v>
      </c>
      <c r="M105" s="153">
        <f t="shared" si="34"/>
        <v>2016</v>
      </c>
      <c r="N105" s="153">
        <f t="shared" si="34"/>
        <v>2017</v>
      </c>
      <c r="O105" s="153">
        <f t="shared" si="34"/>
        <v>2018</v>
      </c>
      <c r="P105" s="153">
        <f t="shared" si="34"/>
        <v>2019</v>
      </c>
      <c r="Q105" s="153">
        <f t="shared" si="34"/>
        <v>2020</v>
      </c>
      <c r="R105" s="153">
        <f t="shared" si="34"/>
        <v>2021</v>
      </c>
      <c r="S105" s="153">
        <f t="shared" si="34"/>
        <v>2022</v>
      </c>
    </row>
    <row r="106" spans="1:20" s="166" customFormat="1" x14ac:dyDescent="0.2">
      <c r="A106" s="29" t="s">
        <v>408</v>
      </c>
      <c r="B106" s="2" t="s">
        <v>192</v>
      </c>
      <c r="C106" s="29" t="s">
        <v>409</v>
      </c>
      <c r="D106" s="10"/>
      <c r="E106" s="9"/>
      <c r="F106" s="8"/>
      <c r="G106" s="103" t="s">
        <v>407</v>
      </c>
      <c r="H106" s="164" t="s">
        <v>358</v>
      </c>
      <c r="I106" s="167">
        <f t="shared" ref="I106:N106" si="35">(I48-I45+I50)+(I58+I59)+(I82+I83+I84+I85)-(I85-I49)</f>
        <v>2084.7799999999997</v>
      </c>
      <c r="J106" s="167">
        <f t="shared" si="35"/>
        <v>17.59599999999989</v>
      </c>
      <c r="K106" s="167">
        <f t="shared" si="35"/>
        <v>42.496999999999957</v>
      </c>
      <c r="L106" s="167">
        <f t="shared" si="35"/>
        <v>186.35099999999994</v>
      </c>
      <c r="M106" s="167">
        <f t="shared" si="35"/>
        <v>-187.68700000000013</v>
      </c>
      <c r="N106" s="167">
        <f t="shared" si="35"/>
        <v>-48.095999999999606</v>
      </c>
      <c r="O106" s="167">
        <f>(O48-O45+O50)+(O58+O59)+(O82+O83+O84+O85)-(O85-O49)</f>
        <v>49.841000000000122</v>
      </c>
      <c r="P106" s="167">
        <f>(P48-P45+P50)+(P58+P59)+(P82+P83+P84+P85)-(P85-P49)</f>
        <v>348</v>
      </c>
      <c r="Q106" s="167">
        <f>(Q48-Q45+Q50)+(Q58+Q59)+(Q82+Q83+Q84+Q85)-(Q85-Q49)</f>
        <v>12.23700000000008</v>
      </c>
      <c r="R106" s="167">
        <f>(R48-R45+R50)+(R58+R59)+(R82+R83+R84+R85)-(R85-R49)</f>
        <v>59</v>
      </c>
      <c r="S106" s="167">
        <f>(S48-S45+S50)+(S58+S59)+(S82+S83+S84+S85)-(S85-S49)</f>
        <v>31.128000000000611</v>
      </c>
    </row>
    <row r="107" spans="1:20" s="166" customFormat="1" x14ac:dyDescent="0.2">
      <c r="A107" s="29" t="s">
        <v>410</v>
      </c>
      <c r="B107" s="2" t="s">
        <v>194</v>
      </c>
      <c r="C107" s="29" t="s">
        <v>411</v>
      </c>
      <c r="D107" s="10"/>
      <c r="E107" s="9"/>
      <c r="F107" s="8"/>
      <c r="G107" s="160" t="s">
        <v>412</v>
      </c>
      <c r="H107" s="164" t="s">
        <v>358</v>
      </c>
      <c r="I107" s="151">
        <f>I97-I106</f>
        <v>-2093.877</v>
      </c>
      <c r="J107" s="151">
        <f t="shared" ref="J107:S107" si="36">J97-J106</f>
        <v>12.33100000000011</v>
      </c>
      <c r="K107" s="151">
        <f t="shared" si="36"/>
        <v>4.5580000000000496</v>
      </c>
      <c r="L107" s="151">
        <f t="shared" si="36"/>
        <v>-211.20499999999993</v>
      </c>
      <c r="M107" s="151">
        <f t="shared" si="36"/>
        <v>0.42400000000006344</v>
      </c>
      <c r="N107" s="151">
        <f t="shared" si="36"/>
        <v>-0.29600000000039017</v>
      </c>
      <c r="O107" s="151">
        <f t="shared" si="36"/>
        <v>0.18299999999990746</v>
      </c>
      <c r="P107" s="151">
        <f t="shared" si="36"/>
        <v>0.14400000000000546</v>
      </c>
      <c r="Q107" s="151">
        <f t="shared" si="36"/>
        <v>-0.28100000000007697</v>
      </c>
      <c r="R107" s="151">
        <f t="shared" si="36"/>
        <v>0</v>
      </c>
      <c r="S107" s="151">
        <f t="shared" si="36"/>
        <v>-0.1720000000005939</v>
      </c>
    </row>
    <row r="108" spans="1:20" s="166" customFormat="1" x14ac:dyDescent="0.2">
      <c r="A108" s="29"/>
      <c r="B108" s="2"/>
      <c r="C108" s="29"/>
      <c r="D108" s="10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</row>
    <row r="109" spans="1:20" s="166" customFormat="1" x14ac:dyDescent="0.2">
      <c r="A109" s="29"/>
      <c r="B109" s="2"/>
      <c r="C109" s="29"/>
      <c r="D109" s="10"/>
      <c r="E109" s="9"/>
      <c r="F109" s="8"/>
      <c r="G109" s="134" t="s">
        <v>413</v>
      </c>
      <c r="H109" s="153">
        <f>H105</f>
        <v>2011</v>
      </c>
      <c r="I109" s="153">
        <f t="shared" ref="I109:S109" si="37">I105</f>
        <v>2012</v>
      </c>
      <c r="J109" s="153">
        <f t="shared" si="37"/>
        <v>2013</v>
      </c>
      <c r="K109" s="153">
        <f t="shared" si="37"/>
        <v>2014</v>
      </c>
      <c r="L109" s="153">
        <f t="shared" si="37"/>
        <v>2015</v>
      </c>
      <c r="M109" s="153">
        <f t="shared" si="37"/>
        <v>2016</v>
      </c>
      <c r="N109" s="153">
        <f t="shared" si="37"/>
        <v>2017</v>
      </c>
      <c r="O109" s="153">
        <f t="shared" si="37"/>
        <v>2018</v>
      </c>
      <c r="P109" s="153">
        <f t="shared" si="37"/>
        <v>2019</v>
      </c>
      <c r="Q109" s="153">
        <f t="shared" si="37"/>
        <v>2020</v>
      </c>
      <c r="R109" s="153">
        <f t="shared" si="37"/>
        <v>2021</v>
      </c>
      <c r="S109" s="153">
        <f t="shared" si="37"/>
        <v>2022</v>
      </c>
    </row>
    <row r="110" spans="1:20" x14ac:dyDescent="0.2">
      <c r="A110" s="8" t="s">
        <v>414</v>
      </c>
      <c r="B110" s="2" t="s">
        <v>415</v>
      </c>
      <c r="C110" s="34" t="s">
        <v>190</v>
      </c>
      <c r="G110" s="103" t="s">
        <v>191</v>
      </c>
      <c r="H110" s="168">
        <f t="shared" ref="H110:S110" si="38">H33+H38+H41-H45</f>
        <v>0</v>
      </c>
      <c r="I110" s="136">
        <f t="shared" si="38"/>
        <v>2084.6799999999998</v>
      </c>
      <c r="J110" s="136">
        <f t="shared" si="38"/>
        <v>93.814999999999884</v>
      </c>
      <c r="K110" s="136">
        <f t="shared" si="38"/>
        <v>103.28099999999995</v>
      </c>
      <c r="L110" s="136">
        <f t="shared" si="38"/>
        <v>219.29699999999997</v>
      </c>
      <c r="M110" s="136">
        <f t="shared" si="38"/>
        <v>87.881999999999877</v>
      </c>
      <c r="N110" s="136">
        <f t="shared" si="38"/>
        <v>236.64600000000041</v>
      </c>
      <c r="O110" s="136">
        <f t="shared" si="38"/>
        <v>49.841000000000122</v>
      </c>
      <c r="P110" s="136">
        <f t="shared" si="38"/>
        <v>408</v>
      </c>
      <c r="Q110" s="136">
        <f t="shared" si="38"/>
        <v>112.23700000000008</v>
      </c>
      <c r="R110" s="136">
        <f t="shared" si="38"/>
        <v>159</v>
      </c>
      <c r="S110" s="136">
        <f t="shared" si="38"/>
        <v>131.12800000000061</v>
      </c>
    </row>
    <row r="111" spans="1:20" x14ac:dyDescent="0.2">
      <c r="A111" s="8" t="s">
        <v>416</v>
      </c>
      <c r="B111" s="2" t="s">
        <v>197</v>
      </c>
      <c r="C111" s="8" t="s">
        <v>417</v>
      </c>
      <c r="E111" s="169">
        <v>0</v>
      </c>
      <c r="G111" s="46" t="s">
        <v>193</v>
      </c>
      <c r="H111" s="170" t="e">
        <f t="shared" ref="H111:S111" si="39">H110/H33</f>
        <v>#DIV/0!</v>
      </c>
      <c r="I111" s="171">
        <f t="shared" si="39"/>
        <v>1</v>
      </c>
      <c r="J111" s="171">
        <f t="shared" si="39"/>
        <v>0.1129520066845337</v>
      </c>
      <c r="K111" s="171">
        <f t="shared" si="39"/>
        <v>0.1201205846401127</v>
      </c>
      <c r="L111" s="171">
        <f t="shared" si="39"/>
        <v>0.20757561989572798</v>
      </c>
      <c r="M111" s="171">
        <f t="shared" si="39"/>
        <v>7.1091071025546973E-2</v>
      </c>
      <c r="N111" s="171">
        <f t="shared" si="39"/>
        <v>0.16794493385348794</v>
      </c>
      <c r="O111" s="171">
        <f t="shared" si="39"/>
        <v>3.6269999403274508E-2</v>
      </c>
      <c r="P111" s="171">
        <f t="shared" si="39"/>
        <v>0.1872418540614961</v>
      </c>
      <c r="Q111" s="171">
        <f t="shared" si="39"/>
        <v>5.5343688362919169E-2</v>
      </c>
      <c r="R111" s="171">
        <f t="shared" si="39"/>
        <v>7.436856875584659E-2</v>
      </c>
      <c r="S111" s="171">
        <f t="shared" si="39"/>
        <v>5.5717824621935044E-2</v>
      </c>
    </row>
    <row r="112" spans="1:20" x14ac:dyDescent="0.2">
      <c r="A112" s="8" t="s">
        <v>418</v>
      </c>
      <c r="B112" s="2" t="s">
        <v>200</v>
      </c>
      <c r="C112" s="34" t="s">
        <v>195</v>
      </c>
      <c r="E112" s="172"/>
      <c r="G112" s="110" t="s">
        <v>196</v>
      </c>
      <c r="H112" s="173" t="e">
        <f t="shared" ref="H112:S112" si="40">-H33/(H38+H41)</f>
        <v>#DIV/0!</v>
      </c>
      <c r="I112" s="173" t="e">
        <f t="shared" si="40"/>
        <v>#DIV/0!</v>
      </c>
      <c r="J112" s="173">
        <f t="shared" si="40"/>
        <v>1.0384083075265078</v>
      </c>
      <c r="K112" s="173">
        <f t="shared" si="40"/>
        <v>1.0422911686409899</v>
      </c>
      <c r="L112" s="173">
        <f t="shared" si="40"/>
        <v>1.0911152744240618</v>
      </c>
      <c r="M112" s="173">
        <f t="shared" si="40"/>
        <v>0.98841034186093357</v>
      </c>
      <c r="N112" s="173">
        <f t="shared" si="40"/>
        <v>1.1017621858391791</v>
      </c>
      <c r="O112" s="173">
        <f t="shared" si="40"/>
        <v>0.96546185867598766</v>
      </c>
      <c r="P112" s="173">
        <f t="shared" si="40"/>
        <v>1.1553552492046659</v>
      </c>
      <c r="Q112" s="173">
        <f t="shared" si="40"/>
        <v>0.99863942764369851</v>
      </c>
      <c r="R112" s="173">
        <f t="shared" si="40"/>
        <v>1.0210124164278893</v>
      </c>
      <c r="S112" s="173">
        <f t="shared" si="40"/>
        <v>1.0069002636373052</v>
      </c>
    </row>
    <row r="113" spans="1:20" x14ac:dyDescent="0.2">
      <c r="A113" s="8" t="s">
        <v>419</v>
      </c>
      <c r="B113" s="2" t="s">
        <v>420</v>
      </c>
      <c r="C113" s="8" t="s">
        <v>198</v>
      </c>
      <c r="E113" s="172"/>
      <c r="G113" s="103" t="s">
        <v>199</v>
      </c>
      <c r="H113" s="168">
        <f t="shared" ref="H113:S113" si="41">H46</f>
        <v>0</v>
      </c>
      <c r="I113" s="168">
        <f t="shared" si="41"/>
        <v>2084.6799999999998</v>
      </c>
      <c r="J113" s="168">
        <f t="shared" si="41"/>
        <v>30.72099999999989</v>
      </c>
      <c r="K113" s="168">
        <f t="shared" si="41"/>
        <v>34.886999999999944</v>
      </c>
      <c r="L113" s="168">
        <f t="shared" si="41"/>
        <v>88.22199999999998</v>
      </c>
      <c r="M113" s="168">
        <f t="shared" si="41"/>
        <v>-14.495000000000118</v>
      </c>
      <c r="N113" s="168">
        <f t="shared" si="41"/>
        <v>130.14600000000041</v>
      </c>
      <c r="O113" s="168">
        <f t="shared" si="41"/>
        <v>-49.158999999999878</v>
      </c>
      <c r="P113" s="168">
        <f t="shared" si="41"/>
        <v>293</v>
      </c>
      <c r="Q113" s="168">
        <f t="shared" si="41"/>
        <v>-2.76299999999992</v>
      </c>
      <c r="R113" s="168">
        <f t="shared" si="41"/>
        <v>44</v>
      </c>
      <c r="S113" s="168">
        <f t="shared" si="41"/>
        <v>16.128000000000611</v>
      </c>
    </row>
    <row r="114" spans="1:20" x14ac:dyDescent="0.2">
      <c r="A114" s="8" t="s">
        <v>421</v>
      </c>
      <c r="B114" s="2" t="s">
        <v>422</v>
      </c>
      <c r="C114" s="8" t="s">
        <v>201</v>
      </c>
      <c r="D114" s="169">
        <v>-0.3</v>
      </c>
      <c r="E114" s="169">
        <v>0</v>
      </c>
      <c r="G114" s="110" t="s">
        <v>202</v>
      </c>
      <c r="H114" s="174" t="e">
        <f t="shared" ref="H114:S114" si="42">H46/H33</f>
        <v>#DIV/0!</v>
      </c>
      <c r="I114" s="175">
        <f t="shared" si="42"/>
        <v>1</v>
      </c>
      <c r="J114" s="175">
        <f t="shared" si="42"/>
        <v>3.698767358477377E-2</v>
      </c>
      <c r="K114" s="175">
        <f t="shared" si="42"/>
        <v>4.0575196176834145E-2</v>
      </c>
      <c r="L114" s="175">
        <f t="shared" si="42"/>
        <v>8.3506552020506039E-2</v>
      </c>
      <c r="M114" s="175">
        <f t="shared" si="42"/>
        <v>-1.1725553293226295E-2</v>
      </c>
      <c r="N114" s="175">
        <f t="shared" si="42"/>
        <v>9.2363113516797546E-2</v>
      </c>
      <c r="O114" s="175">
        <f t="shared" si="42"/>
        <v>-3.5773698374141023E-2</v>
      </c>
      <c r="P114" s="175">
        <f t="shared" si="42"/>
        <v>0.13446535107847638</v>
      </c>
      <c r="Q114" s="175">
        <f t="shared" si="42"/>
        <v>-1.3624260355029191E-3</v>
      </c>
      <c r="R114" s="175">
        <f t="shared" si="42"/>
        <v>2.05799812909261E-2</v>
      </c>
      <c r="S114" s="175">
        <f t="shared" si="42"/>
        <v>6.8529762941751437E-3</v>
      </c>
    </row>
    <row r="115" spans="1:20" x14ac:dyDescent="0.2">
      <c r="A115" s="8" t="s">
        <v>423</v>
      </c>
      <c r="B115" s="2" t="s">
        <v>424</v>
      </c>
      <c r="C115" s="8" t="s">
        <v>204</v>
      </c>
      <c r="E115" s="172"/>
      <c r="G115" s="46" t="s">
        <v>205</v>
      </c>
      <c r="H115" s="168">
        <f t="shared" ref="H115:S115" si="43">H29+H30</f>
        <v>0</v>
      </c>
      <c r="I115" s="168">
        <f t="shared" si="43"/>
        <v>2084.6799999999998</v>
      </c>
      <c r="J115" s="168">
        <f t="shared" si="43"/>
        <v>30.728000000000002</v>
      </c>
      <c r="K115" s="168">
        <f t="shared" si="43"/>
        <v>56.423999999999999</v>
      </c>
      <c r="L115" s="168">
        <f t="shared" si="43"/>
        <v>144.66800000000001</v>
      </c>
      <c r="M115" s="168">
        <f t="shared" si="43"/>
        <v>128.98500000000001</v>
      </c>
      <c r="N115" s="168">
        <f t="shared" si="43"/>
        <v>256.88100000000003</v>
      </c>
      <c r="O115" s="168">
        <f t="shared" si="43"/>
        <v>208</v>
      </c>
      <c r="P115" s="168">
        <f t="shared" si="43"/>
        <v>501</v>
      </c>
      <c r="Q115" s="168">
        <f t="shared" si="43"/>
        <v>498</v>
      </c>
      <c r="R115" s="168">
        <f t="shared" si="43"/>
        <v>542</v>
      </c>
      <c r="S115" s="168">
        <f t="shared" si="43"/>
        <v>558</v>
      </c>
    </row>
    <row r="116" spans="1:20" x14ac:dyDescent="0.2">
      <c r="C116" s="8"/>
      <c r="D116" s="8"/>
      <c r="E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</row>
    <row r="117" spans="1:20" x14ac:dyDescent="0.2">
      <c r="E117" s="8"/>
      <c r="G117" s="134" t="s">
        <v>206</v>
      </c>
      <c r="H117" s="153">
        <f t="shared" ref="H117:S117" si="44">H105</f>
        <v>2011</v>
      </c>
      <c r="I117" s="153">
        <f t="shared" si="44"/>
        <v>2012</v>
      </c>
      <c r="J117" s="153">
        <f t="shared" si="44"/>
        <v>2013</v>
      </c>
      <c r="K117" s="153">
        <f t="shared" si="44"/>
        <v>2014</v>
      </c>
      <c r="L117" s="153">
        <f t="shared" si="44"/>
        <v>2015</v>
      </c>
      <c r="M117" s="153">
        <f t="shared" si="44"/>
        <v>2016</v>
      </c>
      <c r="N117" s="153">
        <f t="shared" si="44"/>
        <v>2017</v>
      </c>
      <c r="O117" s="153">
        <f t="shared" si="44"/>
        <v>2018</v>
      </c>
      <c r="P117" s="153">
        <f t="shared" si="44"/>
        <v>2019</v>
      </c>
      <c r="Q117" s="153">
        <f t="shared" si="44"/>
        <v>2020</v>
      </c>
      <c r="R117" s="153">
        <f t="shared" si="44"/>
        <v>2021</v>
      </c>
      <c r="S117" s="153">
        <f t="shared" si="44"/>
        <v>2022</v>
      </c>
    </row>
    <row r="118" spans="1:20" x14ac:dyDescent="0.2">
      <c r="A118" s="34" t="s">
        <v>425</v>
      </c>
      <c r="B118" s="2" t="s">
        <v>426</v>
      </c>
      <c r="C118" s="10" t="s">
        <v>208</v>
      </c>
      <c r="E118" s="172"/>
      <c r="F118" s="37"/>
      <c r="G118" s="103" t="s">
        <v>209</v>
      </c>
      <c r="H118" s="168">
        <f t="shared" ref="H118:S118" si="45">H6+H12</f>
        <v>0</v>
      </c>
      <c r="I118" s="136">
        <f t="shared" si="45"/>
        <v>0.1</v>
      </c>
      <c r="J118" s="136">
        <f t="shared" si="45"/>
        <v>81.132999999999996</v>
      </c>
      <c r="K118" s="136">
        <f t="shared" si="45"/>
        <v>152.84</v>
      </c>
      <c r="L118" s="136">
        <f t="shared" si="45"/>
        <v>109.02200000000001</v>
      </c>
      <c r="M118" s="136">
        <f t="shared" si="45"/>
        <v>221.303</v>
      </c>
      <c r="N118" s="136">
        <f t="shared" si="45"/>
        <v>101.75</v>
      </c>
      <c r="O118" s="136">
        <f t="shared" si="45"/>
        <v>104</v>
      </c>
      <c r="P118" s="136">
        <f t="shared" si="45"/>
        <v>264</v>
      </c>
      <c r="Q118" s="136">
        <f t="shared" si="45"/>
        <v>273</v>
      </c>
      <c r="R118" s="136">
        <f t="shared" si="45"/>
        <v>305</v>
      </c>
      <c r="S118" s="136">
        <f t="shared" si="45"/>
        <v>298</v>
      </c>
    </row>
    <row r="119" spans="1:20" x14ac:dyDescent="0.2">
      <c r="A119" s="8" t="s">
        <v>427</v>
      </c>
      <c r="B119" s="2" t="s">
        <v>428</v>
      </c>
      <c r="C119" s="8" t="s">
        <v>42</v>
      </c>
      <c r="E119" s="172"/>
      <c r="F119" s="37"/>
      <c r="G119" s="110" t="s">
        <v>211</v>
      </c>
      <c r="H119" s="168">
        <f t="shared" ref="H119:S119" si="46">H19</f>
        <v>0</v>
      </c>
      <c r="I119" s="168">
        <f t="shared" si="46"/>
        <v>55.875</v>
      </c>
      <c r="J119" s="168">
        <f t="shared" si="46"/>
        <v>76.986999999999995</v>
      </c>
      <c r="K119" s="168">
        <f t="shared" si="46"/>
        <v>113.575</v>
      </c>
      <c r="L119" s="168">
        <f t="shared" si="46"/>
        <v>116.371</v>
      </c>
      <c r="M119" s="168">
        <f t="shared" si="46"/>
        <v>415.85300000000001</v>
      </c>
      <c r="N119" s="168">
        <f t="shared" si="46"/>
        <v>320.95400000000001</v>
      </c>
      <c r="O119" s="168">
        <f t="shared" si="46"/>
        <v>287</v>
      </c>
      <c r="P119" s="168">
        <f t="shared" si="46"/>
        <v>124.456</v>
      </c>
      <c r="Q119" s="168">
        <f t="shared" si="46"/>
        <v>110.5</v>
      </c>
      <c r="R119" s="168">
        <f t="shared" si="46"/>
        <v>115.5</v>
      </c>
      <c r="S119" s="168">
        <f t="shared" si="46"/>
        <v>71</v>
      </c>
    </row>
    <row r="120" spans="1:20" x14ac:dyDescent="0.2">
      <c r="A120" s="8" t="s">
        <v>429</v>
      </c>
      <c r="B120" s="2" t="s">
        <v>203</v>
      </c>
      <c r="C120" s="8" t="s">
        <v>430</v>
      </c>
      <c r="E120" s="172"/>
      <c r="F120" s="37"/>
      <c r="G120" s="110" t="s">
        <v>212</v>
      </c>
      <c r="H120" s="168">
        <f t="shared" ref="H120:S120" si="47">H119-H118</f>
        <v>0</v>
      </c>
      <c r="I120" s="136">
        <f t="shared" si="47"/>
        <v>55.774999999999999</v>
      </c>
      <c r="J120" s="136">
        <f t="shared" si="47"/>
        <v>-4.1460000000000008</v>
      </c>
      <c r="K120" s="136">
        <f t="shared" si="47"/>
        <v>-39.265000000000001</v>
      </c>
      <c r="L120" s="136">
        <f t="shared" si="47"/>
        <v>7.3489999999999895</v>
      </c>
      <c r="M120" s="136">
        <f>M119-M118</f>
        <v>194.55</v>
      </c>
      <c r="N120" s="136">
        <f t="shared" si="47"/>
        <v>219.20400000000001</v>
      </c>
      <c r="O120" s="136">
        <f t="shared" si="47"/>
        <v>183</v>
      </c>
      <c r="P120" s="136">
        <f t="shared" si="47"/>
        <v>-139.54399999999998</v>
      </c>
      <c r="Q120" s="136">
        <f t="shared" si="47"/>
        <v>-162.5</v>
      </c>
      <c r="R120" s="136">
        <f t="shared" si="47"/>
        <v>-189.5</v>
      </c>
      <c r="S120" s="136">
        <f t="shared" si="47"/>
        <v>-227</v>
      </c>
    </row>
    <row r="121" spans="1:20" x14ac:dyDescent="0.2">
      <c r="A121" s="34" t="s">
        <v>431</v>
      </c>
      <c r="B121" s="2" t="s">
        <v>207</v>
      </c>
      <c r="C121" s="8" t="s">
        <v>432</v>
      </c>
      <c r="E121" s="169">
        <v>0.4</v>
      </c>
      <c r="F121" s="176" t="s">
        <v>433</v>
      </c>
      <c r="G121" s="46" t="s">
        <v>213</v>
      </c>
      <c r="H121" s="177" t="e">
        <f t="shared" ref="H121:S121" si="48">H120/H33</f>
        <v>#DIV/0!</v>
      </c>
      <c r="I121" s="171">
        <f t="shared" si="48"/>
        <v>2.6754705758197904E-2</v>
      </c>
      <c r="J121" s="171">
        <f t="shared" si="48"/>
        <v>-4.9917286117793251E-3</v>
      </c>
      <c r="K121" s="171">
        <f t="shared" si="48"/>
        <v>-4.5667012866781188E-2</v>
      </c>
      <c r="L121" s="171">
        <f t="shared" si="48"/>
        <v>6.9561974427999607E-3</v>
      </c>
      <c r="M121" s="171">
        <f t="shared" si="48"/>
        <v>0.1573788474092554</v>
      </c>
      <c r="N121" s="171">
        <f t="shared" si="48"/>
        <v>0.15556654784116319</v>
      </c>
      <c r="O121" s="171">
        <f t="shared" si="48"/>
        <v>0.13317168377037417</v>
      </c>
      <c r="P121" s="171">
        <f t="shared" si="48"/>
        <v>-6.4040385497934824E-2</v>
      </c>
      <c r="Q121" s="171">
        <f t="shared" si="48"/>
        <v>-8.0128205128205135E-2</v>
      </c>
      <c r="R121" s="171">
        <f t="shared" si="48"/>
        <v>-8.8634237605238544E-2</v>
      </c>
      <c r="S121" s="171">
        <f t="shared" si="48"/>
        <v>-9.6454961481752158E-2</v>
      </c>
    </row>
    <row r="122" spans="1:20" x14ac:dyDescent="0.2">
      <c r="A122" s="8" t="s">
        <v>434</v>
      </c>
      <c r="B122" s="2" t="s">
        <v>210</v>
      </c>
      <c r="C122" s="8" t="s">
        <v>435</v>
      </c>
      <c r="D122" s="178">
        <v>0</v>
      </c>
      <c r="E122" s="178">
        <v>5</v>
      </c>
      <c r="F122" s="37"/>
      <c r="G122" s="100" t="s">
        <v>215</v>
      </c>
      <c r="H122" s="173" t="e">
        <f t="shared" ref="H122:S122" si="49">H120/H110</f>
        <v>#DIV/0!</v>
      </c>
      <c r="I122" s="173">
        <f t="shared" si="49"/>
        <v>2.6754705758197904E-2</v>
      </c>
      <c r="J122" s="173">
        <f t="shared" si="49"/>
        <v>-4.419335927090557E-2</v>
      </c>
      <c r="K122" s="173">
        <f t="shared" si="49"/>
        <v>-0.38017641192474916</v>
      </c>
      <c r="L122" s="173">
        <f t="shared" si="49"/>
        <v>3.351163034606032E-2</v>
      </c>
      <c r="M122" s="173">
        <f>M120/M110</f>
        <v>2.2137639106984399</v>
      </c>
      <c r="N122" s="173">
        <f t="shared" si="49"/>
        <v>0.92629497223701063</v>
      </c>
      <c r="O122" s="173">
        <f t="shared" si="49"/>
        <v>3.67167592945566</v>
      </c>
      <c r="P122" s="173">
        <f t="shared" si="49"/>
        <v>-0.34201960784313723</v>
      </c>
      <c r="Q122" s="173">
        <f t="shared" si="49"/>
        <v>-1.4478291472509055</v>
      </c>
      <c r="R122" s="173">
        <f t="shared" si="49"/>
        <v>-1.1918238993710693</v>
      </c>
      <c r="S122" s="173">
        <f t="shared" si="49"/>
        <v>-1.7311329388078742</v>
      </c>
    </row>
    <row r="123" spans="1:20" x14ac:dyDescent="0.2">
      <c r="A123" s="8" t="s">
        <v>436</v>
      </c>
      <c r="B123" s="2" t="s">
        <v>437</v>
      </c>
      <c r="C123" s="8" t="s">
        <v>217</v>
      </c>
      <c r="E123" s="172"/>
      <c r="F123" s="37"/>
      <c r="G123" s="110" t="s">
        <v>218</v>
      </c>
      <c r="H123" s="168">
        <f t="shared" ref="H123:S123" si="50">-(H75+H77+H78+H79+H80+H81)</f>
        <v>0</v>
      </c>
      <c r="I123" s="168">
        <f t="shared" si="50"/>
        <v>0</v>
      </c>
      <c r="J123" s="168">
        <f t="shared" si="50"/>
        <v>0</v>
      </c>
      <c r="K123" s="168">
        <f t="shared" si="50"/>
        <v>0</v>
      </c>
      <c r="L123" s="168">
        <f t="shared" si="50"/>
        <v>5.0999999999999997E-2</v>
      </c>
      <c r="M123" s="168">
        <f t="shared" si="50"/>
        <v>1.218</v>
      </c>
      <c r="N123" s="168">
        <f t="shared" si="50"/>
        <v>17.8</v>
      </c>
      <c r="O123" s="168">
        <f t="shared" si="50"/>
        <v>24</v>
      </c>
      <c r="P123" s="168">
        <f t="shared" si="50"/>
        <v>25</v>
      </c>
      <c r="Q123" s="168">
        <f t="shared" si="50"/>
        <v>25</v>
      </c>
      <c r="R123" s="168">
        <f t="shared" si="50"/>
        <v>28</v>
      </c>
      <c r="S123" s="168">
        <f t="shared" si="50"/>
        <v>0</v>
      </c>
    </row>
    <row r="124" spans="1:20" x14ac:dyDescent="0.2">
      <c r="A124" s="8" t="s">
        <v>438</v>
      </c>
      <c r="B124" s="2" t="s">
        <v>439</v>
      </c>
      <c r="C124" s="8" t="s">
        <v>440</v>
      </c>
      <c r="E124" s="178">
        <v>1.2</v>
      </c>
      <c r="F124" s="176" t="s">
        <v>433</v>
      </c>
      <c r="G124" s="110" t="s">
        <v>220</v>
      </c>
      <c r="H124" s="179" t="e">
        <f t="shared" ref="H124:S124" si="51">H110/H123</f>
        <v>#DIV/0!</v>
      </c>
      <c r="I124" s="173" t="e">
        <f t="shared" si="51"/>
        <v>#DIV/0!</v>
      </c>
      <c r="J124" s="173" t="e">
        <f t="shared" si="51"/>
        <v>#DIV/0!</v>
      </c>
      <c r="K124" s="173" t="e">
        <f t="shared" si="51"/>
        <v>#DIV/0!</v>
      </c>
      <c r="L124" s="173">
        <f t="shared" si="51"/>
        <v>4299.9411764705883</v>
      </c>
      <c r="M124" s="173">
        <f t="shared" si="51"/>
        <v>72.152709359605808</v>
      </c>
      <c r="N124" s="173">
        <f t="shared" si="51"/>
        <v>13.294719101123619</v>
      </c>
      <c r="O124" s="173">
        <f t="shared" si="51"/>
        <v>2.0767083333333383</v>
      </c>
      <c r="P124" s="173">
        <f t="shared" si="51"/>
        <v>16.32</v>
      </c>
      <c r="Q124" s="173">
        <f t="shared" si="51"/>
        <v>4.489480000000003</v>
      </c>
      <c r="R124" s="173">
        <f t="shared" si="51"/>
        <v>5.6785714285714288</v>
      </c>
      <c r="S124" s="173" t="e">
        <f t="shared" si="51"/>
        <v>#DIV/0!</v>
      </c>
    </row>
    <row r="125" spans="1:20" x14ac:dyDescent="0.2">
      <c r="A125" s="38" t="s">
        <v>441</v>
      </c>
      <c r="B125" s="2" t="s">
        <v>442</v>
      </c>
      <c r="C125" s="8" t="s">
        <v>222</v>
      </c>
      <c r="E125" s="178">
        <v>0</v>
      </c>
      <c r="F125" s="37"/>
      <c r="G125" s="103" t="s">
        <v>223</v>
      </c>
      <c r="H125" s="168">
        <f t="shared" ref="H125:S125" si="52">H5-H20</f>
        <v>0</v>
      </c>
      <c r="I125" s="168">
        <f t="shared" si="52"/>
        <v>-9.0970000000000013</v>
      </c>
      <c r="J125" s="168">
        <f t="shared" si="52"/>
        <v>20.83</v>
      </c>
      <c r="K125" s="168">
        <f t="shared" si="52"/>
        <v>67.885000000000005</v>
      </c>
      <c r="L125" s="168">
        <f t="shared" si="52"/>
        <v>43.03100000000002</v>
      </c>
      <c r="M125" s="168">
        <f t="shared" si="52"/>
        <v>-42.084000000000003</v>
      </c>
      <c r="N125" s="168">
        <f t="shared" si="52"/>
        <v>-171.67000000000002</v>
      </c>
      <c r="O125" s="168">
        <f t="shared" si="52"/>
        <v>-55.599999999999994</v>
      </c>
      <c r="P125" s="168">
        <f t="shared" si="52"/>
        <v>250</v>
      </c>
      <c r="Q125" s="168">
        <f t="shared" si="52"/>
        <v>250</v>
      </c>
      <c r="R125" s="168">
        <f t="shared" si="52"/>
        <v>327</v>
      </c>
      <c r="S125" s="168">
        <f t="shared" si="52"/>
        <v>378.45600000000002</v>
      </c>
    </row>
    <row r="126" spans="1:20" x14ac:dyDescent="0.2">
      <c r="A126" s="34" t="s">
        <v>443</v>
      </c>
      <c r="B126" s="2" t="s">
        <v>444</v>
      </c>
      <c r="C126" s="8" t="s">
        <v>225</v>
      </c>
      <c r="E126" s="178">
        <v>1</v>
      </c>
      <c r="F126" s="176" t="s">
        <v>433</v>
      </c>
      <c r="G126" s="110" t="s">
        <v>226</v>
      </c>
      <c r="H126" s="179" t="e">
        <f t="shared" ref="H126:S126" si="53">H5/H20</f>
        <v>#DIV/0!</v>
      </c>
      <c r="I126" s="179">
        <f t="shared" si="53"/>
        <v>0.83719015659955254</v>
      </c>
      <c r="J126" s="179">
        <f t="shared" si="53"/>
        <v>1.2705651603517476</v>
      </c>
      <c r="K126" s="179">
        <f t="shared" si="53"/>
        <v>1.5977107638124588</v>
      </c>
      <c r="L126" s="179">
        <f t="shared" si="53"/>
        <v>1.3697742564728328</v>
      </c>
      <c r="M126" s="179">
        <f t="shared" si="53"/>
        <v>0.86584848822938743</v>
      </c>
      <c r="N126" s="179">
        <f t="shared" si="53"/>
        <v>0.42776666666666663</v>
      </c>
      <c r="O126" s="179">
        <f t="shared" si="53"/>
        <v>0.72199999999999998</v>
      </c>
      <c r="P126" s="179">
        <f t="shared" si="53"/>
        <v>4.125</v>
      </c>
      <c r="Q126" s="179">
        <f t="shared" si="53"/>
        <v>4.2051282051282053</v>
      </c>
      <c r="R126" s="179">
        <f t="shared" si="53"/>
        <v>6.0307692307692307</v>
      </c>
      <c r="S126" s="179" t="e">
        <f t="shared" si="53"/>
        <v>#DIV/0!</v>
      </c>
    </row>
    <row r="127" spans="1:20" x14ac:dyDescent="0.2">
      <c r="A127" s="34" t="s">
        <v>445</v>
      </c>
      <c r="B127" s="2" t="s">
        <v>214</v>
      </c>
      <c r="C127" s="34" t="s">
        <v>228</v>
      </c>
      <c r="E127" s="178">
        <v>1</v>
      </c>
      <c r="F127" s="37"/>
      <c r="G127" s="46" t="s">
        <v>229</v>
      </c>
      <c r="H127" s="179" t="e">
        <f t="shared" ref="H127:S127" si="54">-H6/((H38+H41-H45+H47)/12)</f>
        <v>#DIV/0!</v>
      </c>
      <c r="I127" s="179" t="e">
        <f t="shared" si="54"/>
        <v>#DIV/0!</v>
      </c>
      <c r="J127" s="179">
        <f t="shared" si="54"/>
        <v>1.3214722477472036</v>
      </c>
      <c r="K127" s="179">
        <f t="shared" si="54"/>
        <v>2.4243930359241306</v>
      </c>
      <c r="L127" s="179">
        <f t="shared" si="54"/>
        <v>1.5627612288851807</v>
      </c>
      <c r="M127" s="179">
        <f t="shared" si="54"/>
        <v>2.3102611927314229</v>
      </c>
      <c r="N127" s="179">
        <f t="shared" si="54"/>
        <v>1.0394169730577334</v>
      </c>
      <c r="O127" s="179">
        <f t="shared" si="54"/>
        <v>0.94236686613935405</v>
      </c>
      <c r="P127" s="179">
        <f t="shared" si="54"/>
        <v>1.7888198757763973</v>
      </c>
      <c r="Q127" s="179">
        <f t="shared" si="54"/>
        <v>1.7100236302715941</v>
      </c>
      <c r="R127" s="179">
        <f t="shared" si="54"/>
        <v>1.8494188984335524</v>
      </c>
      <c r="S127" s="179">
        <f t="shared" si="54"/>
        <v>1.6091422317938788</v>
      </c>
    </row>
    <row r="128" spans="1:20" x14ac:dyDescent="0.2">
      <c r="A128" s="34"/>
      <c r="C128" s="34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</row>
    <row r="129" spans="1:21" x14ac:dyDescent="0.2">
      <c r="C129" s="8"/>
      <c r="F129" s="37"/>
      <c r="G129" s="134" t="s">
        <v>230</v>
      </c>
      <c r="H129" s="153">
        <f t="shared" ref="H129:S129" si="55">H117</f>
        <v>2011</v>
      </c>
      <c r="I129" s="153">
        <f t="shared" si="55"/>
        <v>2012</v>
      </c>
      <c r="J129" s="153">
        <f t="shared" si="55"/>
        <v>2013</v>
      </c>
      <c r="K129" s="153">
        <f t="shared" si="55"/>
        <v>2014</v>
      </c>
      <c r="L129" s="153">
        <f t="shared" si="55"/>
        <v>2015</v>
      </c>
      <c r="M129" s="153">
        <f t="shared" si="55"/>
        <v>2016</v>
      </c>
      <c r="N129" s="153">
        <f t="shared" si="55"/>
        <v>2017</v>
      </c>
      <c r="O129" s="153">
        <f t="shared" si="55"/>
        <v>2018</v>
      </c>
      <c r="P129" s="153">
        <f t="shared" si="55"/>
        <v>2019</v>
      </c>
      <c r="Q129" s="153">
        <f t="shared" si="55"/>
        <v>2020</v>
      </c>
      <c r="R129" s="153">
        <f t="shared" si="55"/>
        <v>2021</v>
      </c>
      <c r="S129" s="153">
        <f t="shared" si="55"/>
        <v>2022</v>
      </c>
    </row>
    <row r="130" spans="1:21" x14ac:dyDescent="0.2">
      <c r="A130" s="34" t="s">
        <v>446</v>
      </c>
      <c r="B130" s="2" t="s">
        <v>216</v>
      </c>
      <c r="C130" s="34" t="s">
        <v>232</v>
      </c>
      <c r="E130" s="169">
        <v>0.6</v>
      </c>
      <c r="F130" s="37"/>
      <c r="G130" s="103" t="s">
        <v>233</v>
      </c>
      <c r="H130" s="177" t="e">
        <f t="shared" ref="H130:S130" si="56">H17/H4</f>
        <v>#DIV/0!</v>
      </c>
      <c r="I130" s="177">
        <f t="shared" si="56"/>
        <v>0</v>
      </c>
      <c r="J130" s="177">
        <f t="shared" si="56"/>
        <v>0</v>
      </c>
      <c r="K130" s="177">
        <f t="shared" si="56"/>
        <v>0</v>
      </c>
      <c r="L130" s="177">
        <f t="shared" si="56"/>
        <v>0</v>
      </c>
      <c r="M130" s="177">
        <f t="shared" si="56"/>
        <v>0</v>
      </c>
      <c r="N130" s="177">
        <f t="shared" si="56"/>
        <v>0</v>
      </c>
      <c r="O130" s="177">
        <f t="shared" si="56"/>
        <v>0</v>
      </c>
      <c r="P130" s="177">
        <f t="shared" si="56"/>
        <v>0</v>
      </c>
      <c r="Q130" s="177">
        <f t="shared" si="56"/>
        <v>0</v>
      </c>
      <c r="R130" s="177">
        <f t="shared" si="56"/>
        <v>0</v>
      </c>
      <c r="S130" s="177">
        <f t="shared" si="56"/>
        <v>0</v>
      </c>
    </row>
    <row r="131" spans="1:21" x14ac:dyDescent="0.2">
      <c r="A131" s="34" t="s">
        <v>447</v>
      </c>
      <c r="B131" s="2" t="s">
        <v>219</v>
      </c>
      <c r="C131" s="34" t="s">
        <v>235</v>
      </c>
      <c r="E131" s="169">
        <v>0.4</v>
      </c>
      <c r="F131" s="37"/>
      <c r="G131" s="46" t="s">
        <v>236</v>
      </c>
      <c r="H131" s="177" t="e">
        <f t="shared" ref="H131:S131" si="57">H27/H17</f>
        <v>#DIV/0!</v>
      </c>
      <c r="I131" s="177" t="e">
        <f t="shared" si="57"/>
        <v>#DIV/0!</v>
      </c>
      <c r="J131" s="177" t="e">
        <f t="shared" si="57"/>
        <v>#DIV/0!</v>
      </c>
      <c r="K131" s="177" t="e">
        <f t="shared" si="57"/>
        <v>#DIV/0!</v>
      </c>
      <c r="L131" s="177" t="e">
        <f t="shared" si="57"/>
        <v>#DIV/0!</v>
      </c>
      <c r="M131" s="177" t="e">
        <f t="shared" si="57"/>
        <v>#DIV/0!</v>
      </c>
      <c r="N131" s="177" t="e">
        <f t="shared" si="57"/>
        <v>#DIV/0!</v>
      </c>
      <c r="O131" s="177" t="e">
        <f t="shared" si="57"/>
        <v>#DIV/0!</v>
      </c>
      <c r="P131" s="177" t="e">
        <f t="shared" si="57"/>
        <v>#DIV/0!</v>
      </c>
      <c r="Q131" s="177" t="e">
        <f t="shared" si="57"/>
        <v>#DIV/0!</v>
      </c>
      <c r="R131" s="177" t="e">
        <f t="shared" si="57"/>
        <v>#DIV/0!</v>
      </c>
      <c r="S131" s="177" t="e">
        <f t="shared" si="57"/>
        <v>#DIV/0!</v>
      </c>
    </row>
    <row r="132" spans="1:21" x14ac:dyDescent="0.2">
      <c r="A132" s="34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</row>
    <row r="133" spans="1:21" x14ac:dyDescent="0.2">
      <c r="C133" s="8"/>
      <c r="F133" s="37"/>
      <c r="G133" s="134" t="s">
        <v>237</v>
      </c>
      <c r="H133" s="153">
        <f t="shared" ref="H133:S133" si="58">H117</f>
        <v>2011</v>
      </c>
      <c r="I133" s="153">
        <f t="shared" si="58"/>
        <v>2012</v>
      </c>
      <c r="J133" s="153">
        <f t="shared" si="58"/>
        <v>2013</v>
      </c>
      <c r="K133" s="153">
        <f t="shared" si="58"/>
        <v>2014</v>
      </c>
      <c r="L133" s="153">
        <f t="shared" si="58"/>
        <v>2015</v>
      </c>
      <c r="M133" s="153">
        <f t="shared" si="58"/>
        <v>2016</v>
      </c>
      <c r="N133" s="153">
        <f t="shared" si="58"/>
        <v>2017</v>
      </c>
      <c r="O133" s="153">
        <f t="shared" si="58"/>
        <v>2018</v>
      </c>
      <c r="P133" s="153">
        <f t="shared" si="58"/>
        <v>2019</v>
      </c>
      <c r="Q133" s="153">
        <f t="shared" si="58"/>
        <v>2020</v>
      </c>
      <c r="R133" s="153">
        <f t="shared" si="58"/>
        <v>2021</v>
      </c>
      <c r="S133" s="153">
        <f t="shared" si="58"/>
        <v>2022</v>
      </c>
    </row>
    <row r="134" spans="1:21" x14ac:dyDescent="0.2">
      <c r="A134" s="34" t="s">
        <v>448</v>
      </c>
      <c r="B134" s="2" t="s">
        <v>221</v>
      </c>
      <c r="C134" s="39" t="s">
        <v>239</v>
      </c>
      <c r="E134" s="172"/>
      <c r="F134" s="37"/>
      <c r="G134" s="110" t="s">
        <v>240</v>
      </c>
      <c r="H134" s="180" t="e">
        <f t="shared" ref="H134:S134" si="59">H10/H4</f>
        <v>#DIV/0!</v>
      </c>
      <c r="I134" s="180">
        <f t="shared" si="59"/>
        <v>0.97814780989930661</v>
      </c>
      <c r="J134" s="180">
        <f t="shared" si="59"/>
        <v>0.98980089446667485</v>
      </c>
      <c r="K134" s="180">
        <f t="shared" si="59"/>
        <v>0.98267575147484298</v>
      </c>
      <c r="L134" s="180">
        <f t="shared" si="59"/>
        <v>0.98491279582356595</v>
      </c>
      <c r="M134" s="180">
        <f t="shared" si="59"/>
        <v>0.97496390047758485</v>
      </c>
      <c r="N134" s="180">
        <f t="shared" si="59"/>
        <v>0.98820694680949805</v>
      </c>
      <c r="O134" s="180">
        <f t="shared" si="59"/>
        <v>0.98662826769393186</v>
      </c>
      <c r="P134" s="180">
        <f t="shared" si="59"/>
        <v>0.96980648703051375</v>
      </c>
      <c r="Q134" s="180">
        <f t="shared" si="59"/>
        <v>0.969942726231386</v>
      </c>
      <c r="R134" s="180">
        <f t="shared" si="59"/>
        <v>0.96423847101217897</v>
      </c>
      <c r="S134" s="180">
        <f t="shared" si="59"/>
        <v>0.96538392727456324</v>
      </c>
    </row>
    <row r="135" spans="1:21" x14ac:dyDescent="0.2">
      <c r="A135" s="34" t="s">
        <v>449</v>
      </c>
      <c r="B135" s="2" t="s">
        <v>224</v>
      </c>
      <c r="C135" s="39" t="s">
        <v>242</v>
      </c>
      <c r="E135" s="172"/>
      <c r="F135" s="37"/>
      <c r="G135" s="110" t="s">
        <v>243</v>
      </c>
      <c r="H135" s="180" t="e">
        <f t="shared" ref="H135:S135" si="60">-(H58)/H15</f>
        <v>#DIV/0!</v>
      </c>
      <c r="I135" s="180">
        <f t="shared" si="60"/>
        <v>0</v>
      </c>
      <c r="J135" s="180">
        <f t="shared" si="60"/>
        <v>8.0695878172862626E-3</v>
      </c>
      <c r="K135" s="180">
        <f t="shared" si="60"/>
        <v>5.9072896632583541E-3</v>
      </c>
      <c r="L135" s="180">
        <f t="shared" si="60"/>
        <v>3.1681798197670092E-3</v>
      </c>
      <c r="M135" s="180">
        <f t="shared" si="60"/>
        <v>2.5939836935820599E-2</v>
      </c>
      <c r="N135" s="180">
        <f t="shared" si="60"/>
        <v>2.626754080066955E-2</v>
      </c>
      <c r="O135" s="180">
        <f t="shared" si="60"/>
        <v>0</v>
      </c>
      <c r="P135" s="180">
        <f t="shared" si="60"/>
        <v>5.6606443700174536E-3</v>
      </c>
      <c r="Q135" s="180">
        <f t="shared" si="60"/>
        <v>9.4477774103642123E-3</v>
      </c>
      <c r="R135" s="180">
        <f t="shared" si="60"/>
        <v>9.4611854865414638E-3</v>
      </c>
      <c r="S135" s="180">
        <f t="shared" si="60"/>
        <v>9.4746316736936849E-3</v>
      </c>
    </row>
    <row r="136" spans="1:21" x14ac:dyDescent="0.2">
      <c r="A136" s="34" t="s">
        <v>450</v>
      </c>
      <c r="B136" s="2" t="s">
        <v>227</v>
      </c>
      <c r="C136" s="8" t="s">
        <v>245</v>
      </c>
      <c r="E136" s="172"/>
      <c r="F136" s="37"/>
      <c r="G136" s="103" t="s">
        <v>246</v>
      </c>
      <c r="H136" s="173" t="e">
        <f t="shared" ref="H136:S136" si="61">H33/H4</f>
        <v>#DIV/0!</v>
      </c>
      <c r="I136" s="173">
        <f t="shared" si="61"/>
        <v>0.97385146135178258</v>
      </c>
      <c r="J136" s="173">
        <f t="shared" si="61"/>
        <v>8.660163242826964E-2</v>
      </c>
      <c r="K136" s="173">
        <f t="shared" si="61"/>
        <v>8.2087399143964845E-2</v>
      </c>
      <c r="L136" s="173">
        <f t="shared" si="61"/>
        <v>9.9993402980319585E-2</v>
      </c>
      <c r="M136" s="173">
        <f t="shared" si="61"/>
        <v>0.11394314442740064</v>
      </c>
      <c r="N136" s="173">
        <f t="shared" si="61"/>
        <v>0.12948823865103573</v>
      </c>
      <c r="O136" s="173">
        <f t="shared" si="61"/>
        <v>0.12725055329709509</v>
      </c>
      <c r="P136" s="173">
        <f t="shared" si="61"/>
        <v>0.1993686810924562</v>
      </c>
      <c r="Q136" s="173">
        <f t="shared" si="61"/>
        <v>0.18584192439862543</v>
      </c>
      <c r="R136" s="173">
        <f t="shared" si="61"/>
        <v>0.19504629840806459</v>
      </c>
      <c r="S136" s="173">
        <f t="shared" si="61"/>
        <v>0.21526017300353173</v>
      </c>
    </row>
    <row r="137" spans="1:21" x14ac:dyDescent="0.2">
      <c r="A137" s="34" t="s">
        <v>451</v>
      </c>
      <c r="B137" s="2" t="s">
        <v>231</v>
      </c>
      <c r="C137" s="39" t="s">
        <v>248</v>
      </c>
      <c r="E137" s="172"/>
      <c r="F137" s="37"/>
      <c r="G137" s="46" t="s">
        <v>249</v>
      </c>
      <c r="H137" s="173" t="e">
        <f t="shared" ref="H137:S137" si="62">H33/H15</f>
        <v>#DIV/0!</v>
      </c>
      <c r="I137" s="173">
        <f t="shared" si="62"/>
        <v>0.99560766940942558</v>
      </c>
      <c r="J137" s="173">
        <f t="shared" si="62"/>
        <v>8.7493992895341224E-2</v>
      </c>
      <c r="K137" s="173">
        <f t="shared" si="62"/>
        <v>8.3534572844363428E-2</v>
      </c>
      <c r="L137" s="173">
        <f t="shared" si="62"/>
        <v>0.1015251333969186</v>
      </c>
      <c r="M137" s="173">
        <f t="shared" si="62"/>
        <v>0.11686909061103261</v>
      </c>
      <c r="N137" s="173">
        <f t="shared" si="62"/>
        <v>0.13103352396894036</v>
      </c>
      <c r="O137" s="173">
        <f t="shared" si="62"/>
        <v>0.12897517480876627</v>
      </c>
      <c r="P137" s="173">
        <f t="shared" si="62"/>
        <v>0.20557573470446719</v>
      </c>
      <c r="Q137" s="173">
        <f t="shared" si="62"/>
        <v>0.19160092588218622</v>
      </c>
      <c r="R137" s="173">
        <f t="shared" si="62"/>
        <v>0.2022801457022565</v>
      </c>
      <c r="S137" s="173">
        <f t="shared" si="62"/>
        <v>0.22297882419820933</v>
      </c>
    </row>
    <row r="138" spans="1:21" x14ac:dyDescent="0.2">
      <c r="A138" s="8" t="s">
        <v>452</v>
      </c>
      <c r="B138" s="2" t="s">
        <v>234</v>
      </c>
      <c r="C138" s="39" t="s">
        <v>251</v>
      </c>
      <c r="D138" s="169">
        <v>0.5</v>
      </c>
      <c r="E138" s="169">
        <f>1/3</f>
        <v>0.33333333333333331</v>
      </c>
      <c r="F138" s="176" t="s">
        <v>433</v>
      </c>
      <c r="G138" s="100" t="s">
        <v>252</v>
      </c>
      <c r="H138" s="180" t="e">
        <f t="shared" ref="H138:S138" si="63">H27/H4</f>
        <v>#DIV/0!</v>
      </c>
      <c r="I138" s="180">
        <f t="shared" si="63"/>
        <v>0.97389817602556228</v>
      </c>
      <c r="J138" s="180">
        <f t="shared" si="63"/>
        <v>0.9919726761524108</v>
      </c>
      <c r="K138" s="180">
        <f t="shared" si="63"/>
        <v>0.98915683056186099</v>
      </c>
      <c r="L138" s="180">
        <f t="shared" si="63"/>
        <v>0.98898553265065703</v>
      </c>
      <c r="M138" s="180">
        <f t="shared" si="63"/>
        <v>0.96166970868012636</v>
      </c>
      <c r="N138" s="180">
        <f t="shared" si="63"/>
        <v>0.97050597188156784</v>
      </c>
      <c r="O138" s="180">
        <f t="shared" si="63"/>
        <v>0.97343247923399612</v>
      </c>
      <c r="P138" s="180">
        <f t="shared" si="63"/>
        <v>0.98860881101605746</v>
      </c>
      <c r="Q138" s="180">
        <f t="shared" si="63"/>
        <v>0.98987399770904927</v>
      </c>
      <c r="R138" s="180">
        <f t="shared" si="63"/>
        <v>0.9894631209232313</v>
      </c>
      <c r="S138" s="180">
        <f t="shared" si="63"/>
        <v>0.9935098979635516</v>
      </c>
    </row>
    <row r="139" spans="1:21" x14ac:dyDescent="0.2"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</row>
    <row r="140" spans="1:21" x14ac:dyDescent="0.2">
      <c r="A140" s="166"/>
      <c r="C140" s="2"/>
      <c r="D140" s="181"/>
      <c r="E140" s="182"/>
      <c r="F140" s="37"/>
      <c r="G140" s="134" t="s">
        <v>253</v>
      </c>
      <c r="H140" s="153">
        <f t="shared" ref="H140:S140" si="64">H133</f>
        <v>2011</v>
      </c>
      <c r="I140" s="153">
        <f t="shared" si="64"/>
        <v>2012</v>
      </c>
      <c r="J140" s="153">
        <f t="shared" si="64"/>
        <v>2013</v>
      </c>
      <c r="K140" s="153">
        <f t="shared" si="64"/>
        <v>2014</v>
      </c>
      <c r="L140" s="153">
        <f t="shared" si="64"/>
        <v>2015</v>
      </c>
      <c r="M140" s="153">
        <f t="shared" si="64"/>
        <v>2016</v>
      </c>
      <c r="N140" s="153">
        <f t="shared" si="64"/>
        <v>2017</v>
      </c>
      <c r="O140" s="153">
        <f t="shared" si="64"/>
        <v>2018</v>
      </c>
      <c r="P140" s="153">
        <f t="shared" si="64"/>
        <v>2019</v>
      </c>
      <c r="Q140" s="153">
        <f t="shared" si="64"/>
        <v>2020</v>
      </c>
      <c r="R140" s="153">
        <f t="shared" si="64"/>
        <v>2021</v>
      </c>
      <c r="S140" s="153">
        <f t="shared" si="64"/>
        <v>2022</v>
      </c>
    </row>
    <row r="141" spans="1:21" x14ac:dyDescent="0.2">
      <c r="A141" s="8" t="s">
        <v>453</v>
      </c>
      <c r="B141" s="2" t="s">
        <v>238</v>
      </c>
      <c r="C141" s="8" t="s">
        <v>255</v>
      </c>
      <c r="D141" s="183"/>
      <c r="E141" s="169">
        <v>0.05</v>
      </c>
      <c r="G141" s="103" t="s">
        <v>256</v>
      </c>
      <c r="H141" s="171" t="e">
        <f t="shared" ref="H141:S141" si="65">H35/H33</f>
        <v>#DIV/0!</v>
      </c>
      <c r="I141" s="171">
        <f t="shared" si="65"/>
        <v>0</v>
      </c>
      <c r="J141" s="171">
        <f t="shared" si="65"/>
        <v>0.27425009692092456</v>
      </c>
      <c r="K141" s="171">
        <f t="shared" si="65"/>
        <v>0.28880067828860062</v>
      </c>
      <c r="L141" s="171">
        <f t="shared" si="65"/>
        <v>0.21690576524797719</v>
      </c>
      <c r="M141" s="171">
        <f t="shared" si="65"/>
        <v>0.31262857055029614</v>
      </c>
      <c r="N141" s="171">
        <f t="shared" si="65"/>
        <v>0.33310079208328336</v>
      </c>
      <c r="O141" s="171">
        <f t="shared" si="65"/>
        <v>0.34167560542176123</v>
      </c>
      <c r="P141" s="171">
        <f t="shared" si="65"/>
        <v>0.606700321248279</v>
      </c>
      <c r="Q141" s="171">
        <f t="shared" si="65"/>
        <v>0.56558185404339245</v>
      </c>
      <c r="R141" s="171">
        <f t="shared" si="65"/>
        <v>0.56922357343311503</v>
      </c>
      <c r="S141" s="171">
        <f t="shared" si="65"/>
        <v>0.64754379777601201</v>
      </c>
    </row>
    <row r="142" spans="1:21" x14ac:dyDescent="0.2">
      <c r="A142" s="8" t="s">
        <v>454</v>
      </c>
      <c r="B142" s="2" t="s">
        <v>241</v>
      </c>
      <c r="C142" s="8" t="s">
        <v>258</v>
      </c>
      <c r="E142" s="169">
        <v>0.95</v>
      </c>
      <c r="G142" s="110" t="s">
        <v>259</v>
      </c>
      <c r="H142" s="180" t="e">
        <f t="shared" ref="H142:S142" si="66">(H36+H34)/H33</f>
        <v>#DIV/0!</v>
      </c>
      <c r="I142" s="180">
        <f t="shared" si="66"/>
        <v>1</v>
      </c>
      <c r="J142" s="180">
        <f t="shared" si="66"/>
        <v>0.71735691220770215</v>
      </c>
      <c r="K142" s="180">
        <f t="shared" si="66"/>
        <v>0.69770914770804282</v>
      </c>
      <c r="L142" s="180">
        <f t="shared" si="66"/>
        <v>0.77128034166676129</v>
      </c>
      <c r="M142" s="180">
        <f t="shared" si="66"/>
        <v>0.68711256935630394</v>
      </c>
      <c r="N142" s="180">
        <f t="shared" si="66"/>
        <v>0.65667969418105143</v>
      </c>
      <c r="O142" s="180">
        <f t="shared" si="66"/>
        <v>0.64740868279378183</v>
      </c>
      <c r="P142" s="180">
        <f t="shared" si="66"/>
        <v>0.38503900871959612</v>
      </c>
      <c r="Q142" s="180">
        <f t="shared" si="66"/>
        <v>0.42554240631163709</v>
      </c>
      <c r="R142" s="180">
        <f t="shared" si="66"/>
        <v>0.42235734331150609</v>
      </c>
      <c r="S142" s="180">
        <f t="shared" si="66"/>
        <v>0.34480779118138205</v>
      </c>
    </row>
    <row r="143" spans="1:21" x14ac:dyDescent="0.2">
      <c r="A143" s="8" t="s">
        <v>455</v>
      </c>
      <c r="B143" s="2" t="s">
        <v>244</v>
      </c>
      <c r="C143" s="8" t="s">
        <v>261</v>
      </c>
      <c r="E143" s="169">
        <v>0.95</v>
      </c>
      <c r="G143" s="46" t="s">
        <v>262</v>
      </c>
      <c r="H143" s="171" t="e">
        <f t="shared" ref="H143:S143" si="67">H38/(H38+H41)</f>
        <v>#DIV/0!</v>
      </c>
      <c r="I143" s="171" t="e">
        <f t="shared" si="67"/>
        <v>#DIV/0!</v>
      </c>
      <c r="J143" s="171">
        <f t="shared" si="67"/>
        <v>4.6971130945311201E-3</v>
      </c>
      <c r="K143" s="171">
        <f t="shared" si="67"/>
        <v>3.3251548021393479E-3</v>
      </c>
      <c r="L143" s="171">
        <f t="shared" si="67"/>
        <v>3.0839270185469398E-3</v>
      </c>
      <c r="M143" s="171">
        <f t="shared" si="67"/>
        <v>2.5154235602278434E-3</v>
      </c>
      <c r="N143" s="171">
        <f t="shared" si="67"/>
        <v>1.1728618532937482E-3</v>
      </c>
      <c r="O143" s="171">
        <f t="shared" si="67"/>
        <v>2.1077406776386278E-3</v>
      </c>
      <c r="P143" s="171">
        <f t="shared" si="67"/>
        <v>1.5906680805938495E-3</v>
      </c>
      <c r="Q143" s="171">
        <f t="shared" si="67"/>
        <v>1.4772772598279564E-3</v>
      </c>
      <c r="R143" s="171">
        <f t="shared" si="67"/>
        <v>1.4326647564469914E-3</v>
      </c>
      <c r="S143" s="171">
        <f t="shared" si="67"/>
        <v>1.2835311825343924E-3</v>
      </c>
    </row>
    <row r="144" spans="1:21" x14ac:dyDescent="0.2">
      <c r="C144" s="8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</row>
    <row r="145" spans="1:19" x14ac:dyDescent="0.2">
      <c r="A145" s="166"/>
      <c r="C145" s="119"/>
      <c r="D145" s="181"/>
      <c r="E145" s="182"/>
      <c r="F145" s="37"/>
      <c r="G145" s="134"/>
      <c r="H145" s="153">
        <f>H140</f>
        <v>2011</v>
      </c>
      <c r="I145" s="153">
        <f t="shared" ref="I145:S145" si="68">I140</f>
        <v>2012</v>
      </c>
      <c r="J145" s="153">
        <f t="shared" si="68"/>
        <v>2013</v>
      </c>
      <c r="K145" s="153">
        <f t="shared" si="68"/>
        <v>2014</v>
      </c>
      <c r="L145" s="153">
        <f t="shared" si="68"/>
        <v>2015</v>
      </c>
      <c r="M145" s="153">
        <f t="shared" si="68"/>
        <v>2016</v>
      </c>
      <c r="N145" s="153">
        <f t="shared" si="68"/>
        <v>2017</v>
      </c>
      <c r="O145" s="153">
        <f t="shared" si="68"/>
        <v>2018</v>
      </c>
      <c r="P145" s="153">
        <f t="shared" si="68"/>
        <v>2019</v>
      </c>
      <c r="Q145" s="153">
        <f t="shared" si="68"/>
        <v>2020</v>
      </c>
      <c r="R145" s="153">
        <f t="shared" si="68"/>
        <v>2021</v>
      </c>
      <c r="S145" s="153">
        <f t="shared" si="68"/>
        <v>2022</v>
      </c>
    </row>
    <row r="146" spans="1:19" x14ac:dyDescent="0.2">
      <c r="A146" s="123" t="s">
        <v>456</v>
      </c>
      <c r="B146" s="2" t="s">
        <v>247</v>
      </c>
      <c r="C146" s="8" t="s">
        <v>264</v>
      </c>
      <c r="D146" s="120">
        <v>0.5</v>
      </c>
      <c r="E146" s="184" t="s">
        <v>265</v>
      </c>
      <c r="F146" s="123"/>
      <c r="G146" s="103" t="s">
        <v>266</v>
      </c>
      <c r="H146" s="173" t="e">
        <f t="shared" ref="H146:S146" si="69">IF(H141&lt;$D$146,$E$146,H35/H4)</f>
        <v>#DIV/0!</v>
      </c>
      <c r="I146" s="173" t="str">
        <f t="shared" si="69"/>
        <v>N/A</v>
      </c>
      <c r="J146" s="173" t="str">
        <f t="shared" si="69"/>
        <v>N/A</v>
      </c>
      <c r="K146" s="173" t="str">
        <f t="shared" si="69"/>
        <v>N/A</v>
      </c>
      <c r="L146" s="173" t="str">
        <f t="shared" si="69"/>
        <v>N/A</v>
      </c>
      <c r="M146" s="173" t="str">
        <f t="shared" si="69"/>
        <v>N/A</v>
      </c>
      <c r="N146" s="173" t="str">
        <f t="shared" si="69"/>
        <v>N/A</v>
      </c>
      <c r="O146" s="173" t="str">
        <f t="shared" si="69"/>
        <v>N/A</v>
      </c>
      <c r="P146" s="173">
        <f t="shared" si="69"/>
        <v>0.12095704286563887</v>
      </c>
      <c r="Q146" s="173">
        <f t="shared" si="69"/>
        <v>0.10510882016036656</v>
      </c>
      <c r="R146" s="173">
        <f t="shared" si="69"/>
        <v>0.11102495096474023</v>
      </c>
      <c r="S146" s="173">
        <f t="shared" si="69"/>
        <v>0.13939038993662831</v>
      </c>
    </row>
    <row r="147" spans="1:19" x14ac:dyDescent="0.2">
      <c r="A147" s="123" t="s">
        <v>457</v>
      </c>
      <c r="B147" s="2" t="s">
        <v>250</v>
      </c>
      <c r="C147" s="8" t="s">
        <v>267</v>
      </c>
      <c r="D147" s="120">
        <v>0.5</v>
      </c>
      <c r="E147" s="184" t="s">
        <v>265</v>
      </c>
      <c r="F147" s="123"/>
      <c r="G147" s="110" t="s">
        <v>268</v>
      </c>
      <c r="H147" s="173" t="e">
        <f t="shared" ref="H147:S147" si="70">IF(H141&lt;$D$147,$E$147,H35/H15)</f>
        <v>#DIV/0!</v>
      </c>
      <c r="I147" s="173" t="str">
        <f t="shared" si="70"/>
        <v>N/A</v>
      </c>
      <c r="J147" s="173" t="str">
        <f t="shared" si="70"/>
        <v>N/A</v>
      </c>
      <c r="K147" s="173" t="str">
        <f t="shared" si="70"/>
        <v>N/A</v>
      </c>
      <c r="L147" s="173" t="str">
        <f t="shared" si="70"/>
        <v>N/A</v>
      </c>
      <c r="M147" s="173" t="str">
        <f t="shared" si="70"/>
        <v>N/A</v>
      </c>
      <c r="N147" s="173" t="str">
        <f t="shared" si="70"/>
        <v>N/A</v>
      </c>
      <c r="O147" s="173" t="str">
        <f t="shared" si="70"/>
        <v>N/A</v>
      </c>
      <c r="P147" s="173">
        <f t="shared" si="70"/>
        <v>0.12472286428605123</v>
      </c>
      <c r="Q147" s="173">
        <f t="shared" si="70"/>
        <v>0.1083660068968775</v>
      </c>
      <c r="R147" s="173">
        <f t="shared" si="70"/>
        <v>0.11514262737120962</v>
      </c>
      <c r="S147" s="173">
        <f t="shared" si="70"/>
        <v>0.14438855464493819</v>
      </c>
    </row>
    <row r="148" spans="1:19" x14ac:dyDescent="0.2">
      <c r="A148" s="123" t="s">
        <v>458</v>
      </c>
      <c r="B148" s="2" t="s">
        <v>254</v>
      </c>
      <c r="C148" s="8" t="s">
        <v>201</v>
      </c>
      <c r="D148" s="120">
        <v>0.5</v>
      </c>
      <c r="E148" s="184" t="s">
        <v>265</v>
      </c>
      <c r="F148" s="123"/>
      <c r="G148" s="103" t="s">
        <v>269</v>
      </c>
      <c r="H148" s="180" t="e">
        <f t="shared" ref="H148:S148" si="71">IF(H141&lt;$D$148,$E$148,H46/H33)</f>
        <v>#DIV/0!</v>
      </c>
      <c r="I148" s="180" t="str">
        <f t="shared" si="71"/>
        <v>N/A</v>
      </c>
      <c r="J148" s="180" t="str">
        <f t="shared" si="71"/>
        <v>N/A</v>
      </c>
      <c r="K148" s="180" t="str">
        <f t="shared" si="71"/>
        <v>N/A</v>
      </c>
      <c r="L148" s="180" t="str">
        <f t="shared" si="71"/>
        <v>N/A</v>
      </c>
      <c r="M148" s="180" t="str">
        <f t="shared" si="71"/>
        <v>N/A</v>
      </c>
      <c r="N148" s="180" t="str">
        <f t="shared" si="71"/>
        <v>N/A</v>
      </c>
      <c r="O148" s="180" t="str">
        <f t="shared" si="71"/>
        <v>N/A</v>
      </c>
      <c r="P148" s="180">
        <f t="shared" si="71"/>
        <v>0.13446535107847638</v>
      </c>
      <c r="Q148" s="180">
        <f t="shared" si="71"/>
        <v>-1.3624260355029191E-3</v>
      </c>
      <c r="R148" s="180">
        <f t="shared" si="71"/>
        <v>2.05799812909261E-2</v>
      </c>
      <c r="S148" s="180">
        <f t="shared" si="71"/>
        <v>6.8529762941751437E-3</v>
      </c>
    </row>
    <row r="149" spans="1:19" x14ac:dyDescent="0.2">
      <c r="A149" s="123" t="s">
        <v>459</v>
      </c>
      <c r="B149" s="2" t="s">
        <v>257</v>
      </c>
      <c r="C149" s="8" t="s">
        <v>270</v>
      </c>
      <c r="D149" s="120">
        <v>0.5</v>
      </c>
      <c r="E149" s="184" t="s">
        <v>265</v>
      </c>
      <c r="F149" s="123"/>
      <c r="G149" s="110" t="s">
        <v>271</v>
      </c>
      <c r="H149" s="180" t="e">
        <f t="shared" ref="H149:S149" si="72">IF(H141&lt;$D$148,$E$149,H51/H33)</f>
        <v>#DIV/0!</v>
      </c>
      <c r="I149" s="180" t="str">
        <f t="shared" si="72"/>
        <v>N/A</v>
      </c>
      <c r="J149" s="180" t="str">
        <f t="shared" si="72"/>
        <v>N/A</v>
      </c>
      <c r="K149" s="180" t="str">
        <f t="shared" si="72"/>
        <v>N/A</v>
      </c>
      <c r="L149" s="180" t="str">
        <f t="shared" si="72"/>
        <v>N/A</v>
      </c>
      <c r="M149" s="180" t="str">
        <f t="shared" si="72"/>
        <v>N/A</v>
      </c>
      <c r="N149" s="180" t="str">
        <f t="shared" si="72"/>
        <v>N/A</v>
      </c>
      <c r="O149" s="180" t="str">
        <f t="shared" si="72"/>
        <v>N/A</v>
      </c>
      <c r="P149" s="180">
        <f t="shared" si="72"/>
        <v>0.13446535107847638</v>
      </c>
      <c r="Q149" s="180">
        <f t="shared" si="72"/>
        <v>-1.3624260355029191E-3</v>
      </c>
      <c r="R149" s="180">
        <f t="shared" si="72"/>
        <v>2.05799812909261E-2</v>
      </c>
      <c r="S149" s="180">
        <f t="shared" si="72"/>
        <v>6.8529762941751437E-3</v>
      </c>
    </row>
    <row r="150" spans="1:19" x14ac:dyDescent="0.2">
      <c r="A150" s="123" t="s">
        <v>460</v>
      </c>
      <c r="B150" s="2" t="s">
        <v>260</v>
      </c>
      <c r="C150" s="8" t="s">
        <v>272</v>
      </c>
      <c r="D150" s="120">
        <v>0.5</v>
      </c>
      <c r="E150" s="184" t="s">
        <v>265</v>
      </c>
      <c r="F150" s="123"/>
      <c r="G150" s="110" t="s">
        <v>273</v>
      </c>
      <c r="H150" s="180" t="e">
        <f t="shared" ref="H150:S150" si="73">IF(H141&lt;$D$150,$E$150,H51/H4)</f>
        <v>#DIV/0!</v>
      </c>
      <c r="I150" s="180" t="str">
        <f t="shared" si="73"/>
        <v>N/A</v>
      </c>
      <c r="J150" s="180" t="str">
        <f t="shared" si="73"/>
        <v>N/A</v>
      </c>
      <c r="K150" s="180" t="str">
        <f t="shared" si="73"/>
        <v>N/A</v>
      </c>
      <c r="L150" s="180" t="str">
        <f t="shared" si="73"/>
        <v>N/A</v>
      </c>
      <c r="M150" s="180" t="str">
        <f t="shared" si="73"/>
        <v>N/A</v>
      </c>
      <c r="N150" s="180" t="str">
        <f t="shared" si="73"/>
        <v>N/A</v>
      </c>
      <c r="O150" s="180" t="str">
        <f t="shared" si="73"/>
        <v>N/A</v>
      </c>
      <c r="P150" s="180">
        <f t="shared" si="73"/>
        <v>2.6808179697149916E-2</v>
      </c>
      <c r="Q150" s="180">
        <f t="shared" si="73"/>
        <v>-2.5319587628865248E-4</v>
      </c>
      <c r="R150" s="180">
        <f t="shared" si="73"/>
        <v>4.014049172102358E-3</v>
      </c>
      <c r="S150" s="180">
        <f t="shared" si="73"/>
        <v>1.4751728626732432E-3</v>
      </c>
    </row>
    <row r="151" spans="1:19" x14ac:dyDescent="0.2">
      <c r="A151" s="123" t="s">
        <v>461</v>
      </c>
      <c r="B151" s="2" t="s">
        <v>263</v>
      </c>
      <c r="C151" s="8" t="s">
        <v>274</v>
      </c>
      <c r="D151" s="120">
        <v>0.5</v>
      </c>
      <c r="E151" s="184" t="s">
        <v>265</v>
      </c>
      <c r="F151" s="123"/>
      <c r="G151" s="46" t="s">
        <v>275</v>
      </c>
      <c r="H151" s="180" t="e">
        <f>IF(H141&lt;$D$151,$E$151,H51/H27)</f>
        <v>#DIV/0!</v>
      </c>
      <c r="I151" s="180" t="str">
        <f>IF(I141&lt;$D$151,$E$151,I51/((H27+I27)/2))</f>
        <v>N/A</v>
      </c>
      <c r="J151" s="180" t="str">
        <f>IF(J141&lt;$D$151,$E$151,J51/((I27+J27)/2))</f>
        <v>N/A</v>
      </c>
      <c r="K151" s="180" t="str">
        <f>IF(K141&lt;$D$151,$E$151,K51/((J27+K27)/2))</f>
        <v>N/A</v>
      </c>
      <c r="L151" s="180" t="str">
        <f>IF(L141&lt;$D$151,$E$151,L51/((K27+L27)/2))</f>
        <v>N/A</v>
      </c>
      <c r="M151" s="180" t="str">
        <f>IF(M141&lt;$D$151,$E$151,M51/((L27+M27)/2))</f>
        <v>N/A</v>
      </c>
      <c r="N151" s="180" t="str">
        <f t="shared" ref="N151:S151" si="74">IF(N141&lt;$D$151,$E$151,N51/((M27+N27)/2))</f>
        <v>N/A</v>
      </c>
      <c r="O151" s="180" t="str">
        <f t="shared" si="74"/>
        <v>N/A</v>
      </c>
      <c r="P151" s="180">
        <f t="shared" si="74"/>
        <v>2.7489796875732983E-2</v>
      </c>
      <c r="Q151" s="180">
        <f t="shared" si="74"/>
        <v>-2.5575045124264542E-4</v>
      </c>
      <c r="R151" s="180">
        <f t="shared" si="74"/>
        <v>4.0650406504065045E-3</v>
      </c>
      <c r="S151" s="180">
        <f t="shared" si="74"/>
        <v>1.4859038142620794E-3</v>
      </c>
    </row>
    <row r="152" spans="1:19" x14ac:dyDescent="0.2">
      <c r="C152" s="119"/>
      <c r="D152" s="181"/>
      <c r="E152" s="182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</row>
    <row r="153" spans="1:19" x14ac:dyDescent="0.2">
      <c r="G153" s="134" t="s">
        <v>462</v>
      </c>
      <c r="H153" s="153">
        <f>H145</f>
        <v>2011</v>
      </c>
      <c r="I153" s="153">
        <f t="shared" ref="I153:S153" si="75">I145</f>
        <v>2012</v>
      </c>
      <c r="J153" s="153">
        <f t="shared" si="75"/>
        <v>2013</v>
      </c>
      <c r="K153" s="153">
        <f t="shared" si="75"/>
        <v>2014</v>
      </c>
      <c r="L153" s="153">
        <f t="shared" si="75"/>
        <v>2015</v>
      </c>
      <c r="M153" s="153">
        <f t="shared" si="75"/>
        <v>2016</v>
      </c>
      <c r="N153" s="153">
        <f t="shared" si="75"/>
        <v>2017</v>
      </c>
      <c r="O153" s="153">
        <f t="shared" si="75"/>
        <v>2018</v>
      </c>
      <c r="P153" s="153">
        <f t="shared" si="75"/>
        <v>2019</v>
      </c>
      <c r="Q153" s="153">
        <f t="shared" si="75"/>
        <v>2020</v>
      </c>
      <c r="R153" s="153">
        <f t="shared" si="75"/>
        <v>2021</v>
      </c>
      <c r="S153" s="153">
        <f t="shared" si="75"/>
        <v>2022</v>
      </c>
    </row>
    <row r="154" spans="1:19" x14ac:dyDescent="0.2">
      <c r="G154" s="95" t="s">
        <v>276</v>
      </c>
      <c r="H154" s="163">
        <f t="shared" ref="H154:S154" si="76">H33</f>
        <v>0</v>
      </c>
      <c r="I154" s="163">
        <f t="shared" si="76"/>
        <v>2084.6799999999998</v>
      </c>
      <c r="J154" s="163">
        <f t="shared" si="76"/>
        <v>830.57399999999996</v>
      </c>
      <c r="K154" s="163">
        <f t="shared" si="76"/>
        <v>859.81100000000004</v>
      </c>
      <c r="L154" s="163">
        <f>L33</f>
        <v>1056.4680000000001</v>
      </c>
      <c r="M154" s="163">
        <f t="shared" si="76"/>
        <v>1236.1889999999999</v>
      </c>
      <c r="N154" s="163">
        <f t="shared" si="76"/>
        <v>1409.0690000000002</v>
      </c>
      <c r="O154" s="163">
        <f t="shared" si="76"/>
        <v>1374.1660000000002</v>
      </c>
      <c r="P154" s="163">
        <f t="shared" si="76"/>
        <v>2179</v>
      </c>
      <c r="Q154" s="163">
        <f t="shared" si="76"/>
        <v>2028</v>
      </c>
      <c r="R154" s="163">
        <f t="shared" si="76"/>
        <v>2138</v>
      </c>
      <c r="S154" s="163">
        <f t="shared" si="76"/>
        <v>2353.4300000000003</v>
      </c>
    </row>
    <row r="155" spans="1:19" x14ac:dyDescent="0.2">
      <c r="G155" s="95" t="s">
        <v>277</v>
      </c>
      <c r="H155" s="163">
        <f t="shared" ref="H155:S156" si="77">H35</f>
        <v>0</v>
      </c>
      <c r="I155" s="163">
        <f t="shared" si="77"/>
        <v>0</v>
      </c>
      <c r="J155" s="163">
        <f t="shared" si="77"/>
        <v>227.785</v>
      </c>
      <c r="K155" s="163">
        <f t="shared" si="77"/>
        <v>248.31399999999999</v>
      </c>
      <c r="L155" s="163">
        <f t="shared" si="77"/>
        <v>229.154</v>
      </c>
      <c r="M155" s="163">
        <f t="shared" si="77"/>
        <v>386.46800000000002</v>
      </c>
      <c r="N155" s="163">
        <f t="shared" si="77"/>
        <v>469.36200000000002</v>
      </c>
      <c r="O155" s="163">
        <f t="shared" si="77"/>
        <v>469.51900000000001</v>
      </c>
      <c r="P155" s="163">
        <f t="shared" si="77"/>
        <v>1322</v>
      </c>
      <c r="Q155" s="163">
        <f t="shared" si="77"/>
        <v>1147</v>
      </c>
      <c r="R155" s="163">
        <f t="shared" si="77"/>
        <v>1217</v>
      </c>
      <c r="S155" s="163">
        <f t="shared" si="77"/>
        <v>1523.9490000000001</v>
      </c>
    </row>
    <row r="156" spans="1:19" x14ac:dyDescent="0.2">
      <c r="G156" s="95" t="s">
        <v>278</v>
      </c>
      <c r="H156" s="163">
        <f t="shared" si="77"/>
        <v>0</v>
      </c>
      <c r="I156" s="163">
        <f t="shared" si="77"/>
        <v>2084.6799999999998</v>
      </c>
      <c r="J156" s="163">
        <f t="shared" si="77"/>
        <v>595.81799999999998</v>
      </c>
      <c r="K156" s="163">
        <f t="shared" si="77"/>
        <v>599.89800000000002</v>
      </c>
      <c r="L156" s="163">
        <f t="shared" si="77"/>
        <v>814.83299999999997</v>
      </c>
      <c r="M156" s="163">
        <f t="shared" si="77"/>
        <v>849.40099999999995</v>
      </c>
      <c r="N156" s="163">
        <f t="shared" si="77"/>
        <v>925.30700000000002</v>
      </c>
      <c r="O156" s="163">
        <f t="shared" si="77"/>
        <v>889.64700000000005</v>
      </c>
      <c r="P156" s="163">
        <f t="shared" si="77"/>
        <v>839</v>
      </c>
      <c r="Q156" s="163">
        <f t="shared" si="77"/>
        <v>863</v>
      </c>
      <c r="R156" s="163">
        <f t="shared" si="77"/>
        <v>903</v>
      </c>
      <c r="S156" s="163">
        <f t="shared" si="77"/>
        <v>811.48099999999999</v>
      </c>
    </row>
    <row r="157" spans="1:19" x14ac:dyDescent="0.2">
      <c r="G157" s="95" t="s">
        <v>279</v>
      </c>
      <c r="H157" s="163">
        <f t="shared" ref="H157:S157" si="78">H38+H41</f>
        <v>0</v>
      </c>
      <c r="I157" s="163">
        <f t="shared" si="78"/>
        <v>0</v>
      </c>
      <c r="J157" s="163">
        <f t="shared" si="78"/>
        <v>-799.85300000000007</v>
      </c>
      <c r="K157" s="163">
        <f t="shared" si="78"/>
        <v>-824.92400000000009</v>
      </c>
      <c r="L157" s="163">
        <f t="shared" si="78"/>
        <v>-968.24599999999998</v>
      </c>
      <c r="M157" s="163">
        <f t="shared" si="78"/>
        <v>-1250.684</v>
      </c>
      <c r="N157" s="163">
        <f t="shared" si="78"/>
        <v>-1278.9229999999998</v>
      </c>
      <c r="O157" s="163">
        <f t="shared" si="78"/>
        <v>-1423.325</v>
      </c>
      <c r="P157" s="163">
        <f t="shared" si="78"/>
        <v>-1886</v>
      </c>
      <c r="Q157" s="163">
        <f t="shared" si="78"/>
        <v>-2030.7629999999999</v>
      </c>
      <c r="R157" s="163">
        <f t="shared" si="78"/>
        <v>-2094</v>
      </c>
      <c r="S157" s="163">
        <f t="shared" si="78"/>
        <v>-2337.3019999999997</v>
      </c>
    </row>
    <row r="158" spans="1:19" x14ac:dyDescent="0.2">
      <c r="G158" s="95" t="s">
        <v>280</v>
      </c>
      <c r="H158" s="163">
        <f t="shared" ref="H158:S158" si="79">H41</f>
        <v>0</v>
      </c>
      <c r="I158" s="163">
        <f t="shared" si="79"/>
        <v>0</v>
      </c>
      <c r="J158" s="163">
        <f t="shared" si="79"/>
        <v>-796.09600000000012</v>
      </c>
      <c r="K158" s="163">
        <f t="shared" si="79"/>
        <v>-822.18100000000004</v>
      </c>
      <c r="L158" s="163">
        <f t="shared" si="79"/>
        <v>-965.26</v>
      </c>
      <c r="M158" s="163">
        <f t="shared" si="79"/>
        <v>-1247.538</v>
      </c>
      <c r="N158" s="163">
        <f t="shared" si="79"/>
        <v>-1277.4229999999998</v>
      </c>
      <c r="O158" s="163">
        <f t="shared" si="79"/>
        <v>-1420.325</v>
      </c>
      <c r="P158" s="163">
        <f t="shared" si="79"/>
        <v>-1883</v>
      </c>
      <c r="Q158" s="163">
        <f t="shared" si="79"/>
        <v>-2027.7629999999999</v>
      </c>
      <c r="R158" s="163">
        <f t="shared" si="79"/>
        <v>-2091</v>
      </c>
      <c r="S158" s="163">
        <f t="shared" si="79"/>
        <v>-2334.3019999999997</v>
      </c>
    </row>
    <row r="159" spans="1:19" x14ac:dyDescent="0.2">
      <c r="G159" s="95" t="s">
        <v>281</v>
      </c>
      <c r="H159" s="163">
        <f t="shared" ref="H159:S159" si="80">H38</f>
        <v>0</v>
      </c>
      <c r="I159" s="163">
        <f t="shared" si="80"/>
        <v>0</v>
      </c>
      <c r="J159" s="163">
        <f t="shared" si="80"/>
        <v>-3.7570000000000001</v>
      </c>
      <c r="K159" s="163">
        <f t="shared" si="80"/>
        <v>-2.7429999999999999</v>
      </c>
      <c r="L159" s="163">
        <f t="shared" si="80"/>
        <v>-2.9860000000000002</v>
      </c>
      <c r="M159" s="163">
        <f t="shared" si="80"/>
        <v>-3.1459999999999999</v>
      </c>
      <c r="N159" s="163">
        <f t="shared" si="80"/>
        <v>-1.5</v>
      </c>
      <c r="O159" s="163">
        <f t="shared" si="80"/>
        <v>-3</v>
      </c>
      <c r="P159" s="163">
        <f t="shared" si="80"/>
        <v>-3</v>
      </c>
      <c r="Q159" s="163">
        <f t="shared" si="80"/>
        <v>-3</v>
      </c>
      <c r="R159" s="163">
        <f t="shared" si="80"/>
        <v>-3</v>
      </c>
      <c r="S159" s="163">
        <f t="shared" si="80"/>
        <v>-3</v>
      </c>
    </row>
    <row r="160" spans="1:19" x14ac:dyDescent="0.2">
      <c r="G160" s="95" t="s">
        <v>282</v>
      </c>
      <c r="H160" s="163">
        <f t="shared" ref="H160:S160" si="81">H46</f>
        <v>0</v>
      </c>
      <c r="I160" s="163">
        <f t="shared" si="81"/>
        <v>2084.6799999999998</v>
      </c>
      <c r="J160" s="163">
        <f t="shared" si="81"/>
        <v>30.72099999999989</v>
      </c>
      <c r="K160" s="163">
        <f t="shared" si="81"/>
        <v>34.886999999999944</v>
      </c>
      <c r="L160" s="163">
        <f t="shared" si="81"/>
        <v>88.22199999999998</v>
      </c>
      <c r="M160" s="163">
        <f t="shared" si="81"/>
        <v>-14.495000000000118</v>
      </c>
      <c r="N160" s="163">
        <f t="shared" si="81"/>
        <v>130.14600000000041</v>
      </c>
      <c r="O160" s="163">
        <f t="shared" si="81"/>
        <v>-49.158999999999878</v>
      </c>
      <c r="P160" s="163">
        <f t="shared" si="81"/>
        <v>293</v>
      </c>
      <c r="Q160" s="163">
        <f t="shared" si="81"/>
        <v>-2.76299999999992</v>
      </c>
      <c r="R160" s="163">
        <f t="shared" si="81"/>
        <v>44</v>
      </c>
      <c r="S160" s="163">
        <f t="shared" si="81"/>
        <v>16.128000000000611</v>
      </c>
    </row>
    <row r="161" spans="1:19" x14ac:dyDescent="0.2">
      <c r="G161" s="95" t="s">
        <v>283</v>
      </c>
      <c r="H161" s="163">
        <f t="shared" ref="H161:S161" si="82">H51</f>
        <v>0</v>
      </c>
      <c r="I161" s="163">
        <f t="shared" si="82"/>
        <v>2084.6799999999998</v>
      </c>
      <c r="J161" s="163">
        <f t="shared" si="82"/>
        <v>30.728999999999889</v>
      </c>
      <c r="K161" s="163">
        <f t="shared" si="82"/>
        <v>34.905999999999942</v>
      </c>
      <c r="L161" s="163">
        <f t="shared" si="82"/>
        <v>88.243999999999986</v>
      </c>
      <c r="M161" s="163">
        <f t="shared" si="82"/>
        <v>-15.684000000000118</v>
      </c>
      <c r="N161" s="163">
        <f t="shared" si="82"/>
        <v>127.87200000000041</v>
      </c>
      <c r="O161" s="163">
        <f t="shared" si="82"/>
        <v>-49.158999999999878</v>
      </c>
      <c r="P161" s="163">
        <f t="shared" si="82"/>
        <v>293</v>
      </c>
      <c r="Q161" s="163">
        <f t="shared" si="82"/>
        <v>-2.76299999999992</v>
      </c>
      <c r="R161" s="163">
        <f t="shared" si="82"/>
        <v>44</v>
      </c>
      <c r="S161" s="163">
        <f t="shared" si="82"/>
        <v>16.128000000000611</v>
      </c>
    </row>
    <row r="162" spans="1:19" x14ac:dyDescent="0.2">
      <c r="G162" s="95" t="s">
        <v>284</v>
      </c>
      <c r="H162" s="163">
        <f t="shared" ref="H162:S163" si="83">H4</f>
        <v>0</v>
      </c>
      <c r="I162" s="163">
        <f t="shared" si="83"/>
        <v>2140.6549999999997</v>
      </c>
      <c r="J162" s="163">
        <f t="shared" si="83"/>
        <v>9590.7429999999986</v>
      </c>
      <c r="K162" s="163">
        <f t="shared" si="83"/>
        <v>10474.335999999999</v>
      </c>
      <c r="L162" s="163">
        <f t="shared" si="83"/>
        <v>10565.377</v>
      </c>
      <c r="M162" s="163">
        <f t="shared" si="83"/>
        <v>10849.173999999999</v>
      </c>
      <c r="N162" s="163">
        <f t="shared" si="83"/>
        <v>10881.83</v>
      </c>
      <c r="O162" s="163">
        <f t="shared" si="83"/>
        <v>10798.9</v>
      </c>
      <c r="P162" s="163">
        <f t="shared" si="83"/>
        <v>10929.5</v>
      </c>
      <c r="Q162" s="163">
        <f t="shared" si="83"/>
        <v>10912.5</v>
      </c>
      <c r="R162" s="163">
        <f t="shared" si="83"/>
        <v>10961.5</v>
      </c>
      <c r="S162" s="163">
        <f t="shared" si="83"/>
        <v>10932.956</v>
      </c>
    </row>
    <row r="163" spans="1:19" x14ac:dyDescent="0.2">
      <c r="G163" s="95" t="s">
        <v>285</v>
      </c>
      <c r="H163" s="163">
        <f t="shared" si="83"/>
        <v>0</v>
      </c>
      <c r="I163" s="163">
        <f t="shared" si="83"/>
        <v>46.777999999999999</v>
      </c>
      <c r="J163" s="163">
        <f t="shared" si="83"/>
        <v>97.816999999999993</v>
      </c>
      <c r="K163" s="163">
        <f t="shared" si="83"/>
        <v>181.46</v>
      </c>
      <c r="L163" s="163">
        <f t="shared" si="83"/>
        <v>159.40200000000002</v>
      </c>
      <c r="M163" s="163">
        <f t="shared" si="83"/>
        <v>271.62099999999998</v>
      </c>
      <c r="N163" s="163">
        <f t="shared" si="83"/>
        <v>128.32999999999998</v>
      </c>
      <c r="O163" s="163">
        <f t="shared" si="83"/>
        <v>144.4</v>
      </c>
      <c r="P163" s="163">
        <f t="shared" si="83"/>
        <v>330</v>
      </c>
      <c r="Q163" s="163">
        <f t="shared" si="83"/>
        <v>328</v>
      </c>
      <c r="R163" s="163">
        <f t="shared" si="83"/>
        <v>392</v>
      </c>
      <c r="S163" s="163">
        <f t="shared" si="83"/>
        <v>378.45600000000002</v>
      </c>
    </row>
    <row r="164" spans="1:19" x14ac:dyDescent="0.2">
      <c r="G164" s="95" t="s">
        <v>286</v>
      </c>
      <c r="H164" s="163">
        <f t="shared" ref="H164:S164" si="84">H10</f>
        <v>0</v>
      </c>
      <c r="I164" s="163">
        <f t="shared" si="84"/>
        <v>2093.877</v>
      </c>
      <c r="J164" s="163">
        <f t="shared" si="84"/>
        <v>9492.9259999999995</v>
      </c>
      <c r="K164" s="163">
        <f t="shared" si="84"/>
        <v>10292.876</v>
      </c>
      <c r="L164" s="163">
        <f t="shared" si="84"/>
        <v>10405.975</v>
      </c>
      <c r="M164" s="163">
        <f t="shared" si="84"/>
        <v>10577.553</v>
      </c>
      <c r="N164" s="163">
        <f t="shared" si="84"/>
        <v>10753.5</v>
      </c>
      <c r="O164" s="163">
        <f t="shared" si="84"/>
        <v>10654.5</v>
      </c>
      <c r="P164" s="163">
        <f t="shared" si="84"/>
        <v>10599.5</v>
      </c>
      <c r="Q164" s="163">
        <f t="shared" si="84"/>
        <v>10584.5</v>
      </c>
      <c r="R164" s="163">
        <f t="shared" si="84"/>
        <v>10569.5</v>
      </c>
      <c r="S164" s="163">
        <f t="shared" si="84"/>
        <v>10554.5</v>
      </c>
    </row>
    <row r="165" spans="1:19" x14ac:dyDescent="0.2">
      <c r="G165" s="95" t="s">
        <v>287</v>
      </c>
      <c r="H165" s="163">
        <f t="shared" ref="H165:S166" si="85">H19</f>
        <v>0</v>
      </c>
      <c r="I165" s="163">
        <f t="shared" si="85"/>
        <v>55.875</v>
      </c>
      <c r="J165" s="163">
        <f t="shared" si="85"/>
        <v>76.986999999999995</v>
      </c>
      <c r="K165" s="163">
        <f t="shared" si="85"/>
        <v>113.575</v>
      </c>
      <c r="L165" s="163">
        <f t="shared" si="85"/>
        <v>116.371</v>
      </c>
      <c r="M165" s="163">
        <f t="shared" si="85"/>
        <v>415.85300000000001</v>
      </c>
      <c r="N165" s="163">
        <f t="shared" si="85"/>
        <v>320.95400000000001</v>
      </c>
      <c r="O165" s="163">
        <f t="shared" si="85"/>
        <v>287</v>
      </c>
      <c r="P165" s="163">
        <f t="shared" si="85"/>
        <v>124.456</v>
      </c>
      <c r="Q165" s="163">
        <f t="shared" si="85"/>
        <v>110.5</v>
      </c>
      <c r="R165" s="163">
        <f t="shared" si="85"/>
        <v>115.5</v>
      </c>
      <c r="S165" s="163">
        <f t="shared" si="85"/>
        <v>71</v>
      </c>
    </row>
    <row r="166" spans="1:19" x14ac:dyDescent="0.2">
      <c r="G166" s="95" t="s">
        <v>288</v>
      </c>
      <c r="H166" s="163">
        <f t="shared" si="85"/>
        <v>0</v>
      </c>
      <c r="I166" s="163">
        <f t="shared" si="85"/>
        <v>55.875</v>
      </c>
      <c r="J166" s="163">
        <f t="shared" si="85"/>
        <v>76.986999999999995</v>
      </c>
      <c r="K166" s="163">
        <f t="shared" si="85"/>
        <v>113.575</v>
      </c>
      <c r="L166" s="163">
        <f t="shared" si="85"/>
        <v>116.371</v>
      </c>
      <c r="M166" s="163">
        <f t="shared" si="85"/>
        <v>313.70499999999998</v>
      </c>
      <c r="N166" s="163">
        <f t="shared" si="85"/>
        <v>300</v>
      </c>
      <c r="O166" s="163">
        <f t="shared" si="85"/>
        <v>200</v>
      </c>
      <c r="P166" s="163">
        <f t="shared" si="85"/>
        <v>80</v>
      </c>
      <c r="Q166" s="163">
        <f t="shared" si="85"/>
        <v>78</v>
      </c>
      <c r="R166" s="163">
        <f t="shared" si="85"/>
        <v>65</v>
      </c>
      <c r="S166" s="163">
        <f t="shared" si="85"/>
        <v>0</v>
      </c>
    </row>
    <row r="167" spans="1:19" x14ac:dyDescent="0.2">
      <c r="G167" s="95" t="s">
        <v>289</v>
      </c>
      <c r="H167" s="163">
        <f t="shared" ref="H167:S167" si="86">H24</f>
        <v>0</v>
      </c>
      <c r="I167" s="163">
        <f t="shared" si="86"/>
        <v>0</v>
      </c>
      <c r="J167" s="163">
        <f t="shared" si="86"/>
        <v>0</v>
      </c>
      <c r="K167" s="163">
        <f t="shared" si="86"/>
        <v>0</v>
      </c>
      <c r="L167" s="163">
        <f t="shared" si="86"/>
        <v>0</v>
      </c>
      <c r="M167" s="163">
        <f t="shared" si="86"/>
        <v>120</v>
      </c>
      <c r="N167" s="163">
        <f t="shared" si="86"/>
        <v>102.3</v>
      </c>
      <c r="O167" s="163">
        <f t="shared" si="86"/>
        <v>78</v>
      </c>
      <c r="P167" s="163">
        <f t="shared" si="86"/>
        <v>53</v>
      </c>
      <c r="Q167" s="163">
        <f t="shared" si="86"/>
        <v>28</v>
      </c>
      <c r="R167" s="163">
        <f t="shared" si="86"/>
        <v>0</v>
      </c>
      <c r="S167" s="163">
        <f t="shared" si="86"/>
        <v>0</v>
      </c>
    </row>
    <row r="168" spans="1:19" x14ac:dyDescent="0.2">
      <c r="G168" s="95" t="s">
        <v>290</v>
      </c>
      <c r="H168" s="163">
        <f t="shared" ref="H168:S168" si="87">H27</f>
        <v>0</v>
      </c>
      <c r="I168" s="163">
        <f t="shared" si="87"/>
        <v>2084.7799999999997</v>
      </c>
      <c r="J168" s="163">
        <f t="shared" si="87"/>
        <v>9513.7549999999992</v>
      </c>
      <c r="K168" s="163">
        <f t="shared" si="87"/>
        <v>10360.761</v>
      </c>
      <c r="L168" s="163">
        <f t="shared" si="87"/>
        <v>10449.005000000001</v>
      </c>
      <c r="M168" s="163">
        <f t="shared" si="87"/>
        <v>10433.322</v>
      </c>
      <c r="N168" s="163">
        <f t="shared" si="87"/>
        <v>10560.881000000001</v>
      </c>
      <c r="O168" s="163">
        <f t="shared" si="87"/>
        <v>10512</v>
      </c>
      <c r="P168" s="163">
        <f t="shared" si="87"/>
        <v>10805</v>
      </c>
      <c r="Q168" s="163">
        <f t="shared" si="87"/>
        <v>10802</v>
      </c>
      <c r="R168" s="163">
        <f t="shared" si="87"/>
        <v>10846</v>
      </c>
      <c r="S168" s="163">
        <f t="shared" si="87"/>
        <v>10862</v>
      </c>
    </row>
    <row r="169" spans="1:19" x14ac:dyDescent="0.2">
      <c r="C169" s="119"/>
      <c r="D169" s="181"/>
      <c r="E169" s="182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</row>
    <row r="170" spans="1:19" x14ac:dyDescent="0.2">
      <c r="C170" s="119" t="s">
        <v>463</v>
      </c>
      <c r="D170" s="181"/>
      <c r="E170" s="182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</row>
    <row r="171" spans="1:19" x14ac:dyDescent="0.2">
      <c r="C171" s="119"/>
      <c r="D171" s="181"/>
      <c r="E171" s="182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</row>
    <row r="172" spans="1:19" s="166" customFormat="1" x14ac:dyDescent="0.2">
      <c r="A172" s="29"/>
      <c r="B172" s="2"/>
      <c r="C172" s="29" t="s">
        <v>464</v>
      </c>
      <c r="D172" s="99"/>
      <c r="E172" s="30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</row>
    <row r="173" spans="1:19" x14ac:dyDescent="0.2">
      <c r="C173" s="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</row>
    <row r="174" spans="1:19" x14ac:dyDescent="0.2">
      <c r="C174" s="8" t="s">
        <v>291</v>
      </c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</row>
    <row r="175" spans="1:19" x14ac:dyDescent="0.2">
      <c r="C175" s="8" t="s">
        <v>292</v>
      </c>
      <c r="F175" s="12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  <c r="R175" s="44"/>
    </row>
    <row r="176" spans="1:19" x14ac:dyDescent="0.2">
      <c r="C176" s="8"/>
      <c r="F176" s="12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</row>
    <row r="177" spans="3:6" x14ac:dyDescent="0.2">
      <c r="C177" s="8" t="s">
        <v>293</v>
      </c>
      <c r="F177" s="12"/>
    </row>
    <row r="178" spans="3:6" x14ac:dyDescent="0.2">
      <c r="C178" s="8" t="s">
        <v>294</v>
      </c>
      <c r="F178" s="12"/>
    </row>
  </sheetData>
  <mergeCells count="1">
    <mergeCell ref="D92:E92"/>
  </mergeCells>
  <conditionalFormatting sqref="H141:Q141">
    <cfRule type="cellIs" dxfId="896" priority="51" stopIfTrue="1" operator="greaterThan">
      <formula>$E$141</formula>
    </cfRule>
    <cfRule type="cellIs" dxfId="895" priority="52" stopIfTrue="1" operator="lessThanOrEqual">
      <formula>$E$141</formula>
    </cfRule>
  </conditionalFormatting>
  <conditionalFormatting sqref="H143:Q143">
    <cfRule type="cellIs" dxfId="894" priority="49" stopIfTrue="1" operator="lessThanOrEqual">
      <formula>$E$143</formula>
    </cfRule>
    <cfRule type="cellIs" dxfId="893" priority="50" stopIfTrue="1" operator="greaterThan">
      <formula>$E$143</formula>
    </cfRule>
  </conditionalFormatting>
  <conditionalFormatting sqref="H121:Q121">
    <cfRule type="cellIs" dxfId="892" priority="47" operator="greaterThan">
      <formula>$E$121</formula>
    </cfRule>
    <cfRule type="cellIs" dxfId="891" priority="48" operator="lessThanOrEqual">
      <formula>$E$121</formula>
    </cfRule>
  </conditionalFormatting>
  <conditionalFormatting sqref="H124:Q124">
    <cfRule type="cellIs" dxfId="890" priority="45" stopIfTrue="1" operator="greaterThanOrEqual">
      <formula>$E$124</formula>
    </cfRule>
    <cfRule type="cellIs" dxfId="889" priority="46" stopIfTrue="1" operator="lessThan">
      <formula>$E$124</formula>
    </cfRule>
  </conditionalFormatting>
  <conditionalFormatting sqref="H126:Q126">
    <cfRule type="cellIs" dxfId="888" priority="43" stopIfTrue="1" operator="lessThan">
      <formula>$E$126</formula>
    </cfRule>
    <cfRule type="cellIs" dxfId="887" priority="44" stopIfTrue="1" operator="greaterThanOrEqual">
      <formula>$E$126</formula>
    </cfRule>
  </conditionalFormatting>
  <conditionalFormatting sqref="H125:Q125">
    <cfRule type="cellIs" dxfId="886" priority="41" stopIfTrue="1" operator="greaterThan">
      <formula>$E$125</formula>
    </cfRule>
    <cfRule type="cellIs" dxfId="885" priority="42" stopIfTrue="1" operator="lessThanOrEqual">
      <formula>$E$125</formula>
    </cfRule>
  </conditionalFormatting>
  <conditionalFormatting sqref="H122:Q122">
    <cfRule type="cellIs" dxfId="884" priority="30" stopIfTrue="1" operator="between">
      <formula>$D$122</formula>
      <formula>$E$122</formula>
    </cfRule>
    <cfRule type="cellIs" dxfId="883" priority="39" stopIfTrue="1" operator="lessThanOrEqual">
      <formula>$D$122</formula>
    </cfRule>
    <cfRule type="cellIs" dxfId="882" priority="40" stopIfTrue="1" operator="greaterThan">
      <formula>$E$122</formula>
    </cfRule>
  </conditionalFormatting>
  <conditionalFormatting sqref="H142:Q142">
    <cfRule type="cellIs" dxfId="881" priority="37" stopIfTrue="1" operator="greaterThan">
      <formula>$E$142</formula>
    </cfRule>
    <cfRule type="cellIs" dxfId="880" priority="38" stopIfTrue="1" operator="lessThanOrEqual">
      <formula>$E$142</formula>
    </cfRule>
  </conditionalFormatting>
  <conditionalFormatting sqref="H130:Q130">
    <cfRule type="cellIs" dxfId="879" priority="35" stopIfTrue="1" operator="greaterThan">
      <formula>$E$130</formula>
    </cfRule>
    <cfRule type="cellIs" dxfId="878" priority="36" stopIfTrue="1" operator="lessThanOrEqual">
      <formula>$E$130</formula>
    </cfRule>
  </conditionalFormatting>
  <conditionalFormatting sqref="H131:Q131">
    <cfRule type="cellIs" dxfId="877" priority="33" stopIfTrue="1" operator="lessThan">
      <formula>$E$131</formula>
    </cfRule>
    <cfRule type="cellIs" dxfId="876" priority="34" stopIfTrue="1" operator="greaterThanOrEqual">
      <formula>$E$131</formula>
    </cfRule>
  </conditionalFormatting>
  <conditionalFormatting sqref="H114:Q114">
    <cfRule type="cellIs" dxfId="875" priority="53" stopIfTrue="1" operator="lessThan">
      <formula>$D$114</formula>
    </cfRule>
    <cfRule type="cellIs" dxfId="874" priority="54" stopIfTrue="1" operator="between">
      <formula>$D$114</formula>
      <formula>$E$114</formula>
    </cfRule>
    <cfRule type="cellIs" dxfId="873" priority="55" stopIfTrue="1" operator="greaterThan">
      <formula>$E$114</formula>
    </cfRule>
  </conditionalFormatting>
  <conditionalFormatting sqref="H138:Q138">
    <cfRule type="cellIs" dxfId="872" priority="56" stopIfTrue="1" operator="lessThan">
      <formula>$E$138</formula>
    </cfRule>
    <cfRule type="cellIs" dxfId="871" priority="57" stopIfTrue="1" operator="between">
      <formula>$D$138</formula>
      <formula>$E$138</formula>
    </cfRule>
    <cfRule type="cellIs" dxfId="870" priority="58" stopIfTrue="1" operator="greaterThanOrEqual">
      <formula>$D$138</formula>
    </cfRule>
  </conditionalFormatting>
  <conditionalFormatting sqref="H111:Q111">
    <cfRule type="cellIs" dxfId="869" priority="31" stopIfTrue="1" operator="lessThan">
      <formula>$E$111</formula>
    </cfRule>
    <cfRule type="cellIs" dxfId="868" priority="32" stopIfTrue="1" operator="greaterThan">
      <formula>$E$111</formula>
    </cfRule>
  </conditionalFormatting>
  <conditionalFormatting sqref="R141:S141">
    <cfRule type="cellIs" dxfId="867" priority="22" stopIfTrue="1" operator="greaterThan">
      <formula>$E$141</formula>
    </cfRule>
    <cfRule type="cellIs" dxfId="866" priority="23" stopIfTrue="1" operator="lessThanOrEqual">
      <formula>$E$141</formula>
    </cfRule>
  </conditionalFormatting>
  <conditionalFormatting sqref="R143:S143">
    <cfRule type="cellIs" dxfId="865" priority="20" stopIfTrue="1" operator="lessThanOrEqual">
      <formula>$E$143</formula>
    </cfRule>
    <cfRule type="cellIs" dxfId="864" priority="21" stopIfTrue="1" operator="greaterThan">
      <formula>$E$143</formula>
    </cfRule>
  </conditionalFormatting>
  <conditionalFormatting sqref="R121:S121">
    <cfRule type="cellIs" dxfId="863" priority="18" operator="greaterThan">
      <formula>$E$121</formula>
    </cfRule>
    <cfRule type="cellIs" dxfId="862" priority="19" operator="lessThanOrEqual">
      <formula>$E$121</formula>
    </cfRule>
  </conditionalFormatting>
  <conditionalFormatting sqref="R124:S124">
    <cfRule type="cellIs" dxfId="861" priority="16" stopIfTrue="1" operator="greaterThanOrEqual">
      <formula>$E$124</formula>
    </cfRule>
    <cfRule type="cellIs" dxfId="860" priority="17" stopIfTrue="1" operator="lessThan">
      <formula>$E$124</formula>
    </cfRule>
  </conditionalFormatting>
  <conditionalFormatting sqref="R126:S126">
    <cfRule type="cellIs" dxfId="859" priority="14" stopIfTrue="1" operator="lessThan">
      <formula>$E$126</formula>
    </cfRule>
    <cfRule type="cellIs" dxfId="858" priority="15" stopIfTrue="1" operator="greaterThanOrEqual">
      <formula>$E$126</formula>
    </cfRule>
  </conditionalFormatting>
  <conditionalFormatting sqref="R125:S125">
    <cfRule type="cellIs" dxfId="857" priority="12" stopIfTrue="1" operator="greaterThan">
      <formula>$E$125</formula>
    </cfRule>
    <cfRule type="cellIs" dxfId="856" priority="13" stopIfTrue="1" operator="lessThanOrEqual">
      <formula>$E$125</formula>
    </cfRule>
  </conditionalFormatting>
  <conditionalFormatting sqref="R122:S122">
    <cfRule type="cellIs" dxfId="855" priority="1" stopIfTrue="1" operator="between">
      <formula>$D$122</formula>
      <formula>$E$122</formula>
    </cfRule>
    <cfRule type="cellIs" dxfId="854" priority="10" stopIfTrue="1" operator="lessThanOrEqual">
      <formula>$D$122</formula>
    </cfRule>
    <cfRule type="cellIs" dxfId="853" priority="11" stopIfTrue="1" operator="greaterThan">
      <formula>$E$122</formula>
    </cfRule>
  </conditionalFormatting>
  <conditionalFormatting sqref="R142:S142">
    <cfRule type="cellIs" dxfId="852" priority="8" stopIfTrue="1" operator="greaterThan">
      <formula>$E$142</formula>
    </cfRule>
    <cfRule type="cellIs" dxfId="851" priority="9" stopIfTrue="1" operator="lessThanOrEqual">
      <formula>$E$142</formula>
    </cfRule>
  </conditionalFormatting>
  <conditionalFormatting sqref="R130:S130">
    <cfRule type="cellIs" dxfId="850" priority="6" stopIfTrue="1" operator="greaterThan">
      <formula>$E$130</formula>
    </cfRule>
    <cfRule type="cellIs" dxfId="849" priority="7" stopIfTrue="1" operator="lessThanOrEqual">
      <formula>$E$130</formula>
    </cfRule>
  </conditionalFormatting>
  <conditionalFormatting sqref="R131:S131">
    <cfRule type="cellIs" dxfId="848" priority="4" stopIfTrue="1" operator="lessThan">
      <formula>$E$131</formula>
    </cfRule>
    <cfRule type="cellIs" dxfId="847" priority="5" stopIfTrue="1" operator="greaterThanOrEqual">
      <formula>$E$131</formula>
    </cfRule>
  </conditionalFormatting>
  <conditionalFormatting sqref="R114:S114">
    <cfRule type="cellIs" dxfId="846" priority="24" stopIfTrue="1" operator="lessThan">
      <formula>$D$114</formula>
    </cfRule>
    <cfRule type="cellIs" dxfId="845" priority="25" stopIfTrue="1" operator="between">
      <formula>$D$114</formula>
      <formula>$E$114</formula>
    </cfRule>
    <cfRule type="cellIs" dxfId="844" priority="26" stopIfTrue="1" operator="greaterThan">
      <formula>$E$114</formula>
    </cfRule>
  </conditionalFormatting>
  <conditionalFormatting sqref="R138:S138">
    <cfRule type="cellIs" dxfId="843" priority="27" stopIfTrue="1" operator="lessThan">
      <formula>$E$138</formula>
    </cfRule>
    <cfRule type="cellIs" dxfId="842" priority="28" stopIfTrue="1" operator="between">
      <formula>$D$138</formula>
      <formula>$E$138</formula>
    </cfRule>
    <cfRule type="cellIs" dxfId="841" priority="29" stopIfTrue="1" operator="greaterThanOrEqual">
      <formula>$D$138</formula>
    </cfRule>
  </conditionalFormatting>
  <conditionalFormatting sqref="R111:S111">
    <cfRule type="cellIs" dxfId="840" priority="2" stopIfTrue="1" operator="lessThan">
      <formula>$E$111</formula>
    </cfRule>
    <cfRule type="cellIs" dxfId="839" priority="3" stopIfTrue="1" operator="greaterThan">
      <formula>$E$111</formula>
    </cfRule>
  </conditionalFormatting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40D02-E932-45FE-BE47-CB532C9CB938}">
  <dimension ref="A1:S150"/>
  <sheetViews>
    <sheetView workbookViewId="0">
      <selection activeCell="H2" sqref="H2"/>
    </sheetView>
  </sheetViews>
  <sheetFormatPr defaultRowHeight="11.25" x14ac:dyDescent="0.2"/>
  <cols>
    <col min="1" max="1" width="5.7109375" style="333" bestFit="1" customWidth="1"/>
    <col min="2" max="2" width="5" style="311" bestFit="1" customWidth="1"/>
    <col min="3" max="3" width="21" style="336" bestFit="1" customWidth="1"/>
    <col min="4" max="4" width="7.28515625" style="336" customWidth="1"/>
    <col min="5" max="5" width="5.140625" style="334" bestFit="1" customWidth="1"/>
    <col min="6" max="6" width="2.140625" style="333" customWidth="1"/>
    <col min="7" max="7" width="21.5703125" style="388" customWidth="1"/>
    <col min="8" max="11" width="8.7109375" style="373" customWidth="1"/>
    <col min="12" max="19" width="8.7109375" style="373" bestFit="1" customWidth="1"/>
    <col min="20" max="256" width="9.140625" style="373"/>
    <col min="257" max="257" width="5.7109375" style="373" bestFit="1" customWidth="1"/>
    <col min="258" max="258" width="5" style="373" bestFit="1" customWidth="1"/>
    <col min="259" max="259" width="21" style="373" bestFit="1" customWidth="1"/>
    <col min="260" max="260" width="7.28515625" style="373" customWidth="1"/>
    <col min="261" max="261" width="5.140625" style="373" bestFit="1" customWidth="1"/>
    <col min="262" max="262" width="2.140625" style="373" customWidth="1"/>
    <col min="263" max="263" width="21.5703125" style="373" customWidth="1"/>
    <col min="264" max="267" width="8.7109375" style="373" customWidth="1"/>
    <col min="268" max="275" width="8.7109375" style="373" bestFit="1" customWidth="1"/>
    <col min="276" max="512" width="9.140625" style="373"/>
    <col min="513" max="513" width="5.7109375" style="373" bestFit="1" customWidth="1"/>
    <col min="514" max="514" width="5" style="373" bestFit="1" customWidth="1"/>
    <col min="515" max="515" width="21" style="373" bestFit="1" customWidth="1"/>
    <col min="516" max="516" width="7.28515625" style="373" customWidth="1"/>
    <col min="517" max="517" width="5.140625" style="373" bestFit="1" customWidth="1"/>
    <col min="518" max="518" width="2.140625" style="373" customWidth="1"/>
    <col min="519" max="519" width="21.5703125" style="373" customWidth="1"/>
    <col min="520" max="523" width="8.7109375" style="373" customWidth="1"/>
    <col min="524" max="531" width="8.7109375" style="373" bestFit="1" customWidth="1"/>
    <col min="532" max="768" width="9.140625" style="373"/>
    <col min="769" max="769" width="5.7109375" style="373" bestFit="1" customWidth="1"/>
    <col min="770" max="770" width="5" style="373" bestFit="1" customWidth="1"/>
    <col min="771" max="771" width="21" style="373" bestFit="1" customWidth="1"/>
    <col min="772" max="772" width="7.28515625" style="373" customWidth="1"/>
    <col min="773" max="773" width="5.140625" style="373" bestFit="1" customWidth="1"/>
    <col min="774" max="774" width="2.140625" style="373" customWidth="1"/>
    <col min="775" max="775" width="21.5703125" style="373" customWidth="1"/>
    <col min="776" max="779" width="8.7109375" style="373" customWidth="1"/>
    <col min="780" max="787" width="8.7109375" style="373" bestFit="1" customWidth="1"/>
    <col min="788" max="1024" width="9.140625" style="373"/>
    <col min="1025" max="1025" width="5.7109375" style="373" bestFit="1" customWidth="1"/>
    <col min="1026" max="1026" width="5" style="373" bestFit="1" customWidth="1"/>
    <col min="1027" max="1027" width="21" style="373" bestFit="1" customWidth="1"/>
    <col min="1028" max="1028" width="7.28515625" style="373" customWidth="1"/>
    <col min="1029" max="1029" width="5.140625" style="373" bestFit="1" customWidth="1"/>
    <col min="1030" max="1030" width="2.140625" style="373" customWidth="1"/>
    <col min="1031" max="1031" width="21.5703125" style="373" customWidth="1"/>
    <col min="1032" max="1035" width="8.7109375" style="373" customWidth="1"/>
    <col min="1036" max="1043" width="8.7109375" style="373" bestFit="1" customWidth="1"/>
    <col min="1044" max="1280" width="9.140625" style="373"/>
    <col min="1281" max="1281" width="5.7109375" style="373" bestFit="1" customWidth="1"/>
    <col min="1282" max="1282" width="5" style="373" bestFit="1" customWidth="1"/>
    <col min="1283" max="1283" width="21" style="373" bestFit="1" customWidth="1"/>
    <col min="1284" max="1284" width="7.28515625" style="373" customWidth="1"/>
    <col min="1285" max="1285" width="5.140625" style="373" bestFit="1" customWidth="1"/>
    <col min="1286" max="1286" width="2.140625" style="373" customWidth="1"/>
    <col min="1287" max="1287" width="21.5703125" style="373" customWidth="1"/>
    <col min="1288" max="1291" width="8.7109375" style="373" customWidth="1"/>
    <col min="1292" max="1299" width="8.7109375" style="373" bestFit="1" customWidth="1"/>
    <col min="1300" max="1536" width="9.140625" style="373"/>
    <col min="1537" max="1537" width="5.7109375" style="373" bestFit="1" customWidth="1"/>
    <col min="1538" max="1538" width="5" style="373" bestFit="1" customWidth="1"/>
    <col min="1539" max="1539" width="21" style="373" bestFit="1" customWidth="1"/>
    <col min="1540" max="1540" width="7.28515625" style="373" customWidth="1"/>
    <col min="1541" max="1541" width="5.140625" style="373" bestFit="1" customWidth="1"/>
    <col min="1542" max="1542" width="2.140625" style="373" customWidth="1"/>
    <col min="1543" max="1543" width="21.5703125" style="373" customWidth="1"/>
    <col min="1544" max="1547" width="8.7109375" style="373" customWidth="1"/>
    <col min="1548" max="1555" width="8.7109375" style="373" bestFit="1" customWidth="1"/>
    <col min="1556" max="1792" width="9.140625" style="373"/>
    <col min="1793" max="1793" width="5.7109375" style="373" bestFit="1" customWidth="1"/>
    <col min="1794" max="1794" width="5" style="373" bestFit="1" customWidth="1"/>
    <col min="1795" max="1795" width="21" style="373" bestFit="1" customWidth="1"/>
    <col min="1796" max="1796" width="7.28515625" style="373" customWidth="1"/>
    <col min="1797" max="1797" width="5.140625" style="373" bestFit="1" customWidth="1"/>
    <col min="1798" max="1798" width="2.140625" style="373" customWidth="1"/>
    <col min="1799" max="1799" width="21.5703125" style="373" customWidth="1"/>
    <col min="1800" max="1803" width="8.7109375" style="373" customWidth="1"/>
    <col min="1804" max="1811" width="8.7109375" style="373" bestFit="1" customWidth="1"/>
    <col min="1812" max="2048" width="9.140625" style="373"/>
    <col min="2049" max="2049" width="5.7109375" style="373" bestFit="1" customWidth="1"/>
    <col min="2050" max="2050" width="5" style="373" bestFit="1" customWidth="1"/>
    <col min="2051" max="2051" width="21" style="373" bestFit="1" customWidth="1"/>
    <col min="2052" max="2052" width="7.28515625" style="373" customWidth="1"/>
    <col min="2053" max="2053" width="5.140625" style="373" bestFit="1" customWidth="1"/>
    <col min="2054" max="2054" width="2.140625" style="373" customWidth="1"/>
    <col min="2055" max="2055" width="21.5703125" style="373" customWidth="1"/>
    <col min="2056" max="2059" width="8.7109375" style="373" customWidth="1"/>
    <col min="2060" max="2067" width="8.7109375" style="373" bestFit="1" customWidth="1"/>
    <col min="2068" max="2304" width="9.140625" style="373"/>
    <col min="2305" max="2305" width="5.7109375" style="373" bestFit="1" customWidth="1"/>
    <col min="2306" max="2306" width="5" style="373" bestFit="1" customWidth="1"/>
    <col min="2307" max="2307" width="21" style="373" bestFit="1" customWidth="1"/>
    <col min="2308" max="2308" width="7.28515625" style="373" customWidth="1"/>
    <col min="2309" max="2309" width="5.140625" style="373" bestFit="1" customWidth="1"/>
    <col min="2310" max="2310" width="2.140625" style="373" customWidth="1"/>
    <col min="2311" max="2311" width="21.5703125" style="373" customWidth="1"/>
    <col min="2312" max="2315" width="8.7109375" style="373" customWidth="1"/>
    <col min="2316" max="2323" width="8.7109375" style="373" bestFit="1" customWidth="1"/>
    <col min="2324" max="2560" width="9.140625" style="373"/>
    <col min="2561" max="2561" width="5.7109375" style="373" bestFit="1" customWidth="1"/>
    <col min="2562" max="2562" width="5" style="373" bestFit="1" customWidth="1"/>
    <col min="2563" max="2563" width="21" style="373" bestFit="1" customWidth="1"/>
    <col min="2564" max="2564" width="7.28515625" style="373" customWidth="1"/>
    <col min="2565" max="2565" width="5.140625" style="373" bestFit="1" customWidth="1"/>
    <col min="2566" max="2566" width="2.140625" style="373" customWidth="1"/>
    <col min="2567" max="2567" width="21.5703125" style="373" customWidth="1"/>
    <col min="2568" max="2571" width="8.7109375" style="373" customWidth="1"/>
    <col min="2572" max="2579" width="8.7109375" style="373" bestFit="1" customWidth="1"/>
    <col min="2580" max="2816" width="9.140625" style="373"/>
    <col min="2817" max="2817" width="5.7109375" style="373" bestFit="1" customWidth="1"/>
    <col min="2818" max="2818" width="5" style="373" bestFit="1" customWidth="1"/>
    <col min="2819" max="2819" width="21" style="373" bestFit="1" customWidth="1"/>
    <col min="2820" max="2820" width="7.28515625" style="373" customWidth="1"/>
    <col min="2821" max="2821" width="5.140625" style="373" bestFit="1" customWidth="1"/>
    <col min="2822" max="2822" width="2.140625" style="373" customWidth="1"/>
    <col min="2823" max="2823" width="21.5703125" style="373" customWidth="1"/>
    <col min="2824" max="2827" width="8.7109375" style="373" customWidth="1"/>
    <col min="2828" max="2835" width="8.7109375" style="373" bestFit="1" customWidth="1"/>
    <col min="2836" max="3072" width="9.140625" style="373"/>
    <col min="3073" max="3073" width="5.7109375" style="373" bestFit="1" customWidth="1"/>
    <col min="3074" max="3074" width="5" style="373" bestFit="1" customWidth="1"/>
    <col min="3075" max="3075" width="21" style="373" bestFit="1" customWidth="1"/>
    <col min="3076" max="3076" width="7.28515625" style="373" customWidth="1"/>
    <col min="3077" max="3077" width="5.140625" style="373" bestFit="1" customWidth="1"/>
    <col min="3078" max="3078" width="2.140625" style="373" customWidth="1"/>
    <col min="3079" max="3079" width="21.5703125" style="373" customWidth="1"/>
    <col min="3080" max="3083" width="8.7109375" style="373" customWidth="1"/>
    <col min="3084" max="3091" width="8.7109375" style="373" bestFit="1" customWidth="1"/>
    <col min="3092" max="3328" width="9.140625" style="373"/>
    <col min="3329" max="3329" width="5.7109375" style="373" bestFit="1" customWidth="1"/>
    <col min="3330" max="3330" width="5" style="373" bestFit="1" customWidth="1"/>
    <col min="3331" max="3331" width="21" style="373" bestFit="1" customWidth="1"/>
    <col min="3332" max="3332" width="7.28515625" style="373" customWidth="1"/>
    <col min="3333" max="3333" width="5.140625" style="373" bestFit="1" customWidth="1"/>
    <col min="3334" max="3334" width="2.140625" style="373" customWidth="1"/>
    <col min="3335" max="3335" width="21.5703125" style="373" customWidth="1"/>
    <col min="3336" max="3339" width="8.7109375" style="373" customWidth="1"/>
    <col min="3340" max="3347" width="8.7109375" style="373" bestFit="1" customWidth="1"/>
    <col min="3348" max="3584" width="9.140625" style="373"/>
    <col min="3585" max="3585" width="5.7109375" style="373" bestFit="1" customWidth="1"/>
    <col min="3586" max="3586" width="5" style="373" bestFit="1" customWidth="1"/>
    <col min="3587" max="3587" width="21" style="373" bestFit="1" customWidth="1"/>
    <col min="3588" max="3588" width="7.28515625" style="373" customWidth="1"/>
    <col min="3589" max="3589" width="5.140625" style="373" bestFit="1" customWidth="1"/>
    <col min="3590" max="3590" width="2.140625" style="373" customWidth="1"/>
    <col min="3591" max="3591" width="21.5703125" style="373" customWidth="1"/>
    <col min="3592" max="3595" width="8.7109375" style="373" customWidth="1"/>
    <col min="3596" max="3603" width="8.7109375" style="373" bestFit="1" customWidth="1"/>
    <col min="3604" max="3840" width="9.140625" style="373"/>
    <col min="3841" max="3841" width="5.7109375" style="373" bestFit="1" customWidth="1"/>
    <col min="3842" max="3842" width="5" style="373" bestFit="1" customWidth="1"/>
    <col min="3843" max="3843" width="21" style="373" bestFit="1" customWidth="1"/>
    <col min="3844" max="3844" width="7.28515625" style="373" customWidth="1"/>
    <col min="3845" max="3845" width="5.140625" style="373" bestFit="1" customWidth="1"/>
    <col min="3846" max="3846" width="2.140625" style="373" customWidth="1"/>
    <col min="3847" max="3847" width="21.5703125" style="373" customWidth="1"/>
    <col min="3848" max="3851" width="8.7109375" style="373" customWidth="1"/>
    <col min="3852" max="3859" width="8.7109375" style="373" bestFit="1" customWidth="1"/>
    <col min="3860" max="4096" width="9.140625" style="373"/>
    <col min="4097" max="4097" width="5.7109375" style="373" bestFit="1" customWidth="1"/>
    <col min="4098" max="4098" width="5" style="373" bestFit="1" customWidth="1"/>
    <col min="4099" max="4099" width="21" style="373" bestFit="1" customWidth="1"/>
    <col min="4100" max="4100" width="7.28515625" style="373" customWidth="1"/>
    <col min="4101" max="4101" width="5.140625" style="373" bestFit="1" customWidth="1"/>
    <col min="4102" max="4102" width="2.140625" style="373" customWidth="1"/>
    <col min="4103" max="4103" width="21.5703125" style="373" customWidth="1"/>
    <col min="4104" max="4107" width="8.7109375" style="373" customWidth="1"/>
    <col min="4108" max="4115" width="8.7109375" style="373" bestFit="1" customWidth="1"/>
    <col min="4116" max="4352" width="9.140625" style="373"/>
    <col min="4353" max="4353" width="5.7109375" style="373" bestFit="1" customWidth="1"/>
    <col min="4354" max="4354" width="5" style="373" bestFit="1" customWidth="1"/>
    <col min="4355" max="4355" width="21" style="373" bestFit="1" customWidth="1"/>
    <col min="4356" max="4356" width="7.28515625" style="373" customWidth="1"/>
    <col min="4357" max="4357" width="5.140625" style="373" bestFit="1" customWidth="1"/>
    <col min="4358" max="4358" width="2.140625" style="373" customWidth="1"/>
    <col min="4359" max="4359" width="21.5703125" style="373" customWidth="1"/>
    <col min="4360" max="4363" width="8.7109375" style="373" customWidth="1"/>
    <col min="4364" max="4371" width="8.7109375" style="373" bestFit="1" customWidth="1"/>
    <col min="4372" max="4608" width="9.140625" style="373"/>
    <col min="4609" max="4609" width="5.7109375" style="373" bestFit="1" customWidth="1"/>
    <col min="4610" max="4610" width="5" style="373" bestFit="1" customWidth="1"/>
    <col min="4611" max="4611" width="21" style="373" bestFit="1" customWidth="1"/>
    <col min="4612" max="4612" width="7.28515625" style="373" customWidth="1"/>
    <col min="4613" max="4613" width="5.140625" style="373" bestFit="1" customWidth="1"/>
    <col min="4614" max="4614" width="2.140625" style="373" customWidth="1"/>
    <col min="4615" max="4615" width="21.5703125" style="373" customWidth="1"/>
    <col min="4616" max="4619" width="8.7109375" style="373" customWidth="1"/>
    <col min="4620" max="4627" width="8.7109375" style="373" bestFit="1" customWidth="1"/>
    <col min="4628" max="4864" width="9.140625" style="373"/>
    <col min="4865" max="4865" width="5.7109375" style="373" bestFit="1" customWidth="1"/>
    <col min="4866" max="4866" width="5" style="373" bestFit="1" customWidth="1"/>
    <col min="4867" max="4867" width="21" style="373" bestFit="1" customWidth="1"/>
    <col min="4868" max="4868" width="7.28515625" style="373" customWidth="1"/>
    <col min="4869" max="4869" width="5.140625" style="373" bestFit="1" customWidth="1"/>
    <col min="4870" max="4870" width="2.140625" style="373" customWidth="1"/>
    <col min="4871" max="4871" width="21.5703125" style="373" customWidth="1"/>
    <col min="4872" max="4875" width="8.7109375" style="373" customWidth="1"/>
    <col min="4876" max="4883" width="8.7109375" style="373" bestFit="1" customWidth="1"/>
    <col min="4884" max="5120" width="9.140625" style="373"/>
    <col min="5121" max="5121" width="5.7109375" style="373" bestFit="1" customWidth="1"/>
    <col min="5122" max="5122" width="5" style="373" bestFit="1" customWidth="1"/>
    <col min="5123" max="5123" width="21" style="373" bestFit="1" customWidth="1"/>
    <col min="5124" max="5124" width="7.28515625" style="373" customWidth="1"/>
    <col min="5125" max="5125" width="5.140625" style="373" bestFit="1" customWidth="1"/>
    <col min="5126" max="5126" width="2.140625" style="373" customWidth="1"/>
    <col min="5127" max="5127" width="21.5703125" style="373" customWidth="1"/>
    <col min="5128" max="5131" width="8.7109375" style="373" customWidth="1"/>
    <col min="5132" max="5139" width="8.7109375" style="373" bestFit="1" customWidth="1"/>
    <col min="5140" max="5376" width="9.140625" style="373"/>
    <col min="5377" max="5377" width="5.7109375" style="373" bestFit="1" customWidth="1"/>
    <col min="5378" max="5378" width="5" style="373" bestFit="1" customWidth="1"/>
    <col min="5379" max="5379" width="21" style="373" bestFit="1" customWidth="1"/>
    <col min="5380" max="5380" width="7.28515625" style="373" customWidth="1"/>
    <col min="5381" max="5381" width="5.140625" style="373" bestFit="1" customWidth="1"/>
    <col min="5382" max="5382" width="2.140625" style="373" customWidth="1"/>
    <col min="5383" max="5383" width="21.5703125" style="373" customWidth="1"/>
    <col min="5384" max="5387" width="8.7109375" style="373" customWidth="1"/>
    <col min="5388" max="5395" width="8.7109375" style="373" bestFit="1" customWidth="1"/>
    <col min="5396" max="5632" width="9.140625" style="373"/>
    <col min="5633" max="5633" width="5.7109375" style="373" bestFit="1" customWidth="1"/>
    <col min="5634" max="5634" width="5" style="373" bestFit="1" customWidth="1"/>
    <col min="5635" max="5635" width="21" style="373" bestFit="1" customWidth="1"/>
    <col min="5636" max="5636" width="7.28515625" style="373" customWidth="1"/>
    <col min="5637" max="5637" width="5.140625" style="373" bestFit="1" customWidth="1"/>
    <col min="5638" max="5638" width="2.140625" style="373" customWidth="1"/>
    <col min="5639" max="5639" width="21.5703125" style="373" customWidth="1"/>
    <col min="5640" max="5643" width="8.7109375" style="373" customWidth="1"/>
    <col min="5644" max="5651" width="8.7109375" style="373" bestFit="1" customWidth="1"/>
    <col min="5652" max="5888" width="9.140625" style="373"/>
    <col min="5889" max="5889" width="5.7109375" style="373" bestFit="1" customWidth="1"/>
    <col min="5890" max="5890" width="5" style="373" bestFit="1" customWidth="1"/>
    <col min="5891" max="5891" width="21" style="373" bestFit="1" customWidth="1"/>
    <col min="5892" max="5892" width="7.28515625" style="373" customWidth="1"/>
    <col min="5893" max="5893" width="5.140625" style="373" bestFit="1" customWidth="1"/>
    <col min="5894" max="5894" width="2.140625" style="373" customWidth="1"/>
    <col min="5895" max="5895" width="21.5703125" style="373" customWidth="1"/>
    <col min="5896" max="5899" width="8.7109375" style="373" customWidth="1"/>
    <col min="5900" max="5907" width="8.7109375" style="373" bestFit="1" customWidth="1"/>
    <col min="5908" max="6144" width="9.140625" style="373"/>
    <col min="6145" max="6145" width="5.7109375" style="373" bestFit="1" customWidth="1"/>
    <col min="6146" max="6146" width="5" style="373" bestFit="1" customWidth="1"/>
    <col min="6147" max="6147" width="21" style="373" bestFit="1" customWidth="1"/>
    <col min="6148" max="6148" width="7.28515625" style="373" customWidth="1"/>
    <col min="6149" max="6149" width="5.140625" style="373" bestFit="1" customWidth="1"/>
    <col min="6150" max="6150" width="2.140625" style="373" customWidth="1"/>
    <col min="6151" max="6151" width="21.5703125" style="373" customWidth="1"/>
    <col min="6152" max="6155" width="8.7109375" style="373" customWidth="1"/>
    <col min="6156" max="6163" width="8.7109375" style="373" bestFit="1" customWidth="1"/>
    <col min="6164" max="6400" width="9.140625" style="373"/>
    <col min="6401" max="6401" width="5.7109375" style="373" bestFit="1" customWidth="1"/>
    <col min="6402" max="6402" width="5" style="373" bestFit="1" customWidth="1"/>
    <col min="6403" max="6403" width="21" style="373" bestFit="1" customWidth="1"/>
    <col min="6404" max="6404" width="7.28515625" style="373" customWidth="1"/>
    <col min="6405" max="6405" width="5.140625" style="373" bestFit="1" customWidth="1"/>
    <col min="6406" max="6406" width="2.140625" style="373" customWidth="1"/>
    <col min="6407" max="6407" width="21.5703125" style="373" customWidth="1"/>
    <col min="6408" max="6411" width="8.7109375" style="373" customWidth="1"/>
    <col min="6412" max="6419" width="8.7109375" style="373" bestFit="1" customWidth="1"/>
    <col min="6420" max="6656" width="9.140625" style="373"/>
    <col min="6657" max="6657" width="5.7109375" style="373" bestFit="1" customWidth="1"/>
    <col min="6658" max="6658" width="5" style="373" bestFit="1" customWidth="1"/>
    <col min="6659" max="6659" width="21" style="373" bestFit="1" customWidth="1"/>
    <col min="6660" max="6660" width="7.28515625" style="373" customWidth="1"/>
    <col min="6661" max="6661" width="5.140625" style="373" bestFit="1" customWidth="1"/>
    <col min="6662" max="6662" width="2.140625" style="373" customWidth="1"/>
    <col min="6663" max="6663" width="21.5703125" style="373" customWidth="1"/>
    <col min="6664" max="6667" width="8.7109375" style="373" customWidth="1"/>
    <col min="6668" max="6675" width="8.7109375" style="373" bestFit="1" customWidth="1"/>
    <col min="6676" max="6912" width="9.140625" style="373"/>
    <col min="6913" max="6913" width="5.7109375" style="373" bestFit="1" customWidth="1"/>
    <col min="6914" max="6914" width="5" style="373" bestFit="1" customWidth="1"/>
    <col min="6915" max="6915" width="21" style="373" bestFit="1" customWidth="1"/>
    <col min="6916" max="6916" width="7.28515625" style="373" customWidth="1"/>
    <col min="6917" max="6917" width="5.140625" style="373" bestFit="1" customWidth="1"/>
    <col min="6918" max="6918" width="2.140625" style="373" customWidth="1"/>
    <col min="6919" max="6919" width="21.5703125" style="373" customWidth="1"/>
    <col min="6920" max="6923" width="8.7109375" style="373" customWidth="1"/>
    <col min="6924" max="6931" width="8.7109375" style="373" bestFit="1" customWidth="1"/>
    <col min="6932" max="7168" width="9.140625" style="373"/>
    <col min="7169" max="7169" width="5.7109375" style="373" bestFit="1" customWidth="1"/>
    <col min="7170" max="7170" width="5" style="373" bestFit="1" customWidth="1"/>
    <col min="7171" max="7171" width="21" style="373" bestFit="1" customWidth="1"/>
    <col min="7172" max="7172" width="7.28515625" style="373" customWidth="1"/>
    <col min="7173" max="7173" width="5.140625" style="373" bestFit="1" customWidth="1"/>
    <col min="7174" max="7174" width="2.140625" style="373" customWidth="1"/>
    <col min="7175" max="7175" width="21.5703125" style="373" customWidth="1"/>
    <col min="7176" max="7179" width="8.7109375" style="373" customWidth="1"/>
    <col min="7180" max="7187" width="8.7109375" style="373" bestFit="1" customWidth="1"/>
    <col min="7188" max="7424" width="9.140625" style="373"/>
    <col min="7425" max="7425" width="5.7109375" style="373" bestFit="1" customWidth="1"/>
    <col min="7426" max="7426" width="5" style="373" bestFit="1" customWidth="1"/>
    <col min="7427" max="7427" width="21" style="373" bestFit="1" customWidth="1"/>
    <col min="7428" max="7428" width="7.28515625" style="373" customWidth="1"/>
    <col min="7429" max="7429" width="5.140625" style="373" bestFit="1" customWidth="1"/>
    <col min="7430" max="7430" width="2.140625" style="373" customWidth="1"/>
    <col min="7431" max="7431" width="21.5703125" style="373" customWidth="1"/>
    <col min="7432" max="7435" width="8.7109375" style="373" customWidth="1"/>
    <col min="7436" max="7443" width="8.7109375" style="373" bestFit="1" customWidth="1"/>
    <col min="7444" max="7680" width="9.140625" style="373"/>
    <col min="7681" max="7681" width="5.7109375" style="373" bestFit="1" customWidth="1"/>
    <col min="7682" max="7682" width="5" style="373" bestFit="1" customWidth="1"/>
    <col min="7683" max="7683" width="21" style="373" bestFit="1" customWidth="1"/>
    <col min="7684" max="7684" width="7.28515625" style="373" customWidth="1"/>
    <col min="7685" max="7685" width="5.140625" style="373" bestFit="1" customWidth="1"/>
    <col min="7686" max="7686" width="2.140625" style="373" customWidth="1"/>
    <col min="7687" max="7687" width="21.5703125" style="373" customWidth="1"/>
    <col min="7688" max="7691" width="8.7109375" style="373" customWidth="1"/>
    <col min="7692" max="7699" width="8.7109375" style="373" bestFit="1" customWidth="1"/>
    <col min="7700" max="7936" width="9.140625" style="373"/>
    <col min="7937" max="7937" width="5.7109375" style="373" bestFit="1" customWidth="1"/>
    <col min="7938" max="7938" width="5" style="373" bestFit="1" customWidth="1"/>
    <col min="7939" max="7939" width="21" style="373" bestFit="1" customWidth="1"/>
    <col min="7940" max="7940" width="7.28515625" style="373" customWidth="1"/>
    <col min="7941" max="7941" width="5.140625" style="373" bestFit="1" customWidth="1"/>
    <col min="7942" max="7942" width="2.140625" style="373" customWidth="1"/>
    <col min="7943" max="7943" width="21.5703125" style="373" customWidth="1"/>
    <col min="7944" max="7947" width="8.7109375" style="373" customWidth="1"/>
    <col min="7948" max="7955" width="8.7109375" style="373" bestFit="1" customWidth="1"/>
    <col min="7956" max="8192" width="9.140625" style="373"/>
    <col min="8193" max="8193" width="5.7109375" style="373" bestFit="1" customWidth="1"/>
    <col min="8194" max="8194" width="5" style="373" bestFit="1" customWidth="1"/>
    <col min="8195" max="8195" width="21" style="373" bestFit="1" customWidth="1"/>
    <col min="8196" max="8196" width="7.28515625" style="373" customWidth="1"/>
    <col min="8197" max="8197" width="5.140625" style="373" bestFit="1" customWidth="1"/>
    <col min="8198" max="8198" width="2.140625" style="373" customWidth="1"/>
    <col min="8199" max="8199" width="21.5703125" style="373" customWidth="1"/>
    <col min="8200" max="8203" width="8.7109375" style="373" customWidth="1"/>
    <col min="8204" max="8211" width="8.7109375" style="373" bestFit="1" customWidth="1"/>
    <col min="8212" max="8448" width="9.140625" style="373"/>
    <col min="8449" max="8449" width="5.7109375" style="373" bestFit="1" customWidth="1"/>
    <col min="8450" max="8450" width="5" style="373" bestFit="1" customWidth="1"/>
    <col min="8451" max="8451" width="21" style="373" bestFit="1" customWidth="1"/>
    <col min="8452" max="8452" width="7.28515625" style="373" customWidth="1"/>
    <col min="8453" max="8453" width="5.140625" style="373" bestFit="1" customWidth="1"/>
    <col min="8454" max="8454" width="2.140625" style="373" customWidth="1"/>
    <col min="8455" max="8455" width="21.5703125" style="373" customWidth="1"/>
    <col min="8456" max="8459" width="8.7109375" style="373" customWidth="1"/>
    <col min="8460" max="8467" width="8.7109375" style="373" bestFit="1" customWidth="1"/>
    <col min="8468" max="8704" width="9.140625" style="373"/>
    <col min="8705" max="8705" width="5.7109375" style="373" bestFit="1" customWidth="1"/>
    <col min="8706" max="8706" width="5" style="373" bestFit="1" customWidth="1"/>
    <col min="8707" max="8707" width="21" style="373" bestFit="1" customWidth="1"/>
    <col min="8708" max="8708" width="7.28515625" style="373" customWidth="1"/>
    <col min="8709" max="8709" width="5.140625" style="373" bestFit="1" customWidth="1"/>
    <col min="8710" max="8710" width="2.140625" style="373" customWidth="1"/>
    <col min="8711" max="8711" width="21.5703125" style="373" customWidth="1"/>
    <col min="8712" max="8715" width="8.7109375" style="373" customWidth="1"/>
    <col min="8716" max="8723" width="8.7109375" style="373" bestFit="1" customWidth="1"/>
    <col min="8724" max="8960" width="9.140625" style="373"/>
    <col min="8961" max="8961" width="5.7109375" style="373" bestFit="1" customWidth="1"/>
    <col min="8962" max="8962" width="5" style="373" bestFit="1" customWidth="1"/>
    <col min="8963" max="8963" width="21" style="373" bestFit="1" customWidth="1"/>
    <col min="8964" max="8964" width="7.28515625" style="373" customWidth="1"/>
    <col min="8965" max="8965" width="5.140625" style="373" bestFit="1" customWidth="1"/>
    <col min="8966" max="8966" width="2.140625" style="373" customWidth="1"/>
    <col min="8967" max="8967" width="21.5703125" style="373" customWidth="1"/>
    <col min="8968" max="8971" width="8.7109375" style="373" customWidth="1"/>
    <col min="8972" max="8979" width="8.7109375" style="373" bestFit="1" customWidth="1"/>
    <col min="8980" max="9216" width="9.140625" style="373"/>
    <col min="9217" max="9217" width="5.7109375" style="373" bestFit="1" customWidth="1"/>
    <col min="9218" max="9218" width="5" style="373" bestFit="1" customWidth="1"/>
    <col min="9219" max="9219" width="21" style="373" bestFit="1" customWidth="1"/>
    <col min="9220" max="9220" width="7.28515625" style="373" customWidth="1"/>
    <col min="9221" max="9221" width="5.140625" style="373" bestFit="1" customWidth="1"/>
    <col min="9222" max="9222" width="2.140625" style="373" customWidth="1"/>
    <col min="9223" max="9223" width="21.5703125" style="373" customWidth="1"/>
    <col min="9224" max="9227" width="8.7109375" style="373" customWidth="1"/>
    <col min="9228" max="9235" width="8.7109375" style="373" bestFit="1" customWidth="1"/>
    <col min="9236" max="9472" width="9.140625" style="373"/>
    <col min="9473" max="9473" width="5.7109375" style="373" bestFit="1" customWidth="1"/>
    <col min="9474" max="9474" width="5" style="373" bestFit="1" customWidth="1"/>
    <col min="9475" max="9475" width="21" style="373" bestFit="1" customWidth="1"/>
    <col min="9476" max="9476" width="7.28515625" style="373" customWidth="1"/>
    <col min="9477" max="9477" width="5.140625" style="373" bestFit="1" customWidth="1"/>
    <col min="9478" max="9478" width="2.140625" style="373" customWidth="1"/>
    <col min="9479" max="9479" width="21.5703125" style="373" customWidth="1"/>
    <col min="9480" max="9483" width="8.7109375" style="373" customWidth="1"/>
    <col min="9484" max="9491" width="8.7109375" style="373" bestFit="1" customWidth="1"/>
    <col min="9492" max="9728" width="9.140625" style="373"/>
    <col min="9729" max="9729" width="5.7109375" style="373" bestFit="1" customWidth="1"/>
    <col min="9730" max="9730" width="5" style="373" bestFit="1" customWidth="1"/>
    <col min="9731" max="9731" width="21" style="373" bestFit="1" customWidth="1"/>
    <col min="9732" max="9732" width="7.28515625" style="373" customWidth="1"/>
    <col min="9733" max="9733" width="5.140625" style="373" bestFit="1" customWidth="1"/>
    <col min="9734" max="9734" width="2.140625" style="373" customWidth="1"/>
    <col min="9735" max="9735" width="21.5703125" style="373" customWidth="1"/>
    <col min="9736" max="9739" width="8.7109375" style="373" customWidth="1"/>
    <col min="9740" max="9747" width="8.7109375" style="373" bestFit="1" customWidth="1"/>
    <col min="9748" max="9984" width="9.140625" style="373"/>
    <col min="9985" max="9985" width="5.7109375" style="373" bestFit="1" customWidth="1"/>
    <col min="9986" max="9986" width="5" style="373" bestFit="1" customWidth="1"/>
    <col min="9987" max="9987" width="21" style="373" bestFit="1" customWidth="1"/>
    <col min="9988" max="9988" width="7.28515625" style="373" customWidth="1"/>
    <col min="9989" max="9989" width="5.140625" style="373" bestFit="1" customWidth="1"/>
    <col min="9990" max="9990" width="2.140625" style="373" customWidth="1"/>
    <col min="9991" max="9991" width="21.5703125" style="373" customWidth="1"/>
    <col min="9992" max="9995" width="8.7109375" style="373" customWidth="1"/>
    <col min="9996" max="10003" width="8.7109375" style="373" bestFit="1" customWidth="1"/>
    <col min="10004" max="10240" width="9.140625" style="373"/>
    <col min="10241" max="10241" width="5.7109375" style="373" bestFit="1" customWidth="1"/>
    <col min="10242" max="10242" width="5" style="373" bestFit="1" customWidth="1"/>
    <col min="10243" max="10243" width="21" style="373" bestFit="1" customWidth="1"/>
    <col min="10244" max="10244" width="7.28515625" style="373" customWidth="1"/>
    <col min="10245" max="10245" width="5.140625" style="373" bestFit="1" customWidth="1"/>
    <col min="10246" max="10246" width="2.140625" style="373" customWidth="1"/>
    <col min="10247" max="10247" width="21.5703125" style="373" customWidth="1"/>
    <col min="10248" max="10251" width="8.7109375" style="373" customWidth="1"/>
    <col min="10252" max="10259" width="8.7109375" style="373" bestFit="1" customWidth="1"/>
    <col min="10260" max="10496" width="9.140625" style="373"/>
    <col min="10497" max="10497" width="5.7109375" style="373" bestFit="1" customWidth="1"/>
    <col min="10498" max="10498" width="5" style="373" bestFit="1" customWidth="1"/>
    <col min="10499" max="10499" width="21" style="373" bestFit="1" customWidth="1"/>
    <col min="10500" max="10500" width="7.28515625" style="373" customWidth="1"/>
    <col min="10501" max="10501" width="5.140625" style="373" bestFit="1" customWidth="1"/>
    <col min="10502" max="10502" width="2.140625" style="373" customWidth="1"/>
    <col min="10503" max="10503" width="21.5703125" style="373" customWidth="1"/>
    <col min="10504" max="10507" width="8.7109375" style="373" customWidth="1"/>
    <col min="10508" max="10515" width="8.7109375" style="373" bestFit="1" customWidth="1"/>
    <col min="10516" max="10752" width="9.140625" style="373"/>
    <col min="10753" max="10753" width="5.7109375" style="373" bestFit="1" customWidth="1"/>
    <col min="10754" max="10754" width="5" style="373" bestFit="1" customWidth="1"/>
    <col min="10755" max="10755" width="21" style="373" bestFit="1" customWidth="1"/>
    <col min="10756" max="10756" width="7.28515625" style="373" customWidth="1"/>
    <col min="10757" max="10757" width="5.140625" style="373" bestFit="1" customWidth="1"/>
    <col min="10758" max="10758" width="2.140625" style="373" customWidth="1"/>
    <col min="10759" max="10759" width="21.5703125" style="373" customWidth="1"/>
    <col min="10760" max="10763" width="8.7109375" style="373" customWidth="1"/>
    <col min="10764" max="10771" width="8.7109375" style="373" bestFit="1" customWidth="1"/>
    <col min="10772" max="11008" width="9.140625" style="373"/>
    <col min="11009" max="11009" width="5.7109375" style="373" bestFit="1" customWidth="1"/>
    <col min="11010" max="11010" width="5" style="373" bestFit="1" customWidth="1"/>
    <col min="11011" max="11011" width="21" style="373" bestFit="1" customWidth="1"/>
    <col min="11012" max="11012" width="7.28515625" style="373" customWidth="1"/>
    <col min="11013" max="11013" width="5.140625" style="373" bestFit="1" customWidth="1"/>
    <col min="11014" max="11014" width="2.140625" style="373" customWidth="1"/>
    <col min="11015" max="11015" width="21.5703125" style="373" customWidth="1"/>
    <col min="11016" max="11019" width="8.7109375" style="373" customWidth="1"/>
    <col min="11020" max="11027" width="8.7109375" style="373" bestFit="1" customWidth="1"/>
    <col min="11028" max="11264" width="9.140625" style="373"/>
    <col min="11265" max="11265" width="5.7109375" style="373" bestFit="1" customWidth="1"/>
    <col min="11266" max="11266" width="5" style="373" bestFit="1" customWidth="1"/>
    <col min="11267" max="11267" width="21" style="373" bestFit="1" customWidth="1"/>
    <col min="11268" max="11268" width="7.28515625" style="373" customWidth="1"/>
    <col min="11269" max="11269" width="5.140625" style="373" bestFit="1" customWidth="1"/>
    <col min="11270" max="11270" width="2.140625" style="373" customWidth="1"/>
    <col min="11271" max="11271" width="21.5703125" style="373" customWidth="1"/>
    <col min="11272" max="11275" width="8.7109375" style="373" customWidth="1"/>
    <col min="11276" max="11283" width="8.7109375" style="373" bestFit="1" customWidth="1"/>
    <col min="11284" max="11520" width="9.140625" style="373"/>
    <col min="11521" max="11521" width="5.7109375" style="373" bestFit="1" customWidth="1"/>
    <col min="11522" max="11522" width="5" style="373" bestFit="1" customWidth="1"/>
    <col min="11523" max="11523" width="21" style="373" bestFit="1" customWidth="1"/>
    <col min="11524" max="11524" width="7.28515625" style="373" customWidth="1"/>
    <col min="11525" max="11525" width="5.140625" style="373" bestFit="1" customWidth="1"/>
    <col min="11526" max="11526" width="2.140625" style="373" customWidth="1"/>
    <col min="11527" max="11527" width="21.5703125" style="373" customWidth="1"/>
    <col min="11528" max="11531" width="8.7109375" style="373" customWidth="1"/>
    <col min="11532" max="11539" width="8.7109375" style="373" bestFit="1" customWidth="1"/>
    <col min="11540" max="11776" width="9.140625" style="373"/>
    <col min="11777" max="11777" width="5.7109375" style="373" bestFit="1" customWidth="1"/>
    <col min="11778" max="11778" width="5" style="373" bestFit="1" customWidth="1"/>
    <col min="11779" max="11779" width="21" style="373" bestFit="1" customWidth="1"/>
    <col min="11780" max="11780" width="7.28515625" style="373" customWidth="1"/>
    <col min="11781" max="11781" width="5.140625" style="373" bestFit="1" customWidth="1"/>
    <col min="11782" max="11782" width="2.140625" style="373" customWidth="1"/>
    <col min="11783" max="11783" width="21.5703125" style="373" customWidth="1"/>
    <col min="11784" max="11787" width="8.7109375" style="373" customWidth="1"/>
    <col min="11788" max="11795" width="8.7109375" style="373" bestFit="1" customWidth="1"/>
    <col min="11796" max="12032" width="9.140625" style="373"/>
    <col min="12033" max="12033" width="5.7109375" style="373" bestFit="1" customWidth="1"/>
    <col min="12034" max="12034" width="5" style="373" bestFit="1" customWidth="1"/>
    <col min="12035" max="12035" width="21" style="373" bestFit="1" customWidth="1"/>
    <col min="12036" max="12036" width="7.28515625" style="373" customWidth="1"/>
    <col min="12037" max="12037" width="5.140625" style="373" bestFit="1" customWidth="1"/>
    <col min="12038" max="12038" width="2.140625" style="373" customWidth="1"/>
    <col min="12039" max="12039" width="21.5703125" style="373" customWidth="1"/>
    <col min="12040" max="12043" width="8.7109375" style="373" customWidth="1"/>
    <col min="12044" max="12051" width="8.7109375" style="373" bestFit="1" customWidth="1"/>
    <col min="12052" max="12288" width="9.140625" style="373"/>
    <col min="12289" max="12289" width="5.7109375" style="373" bestFit="1" customWidth="1"/>
    <col min="12290" max="12290" width="5" style="373" bestFit="1" customWidth="1"/>
    <col min="12291" max="12291" width="21" style="373" bestFit="1" customWidth="1"/>
    <col min="12292" max="12292" width="7.28515625" style="373" customWidth="1"/>
    <col min="12293" max="12293" width="5.140625" style="373" bestFit="1" customWidth="1"/>
    <col min="12294" max="12294" width="2.140625" style="373" customWidth="1"/>
    <col min="12295" max="12295" width="21.5703125" style="373" customWidth="1"/>
    <col min="12296" max="12299" width="8.7109375" style="373" customWidth="1"/>
    <col min="12300" max="12307" width="8.7109375" style="373" bestFit="1" customWidth="1"/>
    <col min="12308" max="12544" width="9.140625" style="373"/>
    <col min="12545" max="12545" width="5.7109375" style="373" bestFit="1" customWidth="1"/>
    <col min="12546" max="12546" width="5" style="373" bestFit="1" customWidth="1"/>
    <col min="12547" max="12547" width="21" style="373" bestFit="1" customWidth="1"/>
    <col min="12548" max="12548" width="7.28515625" style="373" customWidth="1"/>
    <col min="12549" max="12549" width="5.140625" style="373" bestFit="1" customWidth="1"/>
    <col min="12550" max="12550" width="2.140625" style="373" customWidth="1"/>
    <col min="12551" max="12551" width="21.5703125" style="373" customWidth="1"/>
    <col min="12552" max="12555" width="8.7109375" style="373" customWidth="1"/>
    <col min="12556" max="12563" width="8.7109375" style="373" bestFit="1" customWidth="1"/>
    <col min="12564" max="12800" width="9.140625" style="373"/>
    <col min="12801" max="12801" width="5.7109375" style="373" bestFit="1" customWidth="1"/>
    <col min="12802" max="12802" width="5" style="373" bestFit="1" customWidth="1"/>
    <col min="12803" max="12803" width="21" style="373" bestFit="1" customWidth="1"/>
    <col min="12804" max="12804" width="7.28515625" style="373" customWidth="1"/>
    <col min="12805" max="12805" width="5.140625" style="373" bestFit="1" customWidth="1"/>
    <col min="12806" max="12806" width="2.140625" style="373" customWidth="1"/>
    <col min="12807" max="12807" width="21.5703125" style="373" customWidth="1"/>
    <col min="12808" max="12811" width="8.7109375" style="373" customWidth="1"/>
    <col min="12812" max="12819" width="8.7109375" style="373" bestFit="1" customWidth="1"/>
    <col min="12820" max="13056" width="9.140625" style="373"/>
    <col min="13057" max="13057" width="5.7109375" style="373" bestFit="1" customWidth="1"/>
    <col min="13058" max="13058" width="5" style="373" bestFit="1" customWidth="1"/>
    <col min="13059" max="13059" width="21" style="373" bestFit="1" customWidth="1"/>
    <col min="13060" max="13060" width="7.28515625" style="373" customWidth="1"/>
    <col min="13061" max="13061" width="5.140625" style="373" bestFit="1" customWidth="1"/>
    <col min="13062" max="13062" width="2.140625" style="373" customWidth="1"/>
    <col min="13063" max="13063" width="21.5703125" style="373" customWidth="1"/>
    <col min="13064" max="13067" width="8.7109375" style="373" customWidth="1"/>
    <col min="13068" max="13075" width="8.7109375" style="373" bestFit="1" customWidth="1"/>
    <col min="13076" max="13312" width="9.140625" style="373"/>
    <col min="13313" max="13313" width="5.7109375" style="373" bestFit="1" customWidth="1"/>
    <col min="13314" max="13314" width="5" style="373" bestFit="1" customWidth="1"/>
    <col min="13315" max="13315" width="21" style="373" bestFit="1" customWidth="1"/>
    <col min="13316" max="13316" width="7.28515625" style="373" customWidth="1"/>
    <col min="13317" max="13317" width="5.140625" style="373" bestFit="1" customWidth="1"/>
    <col min="13318" max="13318" width="2.140625" style="373" customWidth="1"/>
    <col min="13319" max="13319" width="21.5703125" style="373" customWidth="1"/>
    <col min="13320" max="13323" width="8.7109375" style="373" customWidth="1"/>
    <col min="13324" max="13331" width="8.7109375" style="373" bestFit="1" customWidth="1"/>
    <col min="13332" max="13568" width="9.140625" style="373"/>
    <col min="13569" max="13569" width="5.7109375" style="373" bestFit="1" customWidth="1"/>
    <col min="13570" max="13570" width="5" style="373" bestFit="1" customWidth="1"/>
    <col min="13571" max="13571" width="21" style="373" bestFit="1" customWidth="1"/>
    <col min="13572" max="13572" width="7.28515625" style="373" customWidth="1"/>
    <col min="13573" max="13573" width="5.140625" style="373" bestFit="1" customWidth="1"/>
    <col min="13574" max="13574" width="2.140625" style="373" customWidth="1"/>
    <col min="13575" max="13575" width="21.5703125" style="373" customWidth="1"/>
    <col min="13576" max="13579" width="8.7109375" style="373" customWidth="1"/>
    <col min="13580" max="13587" width="8.7109375" style="373" bestFit="1" customWidth="1"/>
    <col min="13588" max="13824" width="9.140625" style="373"/>
    <col min="13825" max="13825" width="5.7109375" style="373" bestFit="1" customWidth="1"/>
    <col min="13826" max="13826" width="5" style="373" bestFit="1" customWidth="1"/>
    <col min="13827" max="13827" width="21" style="373" bestFit="1" customWidth="1"/>
    <col min="13828" max="13828" width="7.28515625" style="373" customWidth="1"/>
    <col min="13829" max="13829" width="5.140625" style="373" bestFit="1" customWidth="1"/>
    <col min="13830" max="13830" width="2.140625" style="373" customWidth="1"/>
    <col min="13831" max="13831" width="21.5703125" style="373" customWidth="1"/>
    <col min="13832" max="13835" width="8.7109375" style="373" customWidth="1"/>
    <col min="13836" max="13843" width="8.7109375" style="373" bestFit="1" customWidth="1"/>
    <col min="13844" max="14080" width="9.140625" style="373"/>
    <col min="14081" max="14081" width="5.7109375" style="373" bestFit="1" customWidth="1"/>
    <col min="14082" max="14082" width="5" style="373" bestFit="1" customWidth="1"/>
    <col min="14083" max="14083" width="21" style="373" bestFit="1" customWidth="1"/>
    <col min="14084" max="14084" width="7.28515625" style="373" customWidth="1"/>
    <col min="14085" max="14085" width="5.140625" style="373" bestFit="1" customWidth="1"/>
    <col min="14086" max="14086" width="2.140625" style="373" customWidth="1"/>
    <col min="14087" max="14087" width="21.5703125" style="373" customWidth="1"/>
    <col min="14088" max="14091" width="8.7109375" style="373" customWidth="1"/>
    <col min="14092" max="14099" width="8.7109375" style="373" bestFit="1" customWidth="1"/>
    <col min="14100" max="14336" width="9.140625" style="373"/>
    <col min="14337" max="14337" width="5.7109375" style="373" bestFit="1" customWidth="1"/>
    <col min="14338" max="14338" width="5" style="373" bestFit="1" customWidth="1"/>
    <col min="14339" max="14339" width="21" style="373" bestFit="1" customWidth="1"/>
    <col min="14340" max="14340" width="7.28515625" style="373" customWidth="1"/>
    <col min="14341" max="14341" width="5.140625" style="373" bestFit="1" customWidth="1"/>
    <col min="14342" max="14342" width="2.140625" style="373" customWidth="1"/>
    <col min="14343" max="14343" width="21.5703125" style="373" customWidth="1"/>
    <col min="14344" max="14347" width="8.7109375" style="373" customWidth="1"/>
    <col min="14348" max="14355" width="8.7109375" style="373" bestFit="1" customWidth="1"/>
    <col min="14356" max="14592" width="9.140625" style="373"/>
    <col min="14593" max="14593" width="5.7109375" style="373" bestFit="1" customWidth="1"/>
    <col min="14594" max="14594" width="5" style="373" bestFit="1" customWidth="1"/>
    <col min="14595" max="14595" width="21" style="373" bestFit="1" customWidth="1"/>
    <col min="14596" max="14596" width="7.28515625" style="373" customWidth="1"/>
    <col min="14597" max="14597" width="5.140625" style="373" bestFit="1" customWidth="1"/>
    <col min="14598" max="14598" width="2.140625" style="373" customWidth="1"/>
    <col min="14599" max="14599" width="21.5703125" style="373" customWidth="1"/>
    <col min="14600" max="14603" width="8.7109375" style="373" customWidth="1"/>
    <col min="14604" max="14611" width="8.7109375" style="373" bestFit="1" customWidth="1"/>
    <col min="14612" max="14848" width="9.140625" style="373"/>
    <col min="14849" max="14849" width="5.7109375" style="373" bestFit="1" customWidth="1"/>
    <col min="14850" max="14850" width="5" style="373" bestFit="1" customWidth="1"/>
    <col min="14851" max="14851" width="21" style="373" bestFit="1" customWidth="1"/>
    <col min="14852" max="14852" width="7.28515625" style="373" customWidth="1"/>
    <col min="14853" max="14853" width="5.140625" style="373" bestFit="1" customWidth="1"/>
    <col min="14854" max="14854" width="2.140625" style="373" customWidth="1"/>
    <col min="14855" max="14855" width="21.5703125" style="373" customWidth="1"/>
    <col min="14856" max="14859" width="8.7109375" style="373" customWidth="1"/>
    <col min="14860" max="14867" width="8.7109375" style="373" bestFit="1" customWidth="1"/>
    <col min="14868" max="15104" width="9.140625" style="373"/>
    <col min="15105" max="15105" width="5.7109375" style="373" bestFit="1" customWidth="1"/>
    <col min="15106" max="15106" width="5" style="373" bestFit="1" customWidth="1"/>
    <col min="15107" max="15107" width="21" style="373" bestFit="1" customWidth="1"/>
    <col min="15108" max="15108" width="7.28515625" style="373" customWidth="1"/>
    <col min="15109" max="15109" width="5.140625" style="373" bestFit="1" customWidth="1"/>
    <col min="15110" max="15110" width="2.140625" style="373" customWidth="1"/>
    <col min="15111" max="15111" width="21.5703125" style="373" customWidth="1"/>
    <col min="15112" max="15115" width="8.7109375" style="373" customWidth="1"/>
    <col min="15116" max="15123" width="8.7109375" style="373" bestFit="1" customWidth="1"/>
    <col min="15124" max="15360" width="9.140625" style="373"/>
    <col min="15361" max="15361" width="5.7109375" style="373" bestFit="1" customWidth="1"/>
    <col min="15362" max="15362" width="5" style="373" bestFit="1" customWidth="1"/>
    <col min="15363" max="15363" width="21" style="373" bestFit="1" customWidth="1"/>
    <col min="15364" max="15364" width="7.28515625" style="373" customWidth="1"/>
    <col min="15365" max="15365" width="5.140625" style="373" bestFit="1" customWidth="1"/>
    <col min="15366" max="15366" width="2.140625" style="373" customWidth="1"/>
    <col min="15367" max="15367" width="21.5703125" style="373" customWidth="1"/>
    <col min="15368" max="15371" width="8.7109375" style="373" customWidth="1"/>
    <col min="15372" max="15379" width="8.7109375" style="373" bestFit="1" customWidth="1"/>
    <col min="15380" max="15616" width="9.140625" style="373"/>
    <col min="15617" max="15617" width="5.7109375" style="373" bestFit="1" customWidth="1"/>
    <col min="15618" max="15618" width="5" style="373" bestFit="1" customWidth="1"/>
    <col min="15619" max="15619" width="21" style="373" bestFit="1" customWidth="1"/>
    <col min="15620" max="15620" width="7.28515625" style="373" customWidth="1"/>
    <col min="15621" max="15621" width="5.140625" style="373" bestFit="1" customWidth="1"/>
    <col min="15622" max="15622" width="2.140625" style="373" customWidth="1"/>
    <col min="15623" max="15623" width="21.5703125" style="373" customWidth="1"/>
    <col min="15624" max="15627" width="8.7109375" style="373" customWidth="1"/>
    <col min="15628" max="15635" width="8.7109375" style="373" bestFit="1" customWidth="1"/>
    <col min="15636" max="15872" width="9.140625" style="373"/>
    <col min="15873" max="15873" width="5.7109375" style="373" bestFit="1" customWidth="1"/>
    <col min="15874" max="15874" width="5" style="373" bestFit="1" customWidth="1"/>
    <col min="15875" max="15875" width="21" style="373" bestFit="1" customWidth="1"/>
    <col min="15876" max="15876" width="7.28515625" style="373" customWidth="1"/>
    <col min="15877" max="15877" width="5.140625" style="373" bestFit="1" customWidth="1"/>
    <col min="15878" max="15878" width="2.140625" style="373" customWidth="1"/>
    <col min="15879" max="15879" width="21.5703125" style="373" customWidth="1"/>
    <col min="15880" max="15883" width="8.7109375" style="373" customWidth="1"/>
    <col min="15884" max="15891" width="8.7109375" style="373" bestFit="1" customWidth="1"/>
    <col min="15892" max="16128" width="9.140625" style="373"/>
    <col min="16129" max="16129" width="5.7109375" style="373" bestFit="1" customWidth="1"/>
    <col min="16130" max="16130" width="5" style="373" bestFit="1" customWidth="1"/>
    <col min="16131" max="16131" width="21" style="373" bestFit="1" customWidth="1"/>
    <col min="16132" max="16132" width="7.28515625" style="373" customWidth="1"/>
    <col min="16133" max="16133" width="5.140625" style="373" bestFit="1" customWidth="1"/>
    <col min="16134" max="16134" width="2.140625" style="373" customWidth="1"/>
    <col min="16135" max="16135" width="21.5703125" style="373" customWidth="1"/>
    <col min="16136" max="16139" width="8.7109375" style="373" customWidth="1"/>
    <col min="16140" max="16147" width="8.7109375" style="373" bestFit="1" customWidth="1"/>
    <col min="16148" max="16384" width="9.140625" style="373"/>
  </cols>
  <sheetData>
    <row r="1" spans="1:19" x14ac:dyDescent="0.2">
      <c r="A1" s="310"/>
      <c r="C1" s="312"/>
      <c r="D1" s="312"/>
      <c r="E1" s="310"/>
      <c r="F1" s="310"/>
      <c r="G1" s="373"/>
    </row>
    <row r="2" spans="1:19" ht="15" x14ac:dyDescent="0.25">
      <c r="A2" s="312" t="s">
        <v>0</v>
      </c>
      <c r="B2" s="315" t="s">
        <v>1</v>
      </c>
      <c r="C2" s="312" t="s">
        <v>2</v>
      </c>
      <c r="D2" s="312"/>
      <c r="E2" s="310" t="s">
        <v>3</v>
      </c>
      <c r="F2" s="310"/>
      <c r="G2" s="463" t="s">
        <v>553</v>
      </c>
      <c r="H2" s="511" t="s">
        <v>554</v>
      </c>
      <c r="I2" s="464"/>
      <c r="J2" s="464"/>
      <c r="K2" s="465"/>
      <c r="L2" s="466" t="s">
        <v>473</v>
      </c>
      <c r="M2" s="467"/>
      <c r="N2" s="771" t="s">
        <v>555</v>
      </c>
      <c r="O2" s="772"/>
      <c r="P2" s="772"/>
      <c r="Q2" s="772"/>
      <c r="R2" s="772"/>
      <c r="S2" s="772"/>
    </row>
    <row r="3" spans="1:19" x14ac:dyDescent="0.2">
      <c r="A3" s="310"/>
      <c r="B3" s="324"/>
      <c r="C3" s="312"/>
      <c r="D3" s="312"/>
      <c r="E3" s="310"/>
      <c r="F3" s="310"/>
      <c r="G3" s="468" t="s">
        <v>4</v>
      </c>
      <c r="H3" s="469">
        <v>40908</v>
      </c>
      <c r="I3" s="469">
        <v>41274</v>
      </c>
      <c r="J3" s="469">
        <v>41639</v>
      </c>
      <c r="K3" s="469">
        <v>42004</v>
      </c>
      <c r="L3" s="469">
        <v>42369</v>
      </c>
      <c r="M3" s="469">
        <v>42735</v>
      </c>
      <c r="N3" s="470">
        <v>43100</v>
      </c>
      <c r="O3" s="470">
        <v>43465</v>
      </c>
      <c r="P3" s="470">
        <v>43830</v>
      </c>
      <c r="Q3" s="470">
        <v>44196</v>
      </c>
      <c r="R3" s="470">
        <v>44561</v>
      </c>
      <c r="S3" s="470">
        <v>44926</v>
      </c>
    </row>
    <row r="4" spans="1:19" x14ac:dyDescent="0.2">
      <c r="A4" s="329"/>
      <c r="B4" s="311" t="s">
        <v>5</v>
      </c>
      <c r="C4" s="312">
        <v>1</v>
      </c>
      <c r="D4" s="312"/>
      <c r="E4" s="315"/>
      <c r="F4" s="329"/>
      <c r="G4" s="471" t="s">
        <v>6</v>
      </c>
      <c r="H4" s="472">
        <f t="shared" ref="H4:R4" si="0">H5+H10</f>
        <v>6569</v>
      </c>
      <c r="I4" s="472">
        <f t="shared" si="0"/>
        <v>148</v>
      </c>
      <c r="J4" s="472">
        <f t="shared" si="0"/>
        <v>497</v>
      </c>
      <c r="K4" s="472">
        <f t="shared" si="0"/>
        <v>376</v>
      </c>
      <c r="L4" s="472">
        <f t="shared" si="0"/>
        <v>339</v>
      </c>
      <c r="M4" s="472">
        <f t="shared" si="0"/>
        <v>1117</v>
      </c>
      <c r="N4" s="472">
        <f t="shared" si="0"/>
        <v>720</v>
      </c>
      <c r="O4" s="472">
        <f t="shared" si="0"/>
        <v>619</v>
      </c>
      <c r="P4" s="472">
        <f t="shared" si="0"/>
        <v>720</v>
      </c>
      <c r="Q4" s="472">
        <f t="shared" si="0"/>
        <v>825</v>
      </c>
      <c r="R4" s="472">
        <f t="shared" si="0"/>
        <v>841</v>
      </c>
      <c r="S4" s="472">
        <f>S5+S10</f>
        <v>841</v>
      </c>
    </row>
    <row r="5" spans="1:19" x14ac:dyDescent="0.2">
      <c r="B5" s="311" t="s">
        <v>7</v>
      </c>
      <c r="C5" s="312">
        <v>10</v>
      </c>
      <c r="D5" s="312"/>
      <c r="G5" s="473" t="s">
        <v>8</v>
      </c>
      <c r="H5" s="472">
        <f t="shared" ref="H5:Q5" si="1">SUM(H6:H9)</f>
        <v>118</v>
      </c>
      <c r="I5" s="472">
        <f t="shared" si="1"/>
        <v>57</v>
      </c>
      <c r="J5" s="472">
        <f t="shared" si="1"/>
        <v>49</v>
      </c>
      <c r="K5" s="472">
        <f t="shared" si="1"/>
        <v>45</v>
      </c>
      <c r="L5" s="472">
        <f t="shared" si="1"/>
        <v>92</v>
      </c>
      <c r="M5" s="472">
        <f t="shared" si="1"/>
        <v>940</v>
      </c>
      <c r="N5" s="472">
        <f t="shared" si="1"/>
        <v>178</v>
      </c>
      <c r="O5" s="472">
        <f t="shared" si="1"/>
        <v>169</v>
      </c>
      <c r="P5" s="472">
        <f t="shared" si="1"/>
        <v>330</v>
      </c>
      <c r="Q5" s="472">
        <f t="shared" si="1"/>
        <v>365</v>
      </c>
      <c r="R5" s="472">
        <f>SUM(R6:R9)</f>
        <v>333</v>
      </c>
      <c r="S5" s="472">
        <f>SUM(S6:S9)</f>
        <v>423</v>
      </c>
    </row>
    <row r="6" spans="1:19" ht="12" x14ac:dyDescent="0.2">
      <c r="B6" s="311" t="s">
        <v>9</v>
      </c>
      <c r="C6" s="336" t="s">
        <v>10</v>
      </c>
      <c r="E6" s="474" t="s">
        <v>11</v>
      </c>
      <c r="G6" s="473" t="s">
        <v>12</v>
      </c>
      <c r="H6" s="475">
        <v>74</v>
      </c>
      <c r="I6" s="475">
        <v>6</v>
      </c>
      <c r="J6" s="475">
        <v>3</v>
      </c>
      <c r="K6" s="475">
        <v>2</v>
      </c>
      <c r="L6" s="475">
        <v>25</v>
      </c>
      <c r="M6" s="475">
        <v>209</v>
      </c>
      <c r="N6" s="475">
        <v>76</v>
      </c>
      <c r="O6" s="475">
        <v>82</v>
      </c>
      <c r="P6" s="475">
        <v>210</v>
      </c>
      <c r="Q6" s="475">
        <v>185</v>
      </c>
      <c r="R6" s="475">
        <v>113</v>
      </c>
      <c r="S6" s="475">
        <v>183</v>
      </c>
    </row>
    <row r="7" spans="1:19" ht="12" x14ac:dyDescent="0.2">
      <c r="B7" s="311" t="s">
        <v>13</v>
      </c>
      <c r="C7" s="336" t="s">
        <v>14</v>
      </c>
      <c r="E7" s="474" t="s">
        <v>11</v>
      </c>
      <c r="G7" s="473" t="s">
        <v>15</v>
      </c>
      <c r="H7" s="475">
        <v>33</v>
      </c>
      <c r="I7" s="475">
        <v>39</v>
      </c>
      <c r="J7" s="475">
        <v>30</v>
      </c>
      <c r="K7" s="475">
        <v>28</v>
      </c>
      <c r="L7" s="475">
        <v>57</v>
      </c>
      <c r="M7" s="475">
        <v>719</v>
      </c>
      <c r="N7" s="475">
        <v>86</v>
      </c>
      <c r="O7" s="475">
        <v>70</v>
      </c>
      <c r="P7" s="475">
        <v>100</v>
      </c>
      <c r="Q7" s="475">
        <v>140</v>
      </c>
      <c r="R7" s="475">
        <v>202</v>
      </c>
      <c r="S7" s="475">
        <v>200</v>
      </c>
    </row>
    <row r="8" spans="1:19" ht="12" x14ac:dyDescent="0.2">
      <c r="B8" s="311" t="s">
        <v>16</v>
      </c>
      <c r="C8" s="336" t="s">
        <v>17</v>
      </c>
      <c r="E8" s="474" t="s">
        <v>11</v>
      </c>
      <c r="G8" s="473" t="s">
        <v>18</v>
      </c>
      <c r="H8" s="475">
        <v>0</v>
      </c>
      <c r="I8" s="475">
        <v>0</v>
      </c>
      <c r="J8" s="475">
        <v>0</v>
      </c>
      <c r="K8" s="475">
        <v>0</v>
      </c>
      <c r="L8" s="475">
        <v>0</v>
      </c>
      <c r="M8" s="475">
        <v>0</v>
      </c>
      <c r="N8" s="475">
        <v>0</v>
      </c>
      <c r="O8" s="475">
        <v>0</v>
      </c>
      <c r="P8" s="475">
        <v>0</v>
      </c>
      <c r="Q8" s="475">
        <v>0</v>
      </c>
      <c r="R8" s="475">
        <v>0</v>
      </c>
      <c r="S8" s="475">
        <v>0</v>
      </c>
    </row>
    <row r="9" spans="1:19" x14ac:dyDescent="0.2">
      <c r="B9" s="311" t="s">
        <v>19</v>
      </c>
      <c r="C9" s="336">
        <v>108</v>
      </c>
      <c r="E9" s="340"/>
      <c r="G9" s="473" t="s">
        <v>20</v>
      </c>
      <c r="H9" s="475">
        <v>11</v>
      </c>
      <c r="I9" s="475">
        <v>12</v>
      </c>
      <c r="J9" s="475">
        <v>16</v>
      </c>
      <c r="K9" s="475">
        <v>15</v>
      </c>
      <c r="L9" s="475">
        <v>10</v>
      </c>
      <c r="M9" s="475">
        <v>12</v>
      </c>
      <c r="N9" s="475">
        <v>16</v>
      </c>
      <c r="O9" s="475">
        <v>17</v>
      </c>
      <c r="P9" s="475">
        <v>20</v>
      </c>
      <c r="Q9" s="475">
        <v>40</v>
      </c>
      <c r="R9" s="475">
        <v>18</v>
      </c>
      <c r="S9" s="475">
        <v>40</v>
      </c>
    </row>
    <row r="10" spans="1:19" x14ac:dyDescent="0.2">
      <c r="A10" s="341"/>
      <c r="B10" s="311" t="s">
        <v>21</v>
      </c>
      <c r="C10" s="342">
        <v>15</v>
      </c>
      <c r="D10" s="342"/>
      <c r="E10" s="340"/>
      <c r="F10" s="341"/>
      <c r="G10" s="473" t="s">
        <v>22</v>
      </c>
      <c r="H10" s="472">
        <f>SUM(H11:H16)</f>
        <v>6451</v>
      </c>
      <c r="I10" s="472">
        <f t="shared" ref="I10:R10" si="2">SUM(I11:I16)</f>
        <v>91</v>
      </c>
      <c r="J10" s="472">
        <f t="shared" si="2"/>
        <v>448</v>
      </c>
      <c r="K10" s="472">
        <f t="shared" si="2"/>
        <v>331</v>
      </c>
      <c r="L10" s="472">
        <f t="shared" si="2"/>
        <v>247</v>
      </c>
      <c r="M10" s="472">
        <f t="shared" si="2"/>
        <v>177</v>
      </c>
      <c r="N10" s="472">
        <f t="shared" si="2"/>
        <v>542</v>
      </c>
      <c r="O10" s="472">
        <f t="shared" si="2"/>
        <v>450</v>
      </c>
      <c r="P10" s="472">
        <f t="shared" si="2"/>
        <v>390</v>
      </c>
      <c r="Q10" s="472">
        <f t="shared" si="2"/>
        <v>460</v>
      </c>
      <c r="R10" s="472">
        <f t="shared" si="2"/>
        <v>508</v>
      </c>
      <c r="S10" s="472">
        <f>SUM(S11:S16)</f>
        <v>418</v>
      </c>
    </row>
    <row r="11" spans="1:19" ht="12" x14ac:dyDescent="0.2">
      <c r="A11" s="341"/>
      <c r="B11" s="311" t="s">
        <v>23</v>
      </c>
      <c r="C11" s="342">
        <v>150</v>
      </c>
      <c r="D11" s="342"/>
      <c r="E11" s="474" t="s">
        <v>11</v>
      </c>
      <c r="F11" s="341"/>
      <c r="G11" s="473" t="s">
        <v>24</v>
      </c>
      <c r="H11" s="475">
        <v>0</v>
      </c>
      <c r="I11" s="475">
        <v>0</v>
      </c>
      <c r="J11" s="475">
        <v>0</v>
      </c>
      <c r="K11" s="475">
        <v>0</v>
      </c>
      <c r="L11" s="475">
        <v>0</v>
      </c>
      <c r="M11" s="475">
        <v>0</v>
      </c>
      <c r="N11" s="475">
        <v>0</v>
      </c>
      <c r="O11" s="475">
        <v>0</v>
      </c>
      <c r="P11" s="475">
        <v>0</v>
      </c>
      <c r="Q11" s="475">
        <v>0</v>
      </c>
      <c r="R11" s="475">
        <v>0</v>
      </c>
      <c r="S11" s="475">
        <v>0</v>
      </c>
    </row>
    <row r="12" spans="1:19" ht="12" x14ac:dyDescent="0.2">
      <c r="A12" s="341"/>
      <c r="B12" s="311" t="s">
        <v>25</v>
      </c>
      <c r="C12" s="342">
        <v>151</v>
      </c>
      <c r="D12" s="342"/>
      <c r="E12" s="474" t="s">
        <v>11</v>
      </c>
      <c r="F12" s="341"/>
      <c r="G12" s="473" t="s">
        <v>26</v>
      </c>
      <c r="H12" s="475">
        <v>0</v>
      </c>
      <c r="I12" s="475">
        <v>0</v>
      </c>
      <c r="J12" s="475">
        <v>0</v>
      </c>
      <c r="K12" s="475">
        <v>0</v>
      </c>
      <c r="L12" s="475">
        <v>0</v>
      </c>
      <c r="M12" s="475">
        <v>0</v>
      </c>
      <c r="N12" s="475">
        <v>0</v>
      </c>
      <c r="O12" s="475">
        <v>0</v>
      </c>
      <c r="P12" s="475">
        <v>0</v>
      </c>
      <c r="Q12" s="475">
        <v>0</v>
      </c>
      <c r="R12" s="475">
        <v>0</v>
      </c>
      <c r="S12" s="475">
        <v>0</v>
      </c>
    </row>
    <row r="13" spans="1:19" ht="12" x14ac:dyDescent="0.2">
      <c r="B13" s="311" t="s">
        <v>27</v>
      </c>
      <c r="C13" s="336" t="s">
        <v>28</v>
      </c>
      <c r="E13" s="474" t="s">
        <v>11</v>
      </c>
      <c r="G13" s="473" t="s">
        <v>29</v>
      </c>
      <c r="H13" s="475">
        <v>0</v>
      </c>
      <c r="I13" s="475">
        <v>0</v>
      </c>
      <c r="J13" s="475">
        <v>0</v>
      </c>
      <c r="K13" s="475">
        <v>0</v>
      </c>
      <c r="L13" s="475">
        <v>0</v>
      </c>
      <c r="M13" s="475">
        <v>0</v>
      </c>
      <c r="N13" s="475">
        <v>0</v>
      </c>
      <c r="O13" s="475">
        <v>0</v>
      </c>
      <c r="P13" s="475">
        <v>0</v>
      </c>
      <c r="Q13" s="475">
        <v>0</v>
      </c>
      <c r="R13" s="475">
        <v>0</v>
      </c>
      <c r="S13" s="475">
        <v>0</v>
      </c>
    </row>
    <row r="14" spans="1:19" ht="12" x14ac:dyDescent="0.2">
      <c r="B14" s="311" t="s">
        <v>30</v>
      </c>
      <c r="C14" s="336">
        <v>154</v>
      </c>
      <c r="E14" s="474" t="s">
        <v>11</v>
      </c>
      <c r="G14" s="473" t="s">
        <v>31</v>
      </c>
      <c r="H14" s="475">
        <v>0</v>
      </c>
      <c r="I14" s="475">
        <v>0</v>
      </c>
      <c r="J14" s="475">
        <v>0</v>
      </c>
      <c r="K14" s="475">
        <v>0</v>
      </c>
      <c r="L14" s="475">
        <v>0</v>
      </c>
      <c r="M14" s="475">
        <v>0</v>
      </c>
      <c r="N14" s="475">
        <v>0</v>
      </c>
      <c r="O14" s="475">
        <v>0</v>
      </c>
      <c r="P14" s="475">
        <v>0</v>
      </c>
      <c r="Q14" s="475">
        <v>0</v>
      </c>
      <c r="R14" s="475">
        <v>0</v>
      </c>
      <c r="S14" s="475">
        <v>0</v>
      </c>
    </row>
    <row r="15" spans="1:19" ht="12" x14ac:dyDescent="0.2">
      <c r="B15" s="311" t="s">
        <v>32</v>
      </c>
      <c r="C15" s="336" t="s">
        <v>33</v>
      </c>
      <c r="E15" s="474" t="s">
        <v>11</v>
      </c>
      <c r="G15" s="473" t="s">
        <v>34</v>
      </c>
      <c r="H15" s="475">
        <v>6451</v>
      </c>
      <c r="I15" s="475">
        <v>91</v>
      </c>
      <c r="J15" s="475">
        <v>448</v>
      </c>
      <c r="K15" s="475">
        <v>331</v>
      </c>
      <c r="L15" s="475">
        <v>247</v>
      </c>
      <c r="M15" s="475">
        <v>177</v>
      </c>
      <c r="N15" s="475">
        <v>542</v>
      </c>
      <c r="O15" s="475">
        <v>450</v>
      </c>
      <c r="P15" s="475">
        <v>390</v>
      </c>
      <c r="Q15" s="475">
        <v>460</v>
      </c>
      <c r="R15" s="475">
        <v>508</v>
      </c>
      <c r="S15" s="475">
        <v>418</v>
      </c>
    </row>
    <row r="16" spans="1:19" ht="12" x14ac:dyDescent="0.2">
      <c r="B16" s="311" t="s">
        <v>35</v>
      </c>
      <c r="C16" s="336">
        <v>157</v>
      </c>
      <c r="E16" s="474" t="s">
        <v>11</v>
      </c>
      <c r="G16" s="473" t="s">
        <v>36</v>
      </c>
      <c r="H16" s="475">
        <v>0</v>
      </c>
      <c r="I16" s="475">
        <v>0</v>
      </c>
      <c r="J16" s="475">
        <v>0</v>
      </c>
      <c r="K16" s="475">
        <v>0</v>
      </c>
      <c r="L16" s="475">
        <v>0</v>
      </c>
      <c r="M16" s="475">
        <v>0</v>
      </c>
      <c r="N16" s="475">
        <v>0</v>
      </c>
      <c r="O16" s="475">
        <v>0</v>
      </c>
      <c r="P16" s="475">
        <v>0</v>
      </c>
      <c r="Q16" s="475">
        <v>0</v>
      </c>
      <c r="R16" s="475">
        <v>0</v>
      </c>
      <c r="S16" s="475">
        <v>0</v>
      </c>
    </row>
    <row r="17" spans="1:19" s="478" customFormat="1" ht="12" x14ac:dyDescent="0.2">
      <c r="A17" s="344"/>
      <c r="B17" s="311" t="s">
        <v>37</v>
      </c>
      <c r="C17" s="344" t="s">
        <v>38</v>
      </c>
      <c r="D17" s="344"/>
      <c r="E17" s="474" t="s">
        <v>11</v>
      </c>
      <c r="F17" s="346"/>
      <c r="G17" s="476" t="s">
        <v>39</v>
      </c>
      <c r="H17" s="477">
        <v>0</v>
      </c>
      <c r="I17" s="477">
        <v>0</v>
      </c>
      <c r="J17" s="477">
        <v>0</v>
      </c>
      <c r="K17" s="477">
        <v>0</v>
      </c>
      <c r="L17" s="477">
        <v>0</v>
      </c>
      <c r="M17" s="477">
        <v>0</v>
      </c>
      <c r="N17" s="477">
        <v>0</v>
      </c>
      <c r="O17" s="477">
        <v>0</v>
      </c>
      <c r="P17" s="477">
        <v>0</v>
      </c>
      <c r="Q17" s="477">
        <v>0</v>
      </c>
      <c r="R17" s="477">
        <v>0</v>
      </c>
      <c r="S17" s="477">
        <v>0</v>
      </c>
    </row>
    <row r="18" spans="1:19" x14ac:dyDescent="0.2">
      <c r="B18" s="311" t="s">
        <v>40</v>
      </c>
      <c r="C18" s="336">
        <v>2</v>
      </c>
      <c r="E18" s="340"/>
      <c r="G18" s="473" t="s">
        <v>41</v>
      </c>
      <c r="H18" s="472">
        <f>H19+H27</f>
        <v>6569</v>
      </c>
      <c r="I18" s="472">
        <f t="shared" ref="I18:R18" si="3">I19+I27</f>
        <v>148</v>
      </c>
      <c r="J18" s="472">
        <f t="shared" si="3"/>
        <v>497</v>
      </c>
      <c r="K18" s="472">
        <f t="shared" si="3"/>
        <v>376</v>
      </c>
      <c r="L18" s="472">
        <f t="shared" si="3"/>
        <v>339</v>
      </c>
      <c r="M18" s="472">
        <f t="shared" si="3"/>
        <v>1117</v>
      </c>
      <c r="N18" s="472">
        <f t="shared" si="3"/>
        <v>720</v>
      </c>
      <c r="O18" s="472">
        <f t="shared" si="3"/>
        <v>619</v>
      </c>
      <c r="P18" s="472">
        <f t="shared" si="3"/>
        <v>720</v>
      </c>
      <c r="Q18" s="472">
        <f t="shared" si="3"/>
        <v>825</v>
      </c>
      <c r="R18" s="472">
        <f t="shared" si="3"/>
        <v>841</v>
      </c>
      <c r="S18" s="472">
        <f>S19+S27</f>
        <v>841</v>
      </c>
    </row>
    <row r="19" spans="1:19" x14ac:dyDescent="0.2">
      <c r="B19" s="311" t="s">
        <v>42</v>
      </c>
      <c r="C19" s="336" t="s">
        <v>43</v>
      </c>
      <c r="E19" s="340"/>
      <c r="G19" s="473" t="s">
        <v>44</v>
      </c>
      <c r="H19" s="472">
        <f>SUM(H21:H26)</f>
        <v>302</v>
      </c>
      <c r="I19" s="472">
        <f t="shared" ref="I19:R19" si="4">SUM(I21:I26)</f>
        <v>403</v>
      </c>
      <c r="J19" s="472">
        <f t="shared" si="4"/>
        <v>440</v>
      </c>
      <c r="K19" s="472">
        <f t="shared" si="4"/>
        <v>177</v>
      </c>
      <c r="L19" s="472">
        <f t="shared" si="4"/>
        <v>202</v>
      </c>
      <c r="M19" s="472">
        <f t="shared" si="4"/>
        <v>895</v>
      </c>
      <c r="N19" s="472">
        <f t="shared" si="4"/>
        <v>269</v>
      </c>
      <c r="O19" s="472">
        <f t="shared" si="4"/>
        <v>168</v>
      </c>
      <c r="P19" s="472">
        <f t="shared" si="4"/>
        <v>84</v>
      </c>
      <c r="Q19" s="472">
        <f t="shared" si="4"/>
        <v>34</v>
      </c>
      <c r="R19" s="472">
        <f t="shared" si="4"/>
        <v>50</v>
      </c>
      <c r="S19" s="472">
        <f>SUM(S21:S26)</f>
        <v>50</v>
      </c>
    </row>
    <row r="20" spans="1:19" s="480" customFormat="1" ht="12" x14ac:dyDescent="0.2">
      <c r="A20" s="351"/>
      <c r="B20" s="311" t="s">
        <v>45</v>
      </c>
      <c r="C20" s="344" t="s">
        <v>46</v>
      </c>
      <c r="D20" s="344"/>
      <c r="E20" s="474" t="s">
        <v>11</v>
      </c>
      <c r="F20" s="351"/>
      <c r="G20" s="476" t="s">
        <v>47</v>
      </c>
      <c r="H20" s="479">
        <v>295</v>
      </c>
      <c r="I20" s="479">
        <v>403</v>
      </c>
      <c r="J20" s="479">
        <v>436</v>
      </c>
      <c r="K20" s="479">
        <v>177</v>
      </c>
      <c r="L20" s="479">
        <v>202</v>
      </c>
      <c r="M20" s="479">
        <v>892</v>
      </c>
      <c r="N20" s="479">
        <v>201</v>
      </c>
      <c r="O20" s="479">
        <v>168</v>
      </c>
      <c r="P20" s="479">
        <v>84</v>
      </c>
      <c r="Q20" s="479">
        <v>34</v>
      </c>
      <c r="R20" s="479">
        <v>50</v>
      </c>
      <c r="S20" s="479">
        <v>50</v>
      </c>
    </row>
    <row r="21" spans="1:19" ht="12" x14ac:dyDescent="0.2">
      <c r="B21" s="311" t="s">
        <v>48</v>
      </c>
      <c r="C21" s="355" t="s">
        <v>49</v>
      </c>
      <c r="D21" s="355"/>
      <c r="E21" s="474" t="s">
        <v>11</v>
      </c>
      <c r="G21" s="473" t="s">
        <v>50</v>
      </c>
      <c r="H21" s="475">
        <v>291</v>
      </c>
      <c r="I21" s="475">
        <v>396</v>
      </c>
      <c r="J21" s="475">
        <v>435</v>
      </c>
      <c r="K21" s="475">
        <v>173</v>
      </c>
      <c r="L21" s="475">
        <v>202</v>
      </c>
      <c r="M21" s="475">
        <v>889</v>
      </c>
      <c r="N21" s="475">
        <v>267</v>
      </c>
      <c r="O21" s="475">
        <v>168</v>
      </c>
      <c r="P21" s="475">
        <v>84</v>
      </c>
      <c r="Q21" s="475">
        <v>34</v>
      </c>
      <c r="R21" s="475">
        <v>50</v>
      </c>
      <c r="S21" s="475">
        <v>50</v>
      </c>
    </row>
    <row r="22" spans="1:19" ht="12" x14ac:dyDescent="0.2">
      <c r="B22" s="311" t="s">
        <v>51</v>
      </c>
      <c r="C22" s="336" t="s">
        <v>52</v>
      </c>
      <c r="E22" s="474" t="s">
        <v>11</v>
      </c>
      <c r="G22" s="473" t="s">
        <v>53</v>
      </c>
      <c r="H22" s="475">
        <v>0</v>
      </c>
      <c r="I22" s="475">
        <v>0</v>
      </c>
      <c r="J22" s="475">
        <v>0</v>
      </c>
      <c r="K22" s="475">
        <v>0</v>
      </c>
      <c r="L22" s="475">
        <v>0</v>
      </c>
      <c r="M22" s="475">
        <v>0</v>
      </c>
      <c r="N22" s="475">
        <v>0</v>
      </c>
      <c r="O22" s="475">
        <v>0</v>
      </c>
      <c r="P22" s="475">
        <v>0</v>
      </c>
      <c r="Q22" s="475">
        <v>0</v>
      </c>
      <c r="R22" s="475">
        <v>0</v>
      </c>
      <c r="S22" s="475">
        <v>0</v>
      </c>
    </row>
    <row r="23" spans="1:19" ht="12" x14ac:dyDescent="0.2">
      <c r="B23" s="311" t="s">
        <v>54</v>
      </c>
      <c r="C23" s="336">
        <v>257</v>
      </c>
      <c r="E23" s="474" t="s">
        <v>11</v>
      </c>
      <c r="G23" s="473" t="s">
        <v>55</v>
      </c>
      <c r="H23" s="475">
        <v>0</v>
      </c>
      <c r="I23" s="475">
        <v>0</v>
      </c>
      <c r="J23" s="475">
        <v>0</v>
      </c>
      <c r="K23" s="475">
        <v>0</v>
      </c>
      <c r="L23" s="475">
        <v>0</v>
      </c>
      <c r="M23" s="475">
        <v>0</v>
      </c>
      <c r="N23" s="475">
        <v>0</v>
      </c>
      <c r="O23" s="475">
        <v>0</v>
      </c>
      <c r="P23" s="475">
        <v>0</v>
      </c>
      <c r="Q23" s="475">
        <v>0</v>
      </c>
      <c r="R23" s="475">
        <v>0</v>
      </c>
      <c r="S23" s="475">
        <v>0</v>
      </c>
    </row>
    <row r="24" spans="1:19" ht="12" x14ac:dyDescent="0.2">
      <c r="A24" s="356"/>
      <c r="B24" s="311" t="s">
        <v>56</v>
      </c>
      <c r="C24" s="336" t="s">
        <v>57</v>
      </c>
      <c r="E24" s="474" t="s">
        <v>11</v>
      </c>
      <c r="F24" s="356"/>
      <c r="G24" s="473" t="s">
        <v>58</v>
      </c>
      <c r="H24" s="475">
        <v>11</v>
      </c>
      <c r="I24" s="475">
        <v>7</v>
      </c>
      <c r="J24" s="475">
        <v>5</v>
      </c>
      <c r="K24" s="475">
        <v>4</v>
      </c>
      <c r="L24" s="475">
        <v>0</v>
      </c>
      <c r="M24" s="475">
        <v>6</v>
      </c>
      <c r="N24" s="475">
        <v>2</v>
      </c>
      <c r="O24" s="475">
        <v>0</v>
      </c>
      <c r="P24" s="475">
        <v>0</v>
      </c>
      <c r="Q24" s="475">
        <v>0</v>
      </c>
      <c r="R24" s="475">
        <v>0</v>
      </c>
      <c r="S24" s="475">
        <v>0</v>
      </c>
    </row>
    <row r="25" spans="1:19" ht="12" x14ac:dyDescent="0.2">
      <c r="A25" s="356"/>
      <c r="B25" s="311" t="s">
        <v>59</v>
      </c>
      <c r="C25" s="336" t="s">
        <v>60</v>
      </c>
      <c r="E25" s="474" t="s">
        <v>11</v>
      </c>
      <c r="F25" s="356"/>
      <c r="G25" s="473" t="s">
        <v>61</v>
      </c>
      <c r="H25" s="475">
        <v>0</v>
      </c>
      <c r="I25" s="475">
        <v>0</v>
      </c>
      <c r="J25" s="475">
        <v>0</v>
      </c>
      <c r="K25" s="475">
        <v>0</v>
      </c>
      <c r="L25" s="475">
        <v>0</v>
      </c>
      <c r="M25" s="475">
        <v>0</v>
      </c>
      <c r="N25" s="475">
        <v>0</v>
      </c>
      <c r="O25" s="475">
        <v>0</v>
      </c>
      <c r="P25" s="475">
        <v>0</v>
      </c>
      <c r="Q25" s="475">
        <v>0</v>
      </c>
      <c r="R25" s="475">
        <v>0</v>
      </c>
      <c r="S25" s="475">
        <v>0</v>
      </c>
    </row>
    <row r="26" spans="1:19" ht="12" x14ac:dyDescent="0.2">
      <c r="B26" s="311" t="s">
        <v>62</v>
      </c>
      <c r="C26" s="336">
        <v>28</v>
      </c>
      <c r="E26" s="474" t="s">
        <v>11</v>
      </c>
      <c r="G26" s="473" t="s">
        <v>63</v>
      </c>
      <c r="H26" s="475">
        <v>0</v>
      </c>
      <c r="I26" s="475">
        <v>0</v>
      </c>
      <c r="J26" s="475">
        <v>0</v>
      </c>
      <c r="K26" s="475">
        <v>0</v>
      </c>
      <c r="L26" s="475">
        <v>0</v>
      </c>
      <c r="M26" s="475">
        <v>0</v>
      </c>
      <c r="N26" s="475">
        <v>0</v>
      </c>
      <c r="O26" s="475">
        <v>0</v>
      </c>
      <c r="P26" s="475">
        <v>0</v>
      </c>
      <c r="Q26" s="475">
        <v>0</v>
      </c>
      <c r="R26" s="475">
        <v>0</v>
      </c>
      <c r="S26" s="475">
        <v>0</v>
      </c>
    </row>
    <row r="27" spans="1:19" x14ac:dyDescent="0.2">
      <c r="B27" s="311" t="s">
        <v>64</v>
      </c>
      <c r="C27" s="336">
        <v>29</v>
      </c>
      <c r="E27" s="340"/>
      <c r="G27" s="473" t="s">
        <v>65</v>
      </c>
      <c r="H27" s="472">
        <f>SUM(H28:H30)</f>
        <v>6267</v>
      </c>
      <c r="I27" s="472">
        <f t="shared" ref="I27:R27" si="5">SUM(I28:I30)</f>
        <v>-255</v>
      </c>
      <c r="J27" s="472">
        <f t="shared" si="5"/>
        <v>57</v>
      </c>
      <c r="K27" s="472">
        <f t="shared" si="5"/>
        <v>199</v>
      </c>
      <c r="L27" s="472">
        <f t="shared" si="5"/>
        <v>137</v>
      </c>
      <c r="M27" s="472">
        <f t="shared" si="5"/>
        <v>222</v>
      </c>
      <c r="N27" s="472">
        <f t="shared" si="5"/>
        <v>451</v>
      </c>
      <c r="O27" s="472">
        <f t="shared" si="5"/>
        <v>451</v>
      </c>
      <c r="P27" s="472">
        <f t="shared" si="5"/>
        <v>636</v>
      </c>
      <c r="Q27" s="472">
        <f t="shared" si="5"/>
        <v>791</v>
      </c>
      <c r="R27" s="472">
        <f t="shared" si="5"/>
        <v>791</v>
      </c>
      <c r="S27" s="472">
        <f>SUM(S28:S30)</f>
        <v>791</v>
      </c>
    </row>
    <row r="28" spans="1:19" ht="12" x14ac:dyDescent="0.2">
      <c r="B28" s="311" t="s">
        <v>66</v>
      </c>
      <c r="C28" s="333" t="s">
        <v>67</v>
      </c>
      <c r="D28" s="333"/>
      <c r="E28" s="474" t="s">
        <v>11</v>
      </c>
      <c r="G28" s="473" t="s">
        <v>68</v>
      </c>
      <c r="H28" s="475">
        <v>7584</v>
      </c>
      <c r="I28" s="475">
        <v>1053</v>
      </c>
      <c r="J28" s="475">
        <v>532</v>
      </c>
      <c r="K28" s="475">
        <v>532</v>
      </c>
      <c r="L28" s="475">
        <v>532</v>
      </c>
      <c r="M28" s="475">
        <v>532</v>
      </c>
      <c r="N28" s="475">
        <v>532</v>
      </c>
      <c r="O28" s="475">
        <v>532</v>
      </c>
      <c r="P28" s="475">
        <v>532</v>
      </c>
      <c r="Q28" s="475">
        <v>532</v>
      </c>
      <c r="R28" s="475">
        <v>532</v>
      </c>
      <c r="S28" s="475">
        <v>532</v>
      </c>
    </row>
    <row r="29" spans="1:19" ht="12" x14ac:dyDescent="0.2">
      <c r="B29" s="311" t="s">
        <v>69</v>
      </c>
      <c r="C29" s="336">
        <v>298</v>
      </c>
      <c r="E29" s="474" t="s">
        <v>11</v>
      </c>
      <c r="G29" s="473" t="s">
        <v>70</v>
      </c>
      <c r="H29" s="475">
        <v>0</v>
      </c>
      <c r="I29" s="475">
        <v>0</v>
      </c>
      <c r="J29" s="475">
        <v>0</v>
      </c>
      <c r="K29" s="475">
        <v>-475</v>
      </c>
      <c r="L29" s="475">
        <v>-333</v>
      </c>
      <c r="M29" s="475">
        <v>-394</v>
      </c>
      <c r="N29" s="475">
        <v>-310</v>
      </c>
      <c r="O29" s="475">
        <v>-81</v>
      </c>
      <c r="P29" s="475">
        <v>-81</v>
      </c>
      <c r="Q29" s="475">
        <v>104</v>
      </c>
      <c r="R29" s="475">
        <v>259</v>
      </c>
      <c r="S29" s="475">
        <v>259</v>
      </c>
    </row>
    <row r="30" spans="1:19" ht="12" x14ac:dyDescent="0.2">
      <c r="B30" s="311" t="s">
        <v>71</v>
      </c>
      <c r="C30" s="336">
        <v>299</v>
      </c>
      <c r="E30" s="474" t="s">
        <v>72</v>
      </c>
      <c r="G30" s="473" t="s">
        <v>73</v>
      </c>
      <c r="H30" s="475">
        <v>-1317</v>
      </c>
      <c r="I30" s="475">
        <v>-1308</v>
      </c>
      <c r="J30" s="475">
        <v>-475</v>
      </c>
      <c r="K30" s="475">
        <v>142</v>
      </c>
      <c r="L30" s="475">
        <v>-62</v>
      </c>
      <c r="M30" s="475">
        <v>84</v>
      </c>
      <c r="N30" s="475">
        <v>229</v>
      </c>
      <c r="O30" s="475">
        <v>0</v>
      </c>
      <c r="P30" s="475">
        <v>185</v>
      </c>
      <c r="Q30" s="475">
        <v>155</v>
      </c>
      <c r="R30" s="475">
        <v>0</v>
      </c>
      <c r="S30" s="475">
        <v>0</v>
      </c>
    </row>
    <row r="31" spans="1:19" s="486" customFormat="1" x14ac:dyDescent="0.2">
      <c r="A31" s="481"/>
      <c r="B31" s="324"/>
      <c r="C31" s="482"/>
      <c r="D31" s="482"/>
      <c r="E31" s="483"/>
      <c r="F31" s="481"/>
      <c r="G31" s="484" t="s">
        <v>74</v>
      </c>
      <c r="H31" s="485">
        <f t="shared" ref="H31:R31" si="6">H4-H18</f>
        <v>0</v>
      </c>
      <c r="I31" s="485">
        <f t="shared" si="6"/>
        <v>0</v>
      </c>
      <c r="J31" s="485">
        <f t="shared" si="6"/>
        <v>0</v>
      </c>
      <c r="K31" s="485">
        <f t="shared" si="6"/>
        <v>0</v>
      </c>
      <c r="L31" s="485">
        <f t="shared" si="6"/>
        <v>0</v>
      </c>
      <c r="M31" s="485">
        <f t="shared" si="6"/>
        <v>0</v>
      </c>
      <c r="N31" s="485">
        <f t="shared" si="6"/>
        <v>0</v>
      </c>
      <c r="O31" s="485">
        <f t="shared" si="6"/>
        <v>0</v>
      </c>
      <c r="P31" s="485">
        <f t="shared" si="6"/>
        <v>0</v>
      </c>
      <c r="Q31" s="485">
        <f t="shared" si="6"/>
        <v>0</v>
      </c>
      <c r="R31" s="485">
        <f t="shared" si="6"/>
        <v>0</v>
      </c>
      <c r="S31" s="485">
        <f>S4-S18</f>
        <v>0</v>
      </c>
    </row>
    <row r="32" spans="1:19" x14ac:dyDescent="0.2">
      <c r="G32" s="468" t="s">
        <v>75</v>
      </c>
      <c r="H32" s="487">
        <v>2011</v>
      </c>
      <c r="I32" s="487">
        <f t="shared" ref="I32:S32" si="7">H32+1</f>
        <v>2012</v>
      </c>
      <c r="J32" s="487">
        <f t="shared" si="7"/>
        <v>2013</v>
      </c>
      <c r="K32" s="487">
        <f t="shared" si="7"/>
        <v>2014</v>
      </c>
      <c r="L32" s="487">
        <f t="shared" si="7"/>
        <v>2015</v>
      </c>
      <c r="M32" s="487">
        <f t="shared" si="7"/>
        <v>2016</v>
      </c>
      <c r="N32" s="487">
        <f t="shared" si="7"/>
        <v>2017</v>
      </c>
      <c r="O32" s="487">
        <f t="shared" si="7"/>
        <v>2018</v>
      </c>
      <c r="P32" s="487">
        <f t="shared" si="7"/>
        <v>2019</v>
      </c>
      <c r="Q32" s="487">
        <f t="shared" si="7"/>
        <v>2020</v>
      </c>
      <c r="R32" s="487">
        <f t="shared" si="7"/>
        <v>2021</v>
      </c>
      <c r="S32" s="487">
        <f t="shared" si="7"/>
        <v>2022</v>
      </c>
    </row>
    <row r="33" spans="1:19" x14ac:dyDescent="0.2">
      <c r="B33" s="311" t="s">
        <v>76</v>
      </c>
      <c r="C33" s="336">
        <v>3</v>
      </c>
      <c r="G33" s="471" t="s">
        <v>77</v>
      </c>
      <c r="H33" s="472">
        <f>SUM(H34:H37)</f>
        <v>768</v>
      </c>
      <c r="I33" s="472">
        <f t="shared" ref="I33:R33" si="8">SUM(I34:I37)</f>
        <v>996</v>
      </c>
      <c r="J33" s="472">
        <f t="shared" si="8"/>
        <v>2075</v>
      </c>
      <c r="K33" s="472">
        <f t="shared" si="8"/>
        <v>2482</v>
      </c>
      <c r="L33" s="472">
        <f t="shared" si="8"/>
        <v>2603</v>
      </c>
      <c r="M33" s="472">
        <f t="shared" si="8"/>
        <v>2755</v>
      </c>
      <c r="N33" s="472">
        <f t="shared" si="8"/>
        <v>3985</v>
      </c>
      <c r="O33" s="472">
        <f t="shared" si="8"/>
        <v>3560</v>
      </c>
      <c r="P33" s="472">
        <f t="shared" si="8"/>
        <v>3930</v>
      </c>
      <c r="Q33" s="472">
        <f t="shared" si="8"/>
        <v>4160</v>
      </c>
      <c r="R33" s="472">
        <f t="shared" si="8"/>
        <v>4400</v>
      </c>
      <c r="S33" s="472">
        <f>SUM(S34:S37)</f>
        <v>4530</v>
      </c>
    </row>
    <row r="34" spans="1:19" ht="12" x14ac:dyDescent="0.2">
      <c r="B34" s="311" t="s">
        <v>78</v>
      </c>
      <c r="C34" s="336">
        <v>30</v>
      </c>
      <c r="E34" s="474" t="s">
        <v>11</v>
      </c>
      <c r="G34" s="473" t="s">
        <v>79</v>
      </c>
      <c r="H34" s="475">
        <v>0</v>
      </c>
      <c r="I34" s="475">
        <v>0</v>
      </c>
      <c r="J34" s="475">
        <v>0</v>
      </c>
      <c r="K34" s="475">
        <v>0</v>
      </c>
      <c r="L34" s="475">
        <v>0</v>
      </c>
      <c r="M34" s="475">
        <v>0</v>
      </c>
      <c r="N34" s="475">
        <v>0</v>
      </c>
      <c r="O34" s="475">
        <v>0</v>
      </c>
      <c r="P34" s="475">
        <v>0</v>
      </c>
      <c r="Q34" s="475">
        <v>0</v>
      </c>
      <c r="R34" s="475">
        <v>0</v>
      </c>
      <c r="S34" s="475">
        <v>0</v>
      </c>
    </row>
    <row r="35" spans="1:19" ht="12" x14ac:dyDescent="0.2">
      <c r="B35" s="311" t="s">
        <v>80</v>
      </c>
      <c r="C35" s="336">
        <v>32</v>
      </c>
      <c r="E35" s="474" t="s">
        <v>11</v>
      </c>
      <c r="G35" s="473" t="s">
        <v>81</v>
      </c>
      <c r="H35" s="475">
        <v>571</v>
      </c>
      <c r="I35" s="475">
        <v>797</v>
      </c>
      <c r="J35" s="475">
        <v>863</v>
      </c>
      <c r="K35" s="475">
        <v>613</v>
      </c>
      <c r="L35" s="475">
        <v>650</v>
      </c>
      <c r="M35" s="475">
        <v>520</v>
      </c>
      <c r="N35" s="475">
        <v>901</v>
      </c>
      <c r="O35" s="475">
        <v>801</v>
      </c>
      <c r="P35" s="475">
        <v>850</v>
      </c>
      <c r="Q35" s="475">
        <v>860</v>
      </c>
      <c r="R35" s="475">
        <v>900</v>
      </c>
      <c r="S35" s="475">
        <v>880</v>
      </c>
    </row>
    <row r="36" spans="1:19" ht="12" x14ac:dyDescent="0.2">
      <c r="A36" s="341"/>
      <c r="B36" s="311" t="s">
        <v>82</v>
      </c>
      <c r="C36" s="336">
        <v>35</v>
      </c>
      <c r="E36" s="474" t="s">
        <v>11</v>
      </c>
      <c r="F36" s="341"/>
      <c r="G36" s="473" t="s">
        <v>83</v>
      </c>
      <c r="H36" s="475">
        <v>197</v>
      </c>
      <c r="I36" s="475">
        <v>199</v>
      </c>
      <c r="J36" s="475">
        <v>1212</v>
      </c>
      <c r="K36" s="475">
        <v>1869</v>
      </c>
      <c r="L36" s="475">
        <v>1950</v>
      </c>
      <c r="M36" s="475">
        <v>2234</v>
      </c>
      <c r="N36" s="475">
        <v>3084</v>
      </c>
      <c r="O36" s="475">
        <v>2609</v>
      </c>
      <c r="P36" s="475">
        <v>3080</v>
      </c>
      <c r="Q36" s="475">
        <v>3300</v>
      </c>
      <c r="R36" s="475">
        <v>3500</v>
      </c>
      <c r="S36" s="475">
        <v>3650</v>
      </c>
    </row>
    <row r="37" spans="1:19" ht="12" x14ac:dyDescent="0.2">
      <c r="B37" s="311" t="s">
        <v>84</v>
      </c>
      <c r="C37" s="336">
        <v>38</v>
      </c>
      <c r="E37" s="474" t="s">
        <v>11</v>
      </c>
      <c r="G37" s="473" t="s">
        <v>85</v>
      </c>
      <c r="H37" s="475">
        <v>0</v>
      </c>
      <c r="I37" s="475">
        <v>0</v>
      </c>
      <c r="J37" s="475">
        <v>0</v>
      </c>
      <c r="K37" s="475">
        <v>0</v>
      </c>
      <c r="L37" s="475">
        <v>3</v>
      </c>
      <c r="M37" s="475">
        <v>1</v>
      </c>
      <c r="N37" s="475"/>
      <c r="O37" s="475">
        <v>150</v>
      </c>
      <c r="P37" s="475">
        <v>0</v>
      </c>
      <c r="Q37" s="475">
        <v>0</v>
      </c>
      <c r="R37" s="475">
        <v>0</v>
      </c>
      <c r="S37" s="475">
        <v>0</v>
      </c>
    </row>
    <row r="38" spans="1:19" x14ac:dyDescent="0.2">
      <c r="B38" s="311" t="s">
        <v>86</v>
      </c>
      <c r="C38" s="336">
        <v>4</v>
      </c>
      <c r="E38" s="368"/>
      <c r="G38" s="473" t="s">
        <v>87</v>
      </c>
      <c r="H38" s="472">
        <f>H39+H40</f>
        <v>0</v>
      </c>
      <c r="I38" s="472">
        <f t="shared" ref="I38:R38" si="9">I39+I40</f>
        <v>0</v>
      </c>
      <c r="J38" s="472">
        <f t="shared" si="9"/>
        <v>-324</v>
      </c>
      <c r="K38" s="472">
        <f t="shared" si="9"/>
        <v>0</v>
      </c>
      <c r="L38" s="472">
        <f t="shared" si="9"/>
        <v>0</v>
      </c>
      <c r="M38" s="472">
        <f t="shared" si="9"/>
        <v>0</v>
      </c>
      <c r="N38" s="472">
        <f t="shared" si="9"/>
        <v>0</v>
      </c>
      <c r="O38" s="472">
        <f t="shared" si="9"/>
        <v>0</v>
      </c>
      <c r="P38" s="472">
        <f t="shared" si="9"/>
        <v>0</v>
      </c>
      <c r="Q38" s="472">
        <f t="shared" si="9"/>
        <v>0</v>
      </c>
      <c r="R38" s="472">
        <f t="shared" si="9"/>
        <v>0</v>
      </c>
      <c r="S38" s="472">
        <f>S39+S40</f>
        <v>0</v>
      </c>
    </row>
    <row r="39" spans="1:19" ht="12" x14ac:dyDescent="0.2">
      <c r="B39" s="311" t="s">
        <v>88</v>
      </c>
      <c r="C39" s="336">
        <v>41</v>
      </c>
      <c r="E39" s="474" t="s">
        <v>89</v>
      </c>
      <c r="G39" s="473" t="s">
        <v>90</v>
      </c>
      <c r="H39" s="475">
        <v>0</v>
      </c>
      <c r="I39" s="475">
        <v>0</v>
      </c>
      <c r="J39" s="475">
        <v>0</v>
      </c>
      <c r="K39" s="475">
        <v>0</v>
      </c>
      <c r="L39" s="475">
        <v>0</v>
      </c>
      <c r="M39" s="475">
        <v>0</v>
      </c>
      <c r="N39" s="475">
        <v>0</v>
      </c>
      <c r="O39" s="475">
        <v>0</v>
      </c>
      <c r="P39" s="475">
        <v>0</v>
      </c>
      <c r="Q39" s="475">
        <v>0</v>
      </c>
      <c r="R39" s="475">
        <v>0</v>
      </c>
      <c r="S39" s="475">
        <v>0</v>
      </c>
    </row>
    <row r="40" spans="1:19" ht="12" x14ac:dyDescent="0.2">
      <c r="B40" s="311" t="s">
        <v>91</v>
      </c>
      <c r="C40" s="336">
        <v>45</v>
      </c>
      <c r="E40" s="474" t="s">
        <v>89</v>
      </c>
      <c r="G40" s="473" t="s">
        <v>92</v>
      </c>
      <c r="H40" s="475">
        <v>0</v>
      </c>
      <c r="I40" s="475">
        <v>0</v>
      </c>
      <c r="J40" s="475">
        <v>-324</v>
      </c>
      <c r="K40" s="475">
        <v>0</v>
      </c>
      <c r="L40" s="475">
        <v>0</v>
      </c>
      <c r="M40" s="475">
        <v>0</v>
      </c>
      <c r="N40" s="475">
        <v>0</v>
      </c>
      <c r="O40" s="475">
        <v>0</v>
      </c>
      <c r="P40" s="475">
        <v>0</v>
      </c>
      <c r="Q40" s="475">
        <v>0</v>
      </c>
      <c r="R40" s="475">
        <v>0</v>
      </c>
      <c r="S40" s="475">
        <v>0</v>
      </c>
    </row>
    <row r="41" spans="1:19" x14ac:dyDescent="0.2">
      <c r="A41" s="341"/>
      <c r="B41" s="311" t="s">
        <v>93</v>
      </c>
      <c r="C41" s="336" t="s">
        <v>94</v>
      </c>
      <c r="E41" s="368"/>
      <c r="F41" s="341"/>
      <c r="G41" s="473" t="s">
        <v>95</v>
      </c>
      <c r="H41" s="472">
        <f>SUM(H42:H45)</f>
        <v>-2084</v>
      </c>
      <c r="I41" s="472">
        <f t="shared" ref="I41:R41" si="10">SUM(I42:I45)</f>
        <v>-2303</v>
      </c>
      <c r="J41" s="472">
        <f t="shared" si="10"/>
        <v>-2226</v>
      </c>
      <c r="K41" s="472">
        <f t="shared" si="10"/>
        <v>-2340</v>
      </c>
      <c r="L41" s="472">
        <f t="shared" si="10"/>
        <v>-2666</v>
      </c>
      <c r="M41" s="472">
        <f t="shared" si="10"/>
        <v>-2670</v>
      </c>
      <c r="N41" s="472">
        <f t="shared" si="10"/>
        <v>-3756</v>
      </c>
      <c r="O41" s="472">
        <f t="shared" si="10"/>
        <v>-3560</v>
      </c>
      <c r="P41" s="472">
        <f t="shared" si="10"/>
        <v>-3745</v>
      </c>
      <c r="Q41" s="472">
        <f t="shared" si="10"/>
        <v>-4005</v>
      </c>
      <c r="R41" s="472">
        <f t="shared" si="10"/>
        <v>-4400</v>
      </c>
      <c r="S41" s="472">
        <f>SUM(S42:S45)</f>
        <v>-4530</v>
      </c>
    </row>
    <row r="42" spans="1:19" ht="12" x14ac:dyDescent="0.2">
      <c r="B42" s="311" t="s">
        <v>96</v>
      </c>
      <c r="C42" s="336">
        <v>50</v>
      </c>
      <c r="E42" s="474" t="s">
        <v>89</v>
      </c>
      <c r="G42" s="473" t="s">
        <v>97</v>
      </c>
      <c r="H42" s="475">
        <v>-1031</v>
      </c>
      <c r="I42" s="475">
        <v>-1113</v>
      </c>
      <c r="J42" s="475">
        <v>-1130</v>
      </c>
      <c r="K42" s="475">
        <v>-1113</v>
      </c>
      <c r="L42" s="475">
        <v>-1342</v>
      </c>
      <c r="M42" s="475">
        <v>-1388</v>
      </c>
      <c r="N42" s="475">
        <v>-1731</v>
      </c>
      <c r="O42" s="475">
        <v>-1940</v>
      </c>
      <c r="P42" s="475">
        <v>-2100</v>
      </c>
      <c r="Q42" s="475">
        <v>-2300</v>
      </c>
      <c r="R42" s="475">
        <v>-2400</v>
      </c>
      <c r="S42" s="475">
        <v>-2500</v>
      </c>
    </row>
    <row r="43" spans="1:19" ht="12" x14ac:dyDescent="0.2">
      <c r="B43" s="311" t="s">
        <v>98</v>
      </c>
      <c r="C43" s="336">
        <v>55</v>
      </c>
      <c r="E43" s="474" t="s">
        <v>89</v>
      </c>
      <c r="G43" s="473" t="s">
        <v>99</v>
      </c>
      <c r="H43" s="475">
        <v>-638</v>
      </c>
      <c r="I43" s="475">
        <v>-811</v>
      </c>
      <c r="J43" s="475">
        <v>-974</v>
      </c>
      <c r="K43" s="475">
        <v>-1100</v>
      </c>
      <c r="L43" s="475">
        <v>-1203</v>
      </c>
      <c r="M43" s="475">
        <v>-1193</v>
      </c>
      <c r="N43" s="475">
        <v>-1956</v>
      </c>
      <c r="O43" s="475">
        <v>-1470</v>
      </c>
      <c r="P43" s="475">
        <v>-1485</v>
      </c>
      <c r="Q43" s="475">
        <v>-1530</v>
      </c>
      <c r="R43" s="475">
        <v>-1815</v>
      </c>
      <c r="S43" s="475">
        <v>-1880</v>
      </c>
    </row>
    <row r="44" spans="1:19" ht="12" x14ac:dyDescent="0.2">
      <c r="A44" s="341"/>
      <c r="B44" s="311" t="s">
        <v>100</v>
      </c>
      <c r="C44" s="336">
        <v>60</v>
      </c>
      <c r="E44" s="474" t="s">
        <v>89</v>
      </c>
      <c r="F44" s="341"/>
      <c r="G44" s="473" t="s">
        <v>101</v>
      </c>
      <c r="H44" s="475">
        <v>-5</v>
      </c>
      <c r="I44" s="475">
        <v>-8</v>
      </c>
      <c r="J44" s="475">
        <v>-8</v>
      </c>
      <c r="K44" s="475">
        <v>-10</v>
      </c>
      <c r="L44" s="475">
        <v>-2</v>
      </c>
      <c r="M44" s="475">
        <v>-1</v>
      </c>
      <c r="N44" s="475">
        <v>0</v>
      </c>
      <c r="O44" s="475">
        <v>0</v>
      </c>
      <c r="P44" s="475">
        <v>0</v>
      </c>
      <c r="Q44" s="475">
        <v>0</v>
      </c>
      <c r="R44" s="475">
        <v>0</v>
      </c>
      <c r="S44" s="475">
        <v>0</v>
      </c>
    </row>
    <row r="45" spans="1:19" ht="12" x14ac:dyDescent="0.2">
      <c r="B45" s="311" t="s">
        <v>102</v>
      </c>
      <c r="C45" s="336">
        <v>61</v>
      </c>
      <c r="E45" s="474" t="s">
        <v>89</v>
      </c>
      <c r="G45" s="473" t="s">
        <v>103</v>
      </c>
      <c r="H45" s="475">
        <v>-410</v>
      </c>
      <c r="I45" s="475">
        <v>-371</v>
      </c>
      <c r="J45" s="475">
        <v>-114</v>
      </c>
      <c r="K45" s="475">
        <v>-117</v>
      </c>
      <c r="L45" s="475">
        <v>-119</v>
      </c>
      <c r="M45" s="475">
        <v>-88</v>
      </c>
      <c r="N45" s="475">
        <v>-69</v>
      </c>
      <c r="O45" s="475">
        <v>-150</v>
      </c>
      <c r="P45" s="475">
        <v>-160</v>
      </c>
      <c r="Q45" s="475">
        <v>-175</v>
      </c>
      <c r="R45" s="475">
        <v>-185</v>
      </c>
      <c r="S45" s="475">
        <v>-150</v>
      </c>
    </row>
    <row r="46" spans="1:19" x14ac:dyDescent="0.2">
      <c r="B46" s="311" t="s">
        <v>104</v>
      </c>
      <c r="G46" s="473" t="s">
        <v>105</v>
      </c>
      <c r="H46" s="472">
        <f>H33+H38+H41</f>
        <v>-1316</v>
      </c>
      <c r="I46" s="472">
        <f t="shared" ref="I46:R46" si="11">I33+I38+I41</f>
        <v>-1307</v>
      </c>
      <c r="J46" s="472">
        <f t="shared" si="11"/>
        <v>-475</v>
      </c>
      <c r="K46" s="472">
        <f t="shared" si="11"/>
        <v>142</v>
      </c>
      <c r="L46" s="472">
        <f t="shared" si="11"/>
        <v>-63</v>
      </c>
      <c r="M46" s="472">
        <f t="shared" si="11"/>
        <v>85</v>
      </c>
      <c r="N46" s="472">
        <f t="shared" si="11"/>
        <v>229</v>
      </c>
      <c r="O46" s="472">
        <f t="shared" si="11"/>
        <v>0</v>
      </c>
      <c r="P46" s="472">
        <f t="shared" si="11"/>
        <v>185</v>
      </c>
      <c r="Q46" s="472">
        <f t="shared" si="11"/>
        <v>155</v>
      </c>
      <c r="R46" s="472">
        <f t="shared" si="11"/>
        <v>0</v>
      </c>
      <c r="S46" s="472">
        <f>S33+S38+S41</f>
        <v>0</v>
      </c>
    </row>
    <row r="47" spans="1:19" ht="12" x14ac:dyDescent="0.2">
      <c r="B47" s="311" t="s">
        <v>106</v>
      </c>
      <c r="C47" s="336">
        <v>65</v>
      </c>
      <c r="E47" s="474" t="s">
        <v>72</v>
      </c>
      <c r="G47" s="473" t="s">
        <v>107</v>
      </c>
      <c r="H47" s="475">
        <v>-1</v>
      </c>
      <c r="I47" s="475">
        <v>-1</v>
      </c>
      <c r="J47" s="475">
        <v>0</v>
      </c>
      <c r="K47" s="475">
        <v>0</v>
      </c>
      <c r="L47" s="475">
        <v>1</v>
      </c>
      <c r="M47" s="475">
        <v>-1</v>
      </c>
      <c r="N47" s="475">
        <v>0</v>
      </c>
      <c r="O47" s="475">
        <v>0</v>
      </c>
      <c r="P47" s="475">
        <v>0</v>
      </c>
      <c r="Q47" s="475">
        <v>0</v>
      </c>
      <c r="R47" s="475">
        <v>0</v>
      </c>
      <c r="S47" s="475">
        <v>0</v>
      </c>
    </row>
    <row r="48" spans="1:19" x14ac:dyDescent="0.2">
      <c r="B48" s="311" t="s">
        <v>108</v>
      </c>
      <c r="G48" s="473" t="s">
        <v>109</v>
      </c>
      <c r="H48" s="472">
        <f>H46+H47</f>
        <v>-1317</v>
      </c>
      <c r="I48" s="472">
        <f t="shared" ref="I48:R48" si="12">I46+I47</f>
        <v>-1308</v>
      </c>
      <c r="J48" s="472">
        <f t="shared" si="12"/>
        <v>-475</v>
      </c>
      <c r="K48" s="472">
        <f t="shared" si="12"/>
        <v>142</v>
      </c>
      <c r="L48" s="472">
        <f t="shared" si="12"/>
        <v>-62</v>
      </c>
      <c r="M48" s="472">
        <f t="shared" si="12"/>
        <v>84</v>
      </c>
      <c r="N48" s="472">
        <f t="shared" si="12"/>
        <v>229</v>
      </c>
      <c r="O48" s="472">
        <f t="shared" si="12"/>
        <v>0</v>
      </c>
      <c r="P48" s="472">
        <f t="shared" si="12"/>
        <v>185</v>
      </c>
      <c r="Q48" s="472">
        <f t="shared" si="12"/>
        <v>155</v>
      </c>
      <c r="R48" s="472">
        <f t="shared" si="12"/>
        <v>0</v>
      </c>
      <c r="S48" s="472">
        <f>S46+S47</f>
        <v>0</v>
      </c>
    </row>
    <row r="49" spans="1:19" ht="12" x14ac:dyDescent="0.2">
      <c r="B49" s="311" t="s">
        <v>110</v>
      </c>
      <c r="C49" s="336">
        <v>68</v>
      </c>
      <c r="E49" s="474" t="s">
        <v>89</v>
      </c>
      <c r="G49" s="473" t="s">
        <v>111</v>
      </c>
      <c r="H49" s="475">
        <v>0</v>
      </c>
      <c r="I49" s="475">
        <v>0</v>
      </c>
      <c r="J49" s="475">
        <v>0</v>
      </c>
      <c r="K49" s="475">
        <v>0</v>
      </c>
      <c r="L49" s="475">
        <v>0</v>
      </c>
      <c r="M49" s="475">
        <v>0</v>
      </c>
      <c r="N49" s="475">
        <v>0</v>
      </c>
      <c r="O49" s="475">
        <v>0</v>
      </c>
      <c r="P49" s="475">
        <v>0</v>
      </c>
      <c r="Q49" s="475">
        <v>0</v>
      </c>
      <c r="R49" s="475">
        <v>0</v>
      </c>
      <c r="S49" s="475">
        <v>0</v>
      </c>
    </row>
    <row r="50" spans="1:19" ht="12" x14ac:dyDescent="0.2">
      <c r="B50" s="311" t="s">
        <v>112</v>
      </c>
      <c r="C50" s="336">
        <v>69</v>
      </c>
      <c r="E50" s="474" t="s">
        <v>11</v>
      </c>
      <c r="G50" s="473" t="s">
        <v>113</v>
      </c>
      <c r="H50" s="475">
        <v>0</v>
      </c>
      <c r="I50" s="475">
        <v>0</v>
      </c>
      <c r="J50" s="475">
        <v>0</v>
      </c>
      <c r="K50" s="475">
        <v>0</v>
      </c>
      <c r="L50" s="475">
        <v>0</v>
      </c>
      <c r="M50" s="475">
        <v>0</v>
      </c>
      <c r="N50" s="475">
        <v>0</v>
      </c>
      <c r="O50" s="475">
        <v>0</v>
      </c>
      <c r="P50" s="475">
        <v>0</v>
      </c>
      <c r="Q50" s="475">
        <v>0</v>
      </c>
      <c r="R50" s="475">
        <v>0</v>
      </c>
      <c r="S50" s="475">
        <v>0</v>
      </c>
    </row>
    <row r="51" spans="1:19" x14ac:dyDescent="0.2">
      <c r="B51" s="311" t="s">
        <v>114</v>
      </c>
      <c r="G51" s="473" t="s">
        <v>115</v>
      </c>
      <c r="H51" s="472">
        <f>H48+H49+H50</f>
        <v>-1317</v>
      </c>
      <c r="I51" s="472">
        <f t="shared" ref="I51:R51" si="13">I48+I49+I50</f>
        <v>-1308</v>
      </c>
      <c r="J51" s="472">
        <f t="shared" si="13"/>
        <v>-475</v>
      </c>
      <c r="K51" s="472">
        <f t="shared" si="13"/>
        <v>142</v>
      </c>
      <c r="L51" s="472">
        <f t="shared" si="13"/>
        <v>-62</v>
      </c>
      <c r="M51" s="472">
        <f t="shared" si="13"/>
        <v>84</v>
      </c>
      <c r="N51" s="472">
        <f t="shared" si="13"/>
        <v>229</v>
      </c>
      <c r="O51" s="472">
        <f t="shared" si="13"/>
        <v>0</v>
      </c>
      <c r="P51" s="472">
        <f t="shared" si="13"/>
        <v>185</v>
      </c>
      <c r="Q51" s="472">
        <f t="shared" si="13"/>
        <v>155</v>
      </c>
      <c r="R51" s="472">
        <f t="shared" si="13"/>
        <v>0</v>
      </c>
      <c r="S51" s="472">
        <f>S48+S49+S50</f>
        <v>0</v>
      </c>
    </row>
    <row r="52" spans="1:19" x14ac:dyDescent="0.2">
      <c r="A52" s="488"/>
      <c r="C52" s="489"/>
      <c r="D52" s="489"/>
      <c r="E52" s="490"/>
      <c r="F52" s="488"/>
      <c r="G52" s="484" t="s">
        <v>116</v>
      </c>
      <c r="H52" s="485">
        <f>H30-H51</f>
        <v>0</v>
      </c>
      <c r="I52" s="485">
        <f t="shared" ref="I52:R52" si="14">I30-I51</f>
        <v>0</v>
      </c>
      <c r="J52" s="485">
        <f t="shared" si="14"/>
        <v>0</v>
      </c>
      <c r="K52" s="485">
        <f t="shared" si="14"/>
        <v>0</v>
      </c>
      <c r="L52" s="485">
        <f t="shared" si="14"/>
        <v>0</v>
      </c>
      <c r="M52" s="485">
        <f t="shared" si="14"/>
        <v>0</v>
      </c>
      <c r="N52" s="485">
        <f t="shared" si="14"/>
        <v>0</v>
      </c>
      <c r="O52" s="485">
        <f t="shared" si="14"/>
        <v>0</v>
      </c>
      <c r="P52" s="485">
        <f t="shared" si="14"/>
        <v>0</v>
      </c>
      <c r="Q52" s="485">
        <f t="shared" si="14"/>
        <v>0</v>
      </c>
      <c r="R52" s="485">
        <f t="shared" si="14"/>
        <v>0</v>
      </c>
      <c r="S52" s="485">
        <f>S30-S51</f>
        <v>0</v>
      </c>
    </row>
    <row r="53" spans="1:19" x14ac:dyDescent="0.2">
      <c r="G53" s="426" t="s">
        <v>117</v>
      </c>
    </row>
    <row r="54" spans="1:19" ht="12" x14ac:dyDescent="0.2">
      <c r="C54" s="336">
        <v>90</v>
      </c>
      <c r="E54" s="474" t="s">
        <v>11</v>
      </c>
      <c r="G54" s="426" t="s">
        <v>118</v>
      </c>
      <c r="H54" s="475">
        <v>81</v>
      </c>
      <c r="I54" s="475">
        <v>86</v>
      </c>
      <c r="J54" s="475">
        <v>74</v>
      </c>
      <c r="K54" s="475">
        <v>82</v>
      </c>
      <c r="L54" s="475">
        <v>77</v>
      </c>
      <c r="M54" s="475">
        <v>74</v>
      </c>
      <c r="N54" s="475">
        <v>83</v>
      </c>
      <c r="O54" s="475">
        <v>85</v>
      </c>
      <c r="P54" s="475">
        <v>86</v>
      </c>
      <c r="Q54" s="475">
        <v>88</v>
      </c>
      <c r="R54" s="475">
        <v>88</v>
      </c>
      <c r="S54" s="475">
        <v>90</v>
      </c>
    </row>
    <row r="55" spans="1:19" ht="12" x14ac:dyDescent="0.2">
      <c r="E55" s="474" t="s">
        <v>11</v>
      </c>
      <c r="G55" s="426" t="s">
        <v>119</v>
      </c>
      <c r="H55" s="475"/>
      <c r="I55" s="475"/>
      <c r="J55" s="475"/>
      <c r="K55" s="475"/>
      <c r="L55" s="157"/>
      <c r="M55" s="157"/>
      <c r="N55" s="157"/>
      <c r="O55" s="157"/>
      <c r="P55" s="157"/>
      <c r="Q55" s="157"/>
      <c r="R55" s="157"/>
      <c r="S55" s="157"/>
    </row>
    <row r="57" spans="1:19" x14ac:dyDescent="0.2">
      <c r="D57" s="379" t="s">
        <v>120</v>
      </c>
      <c r="E57" s="380" t="s">
        <v>3</v>
      </c>
      <c r="F57" s="334"/>
      <c r="G57" s="468" t="s">
        <v>121</v>
      </c>
      <c r="H57" s="487">
        <f>H32</f>
        <v>2011</v>
      </c>
      <c r="I57" s="487">
        <f t="shared" ref="I57:R57" si="15">I32</f>
        <v>2012</v>
      </c>
      <c r="J57" s="487">
        <f t="shared" si="15"/>
        <v>2013</v>
      </c>
      <c r="K57" s="487">
        <f t="shared" si="15"/>
        <v>2014</v>
      </c>
      <c r="L57" s="487">
        <f t="shared" si="15"/>
        <v>2015</v>
      </c>
      <c r="M57" s="487">
        <f t="shared" si="15"/>
        <v>2016</v>
      </c>
      <c r="N57" s="487">
        <f t="shared" si="15"/>
        <v>2017</v>
      </c>
      <c r="O57" s="487">
        <f t="shared" si="15"/>
        <v>2018</v>
      </c>
      <c r="P57" s="487">
        <f t="shared" si="15"/>
        <v>2019</v>
      </c>
      <c r="Q57" s="487">
        <f t="shared" si="15"/>
        <v>2020</v>
      </c>
      <c r="R57" s="487">
        <f t="shared" si="15"/>
        <v>2021</v>
      </c>
      <c r="S57" s="487">
        <f>S32</f>
        <v>2022</v>
      </c>
    </row>
    <row r="58" spans="1:19" ht="11.25" customHeight="1" x14ac:dyDescent="0.2">
      <c r="B58" s="381" t="s">
        <v>122</v>
      </c>
      <c r="C58" s="333" t="s">
        <v>123</v>
      </c>
      <c r="D58" s="491" t="s">
        <v>124</v>
      </c>
      <c r="E58" s="474" t="s">
        <v>89</v>
      </c>
      <c r="F58" s="340"/>
      <c r="G58" s="471" t="s">
        <v>125</v>
      </c>
      <c r="H58" s="475">
        <v>0</v>
      </c>
      <c r="I58" s="475">
        <v>-4</v>
      </c>
      <c r="J58" s="475">
        <v>-16</v>
      </c>
      <c r="K58" s="475">
        <v>0</v>
      </c>
      <c r="L58" s="475">
        <v>-36</v>
      </c>
      <c r="M58" s="475">
        <v>-21</v>
      </c>
      <c r="N58" s="475">
        <v>-29</v>
      </c>
      <c r="O58" s="475">
        <v>0</v>
      </c>
      <c r="P58" s="475">
        <v>-215</v>
      </c>
      <c r="Q58" s="475">
        <v>-220</v>
      </c>
      <c r="R58" s="475">
        <v>0</v>
      </c>
      <c r="S58" s="475">
        <v>0</v>
      </c>
    </row>
    <row r="59" spans="1:19" ht="12" x14ac:dyDescent="0.2">
      <c r="B59" s="381" t="s">
        <v>126</v>
      </c>
      <c r="C59" s="383" t="s">
        <v>127</v>
      </c>
      <c r="D59" s="491" t="s">
        <v>128</v>
      </c>
      <c r="E59" s="474" t="s">
        <v>11</v>
      </c>
      <c r="F59" s="340"/>
      <c r="G59" s="492" t="s">
        <v>129</v>
      </c>
      <c r="H59" s="475">
        <v>0</v>
      </c>
      <c r="I59" s="475">
        <v>0</v>
      </c>
      <c r="J59" s="475">
        <v>0</v>
      </c>
      <c r="K59" s="475">
        <v>0</v>
      </c>
      <c r="L59" s="475">
        <v>0</v>
      </c>
      <c r="M59" s="475">
        <v>0</v>
      </c>
      <c r="N59" s="475">
        <v>0</v>
      </c>
      <c r="O59" s="475">
        <v>0</v>
      </c>
      <c r="P59" s="475">
        <v>0</v>
      </c>
      <c r="Q59" s="475">
        <v>0</v>
      </c>
      <c r="R59" s="475">
        <v>0</v>
      </c>
      <c r="S59" s="475">
        <v>0</v>
      </c>
    </row>
    <row r="60" spans="1:19" ht="12" x14ac:dyDescent="0.2">
      <c r="B60" s="381" t="s">
        <v>130</v>
      </c>
      <c r="C60" s="493" t="s">
        <v>492</v>
      </c>
      <c r="D60" s="491" t="s">
        <v>131</v>
      </c>
      <c r="E60" s="474" t="s">
        <v>11</v>
      </c>
      <c r="F60" s="340"/>
      <c r="G60" s="473" t="s">
        <v>132</v>
      </c>
      <c r="H60" s="475">
        <v>878</v>
      </c>
      <c r="I60" s="475">
        <v>0</v>
      </c>
      <c r="J60" s="475">
        <v>28</v>
      </c>
      <c r="K60" s="475">
        <v>0</v>
      </c>
      <c r="L60" s="475">
        <v>0</v>
      </c>
      <c r="M60" s="475">
        <v>0</v>
      </c>
      <c r="N60" s="475">
        <v>0</v>
      </c>
      <c r="O60" s="475">
        <v>0</v>
      </c>
      <c r="P60" s="475">
        <v>215</v>
      </c>
      <c r="Q60" s="475">
        <v>220</v>
      </c>
      <c r="R60" s="475">
        <v>0</v>
      </c>
      <c r="S60" s="475">
        <v>0</v>
      </c>
    </row>
    <row r="61" spans="1:19" ht="12" x14ac:dyDescent="0.2">
      <c r="B61" s="381" t="s">
        <v>133</v>
      </c>
      <c r="C61" s="493" t="s">
        <v>134</v>
      </c>
      <c r="D61" s="493" t="s">
        <v>135</v>
      </c>
      <c r="E61" s="474" t="s">
        <v>89</v>
      </c>
      <c r="F61" s="340"/>
      <c r="G61" s="473" t="s">
        <v>136</v>
      </c>
      <c r="H61" s="475">
        <v>0</v>
      </c>
      <c r="I61" s="475">
        <v>0</v>
      </c>
      <c r="J61" s="475">
        <v>0</v>
      </c>
      <c r="K61" s="475">
        <v>0</v>
      </c>
      <c r="L61" s="475">
        <v>0</v>
      </c>
      <c r="M61" s="475">
        <v>0</v>
      </c>
      <c r="N61" s="475">
        <v>0</v>
      </c>
      <c r="O61" s="475">
        <v>0</v>
      </c>
      <c r="P61" s="475">
        <v>0</v>
      </c>
      <c r="Q61" s="475">
        <v>0</v>
      </c>
      <c r="R61" s="475">
        <v>0</v>
      </c>
      <c r="S61" s="475">
        <v>0</v>
      </c>
    </row>
    <row r="62" spans="1:19" ht="12" x14ac:dyDescent="0.2">
      <c r="B62" s="381" t="s">
        <v>137</v>
      </c>
      <c r="C62" s="336">
        <v>253800</v>
      </c>
      <c r="D62" s="493" t="s">
        <v>131</v>
      </c>
      <c r="E62" s="474" t="s">
        <v>11</v>
      </c>
      <c r="F62" s="340"/>
      <c r="G62" s="473" t="s">
        <v>138</v>
      </c>
      <c r="H62" s="475">
        <v>0</v>
      </c>
      <c r="I62" s="475">
        <v>0</v>
      </c>
      <c r="J62" s="475">
        <v>0</v>
      </c>
      <c r="K62" s="475">
        <v>0</v>
      </c>
      <c r="L62" s="475">
        <v>0</v>
      </c>
      <c r="M62" s="475">
        <v>0</v>
      </c>
      <c r="N62" s="475">
        <v>0</v>
      </c>
      <c r="O62" s="475">
        <v>0</v>
      </c>
      <c r="P62" s="475">
        <v>0</v>
      </c>
      <c r="Q62" s="475">
        <v>0</v>
      </c>
      <c r="R62" s="475">
        <v>0</v>
      </c>
      <c r="S62" s="475">
        <v>0</v>
      </c>
    </row>
    <row r="63" spans="1:19" ht="12" x14ac:dyDescent="0.2">
      <c r="B63" s="381" t="s">
        <v>139</v>
      </c>
      <c r="C63" s="336">
        <v>150</v>
      </c>
      <c r="D63" s="493" t="s">
        <v>135</v>
      </c>
      <c r="E63" s="474" t="s">
        <v>89</v>
      </c>
      <c r="F63" s="340"/>
      <c r="G63" s="473" t="s">
        <v>140</v>
      </c>
      <c r="H63" s="475">
        <v>0</v>
      </c>
      <c r="I63" s="475">
        <v>0</v>
      </c>
      <c r="J63" s="475">
        <v>0</v>
      </c>
      <c r="K63" s="475">
        <v>0</v>
      </c>
      <c r="L63" s="475">
        <v>0</v>
      </c>
      <c r="M63" s="475">
        <v>0</v>
      </c>
      <c r="N63" s="475">
        <v>0</v>
      </c>
      <c r="O63" s="475">
        <v>0</v>
      </c>
      <c r="P63" s="475">
        <v>0</v>
      </c>
      <c r="Q63" s="475">
        <v>0</v>
      </c>
      <c r="R63" s="475">
        <v>0</v>
      </c>
      <c r="S63" s="475">
        <v>0</v>
      </c>
    </row>
    <row r="64" spans="1:19" ht="12" x14ac:dyDescent="0.2">
      <c r="B64" s="381" t="s">
        <v>141</v>
      </c>
      <c r="C64" s="493" t="s">
        <v>142</v>
      </c>
      <c r="D64" s="493" t="s">
        <v>131</v>
      </c>
      <c r="E64" s="474" t="s">
        <v>11</v>
      </c>
      <c r="F64" s="340"/>
      <c r="G64" s="473" t="s">
        <v>143</v>
      </c>
      <c r="H64" s="475">
        <v>0</v>
      </c>
      <c r="I64" s="475">
        <v>0</v>
      </c>
      <c r="J64" s="475">
        <v>0</v>
      </c>
      <c r="K64" s="475">
        <v>0</v>
      </c>
      <c r="L64" s="475">
        <v>0</v>
      </c>
      <c r="M64" s="475">
        <v>0</v>
      </c>
      <c r="N64" s="475">
        <v>0</v>
      </c>
      <c r="O64" s="475">
        <v>0</v>
      </c>
      <c r="P64" s="475">
        <v>0</v>
      </c>
      <c r="Q64" s="475">
        <v>0</v>
      </c>
      <c r="R64" s="475">
        <v>0</v>
      </c>
      <c r="S64" s="475">
        <v>0</v>
      </c>
    </row>
    <row r="65" spans="2:19" ht="12" x14ac:dyDescent="0.2">
      <c r="B65" s="381" t="s">
        <v>144</v>
      </c>
      <c r="C65" s="333" t="s">
        <v>493</v>
      </c>
      <c r="D65" s="493" t="s">
        <v>135</v>
      </c>
      <c r="E65" s="474" t="s">
        <v>89</v>
      </c>
      <c r="F65" s="340"/>
      <c r="G65" s="473" t="s">
        <v>145</v>
      </c>
      <c r="H65" s="475">
        <v>0</v>
      </c>
      <c r="I65" s="475">
        <v>0</v>
      </c>
      <c r="J65" s="475">
        <v>0</v>
      </c>
      <c r="K65" s="475">
        <v>0</v>
      </c>
      <c r="L65" s="475">
        <v>0</v>
      </c>
      <c r="M65" s="475">
        <v>0</v>
      </c>
      <c r="N65" s="475">
        <v>0</v>
      </c>
      <c r="O65" s="475">
        <v>0</v>
      </c>
      <c r="P65" s="475">
        <v>0</v>
      </c>
      <c r="Q65" s="475">
        <v>0</v>
      </c>
      <c r="R65" s="475">
        <v>0</v>
      </c>
      <c r="S65" s="475">
        <v>0</v>
      </c>
    </row>
    <row r="66" spans="2:19" ht="12" x14ac:dyDescent="0.2">
      <c r="B66" s="381" t="s">
        <v>146</v>
      </c>
      <c r="C66" s="333" t="s">
        <v>493</v>
      </c>
      <c r="D66" s="493" t="s">
        <v>131</v>
      </c>
      <c r="E66" s="474" t="s">
        <v>11</v>
      </c>
      <c r="F66" s="340"/>
      <c r="G66" s="473" t="s">
        <v>147</v>
      </c>
      <c r="H66" s="475">
        <v>0</v>
      </c>
      <c r="I66" s="475">
        <v>0</v>
      </c>
      <c r="J66" s="475">
        <v>0</v>
      </c>
      <c r="K66" s="475">
        <v>0</v>
      </c>
      <c r="L66" s="475">
        <v>0</v>
      </c>
      <c r="M66" s="475">
        <v>0</v>
      </c>
      <c r="N66" s="475">
        <v>0</v>
      </c>
      <c r="O66" s="475">
        <v>0</v>
      </c>
      <c r="P66" s="475">
        <v>0</v>
      </c>
      <c r="Q66" s="475">
        <v>0</v>
      </c>
      <c r="R66" s="475">
        <v>0</v>
      </c>
      <c r="S66" s="475">
        <v>0</v>
      </c>
    </row>
    <row r="67" spans="2:19" ht="12" x14ac:dyDescent="0.2">
      <c r="B67" s="381" t="s">
        <v>148</v>
      </c>
      <c r="C67" s="333" t="s">
        <v>149</v>
      </c>
      <c r="D67" s="493" t="s">
        <v>135</v>
      </c>
      <c r="E67" s="474" t="s">
        <v>89</v>
      </c>
      <c r="F67" s="340"/>
      <c r="G67" s="473" t="s">
        <v>150</v>
      </c>
      <c r="H67" s="475">
        <v>0</v>
      </c>
      <c r="I67" s="475">
        <v>0</v>
      </c>
      <c r="J67" s="475">
        <v>0</v>
      </c>
      <c r="K67" s="475">
        <v>0</v>
      </c>
      <c r="L67" s="475">
        <v>0</v>
      </c>
      <c r="M67" s="475">
        <v>0</v>
      </c>
      <c r="N67" s="475">
        <v>0</v>
      </c>
      <c r="O67" s="475">
        <v>0</v>
      </c>
      <c r="P67" s="475">
        <v>0</v>
      </c>
      <c r="Q67" s="475">
        <v>0</v>
      </c>
      <c r="R67" s="475">
        <v>0</v>
      </c>
      <c r="S67" s="475">
        <v>0</v>
      </c>
    </row>
    <row r="68" spans="2:19" ht="12" x14ac:dyDescent="0.2">
      <c r="B68" s="381" t="s">
        <v>151</v>
      </c>
      <c r="C68" s="333" t="s">
        <v>149</v>
      </c>
      <c r="D68" s="493" t="s">
        <v>131</v>
      </c>
      <c r="E68" s="474" t="s">
        <v>11</v>
      </c>
      <c r="F68" s="340"/>
      <c r="G68" s="473" t="s">
        <v>152</v>
      </c>
      <c r="H68" s="475">
        <v>0</v>
      </c>
      <c r="I68" s="475">
        <v>0</v>
      </c>
      <c r="J68" s="475">
        <v>0</v>
      </c>
      <c r="K68" s="475">
        <v>0</v>
      </c>
      <c r="L68" s="475">
        <v>0</v>
      </c>
      <c r="M68" s="475">
        <v>0</v>
      </c>
      <c r="N68" s="475">
        <v>0</v>
      </c>
      <c r="O68" s="475">
        <v>0</v>
      </c>
      <c r="P68" s="475">
        <v>0</v>
      </c>
      <c r="Q68" s="475">
        <v>0</v>
      </c>
      <c r="R68" s="475">
        <v>0</v>
      </c>
      <c r="S68" s="475">
        <v>0</v>
      </c>
    </row>
    <row r="69" spans="2:19" ht="12" x14ac:dyDescent="0.2">
      <c r="B69" s="381" t="s">
        <v>153</v>
      </c>
      <c r="C69" s="493" t="s">
        <v>142</v>
      </c>
      <c r="D69" s="493" t="s">
        <v>131</v>
      </c>
      <c r="E69" s="474" t="s">
        <v>11</v>
      </c>
      <c r="F69" s="340"/>
      <c r="G69" s="473" t="s">
        <v>154</v>
      </c>
      <c r="H69" s="475">
        <v>0</v>
      </c>
      <c r="I69" s="475">
        <v>0</v>
      </c>
      <c r="J69" s="475">
        <v>0</v>
      </c>
      <c r="K69" s="475">
        <v>0</v>
      </c>
      <c r="L69" s="475">
        <v>0</v>
      </c>
      <c r="M69" s="475">
        <v>0</v>
      </c>
      <c r="N69" s="475">
        <v>0</v>
      </c>
      <c r="O69" s="475">
        <v>0</v>
      </c>
      <c r="P69" s="475">
        <v>0</v>
      </c>
      <c r="Q69" s="475">
        <v>0</v>
      </c>
      <c r="R69" s="475">
        <v>0</v>
      </c>
      <c r="S69" s="475">
        <v>0</v>
      </c>
    </row>
    <row r="70" spans="2:19" ht="12" x14ac:dyDescent="0.2">
      <c r="B70" s="381" t="s">
        <v>155</v>
      </c>
      <c r="C70" s="494" t="s">
        <v>156</v>
      </c>
      <c r="D70" s="333"/>
      <c r="E70" s="474" t="s">
        <v>72</v>
      </c>
      <c r="F70" s="340"/>
      <c r="G70" s="473" t="s">
        <v>107</v>
      </c>
      <c r="H70" s="475">
        <v>0</v>
      </c>
      <c r="I70" s="475">
        <v>0</v>
      </c>
      <c r="J70" s="475">
        <v>0</v>
      </c>
      <c r="K70" s="475">
        <v>0</v>
      </c>
      <c r="L70" s="475">
        <v>0</v>
      </c>
      <c r="M70" s="475">
        <v>0</v>
      </c>
      <c r="N70" s="475">
        <v>0</v>
      </c>
      <c r="O70" s="475">
        <v>0</v>
      </c>
      <c r="P70" s="475">
        <v>0</v>
      </c>
      <c r="Q70" s="475">
        <v>0</v>
      </c>
      <c r="R70" s="475">
        <v>0</v>
      </c>
      <c r="S70" s="475">
        <v>0</v>
      </c>
    </row>
    <row r="71" spans="2:19" x14ac:dyDescent="0.2">
      <c r="B71" s="381" t="s">
        <v>157</v>
      </c>
      <c r="D71" s="333"/>
      <c r="E71" s="340"/>
      <c r="F71" s="340"/>
      <c r="G71" s="495" t="s">
        <v>158</v>
      </c>
      <c r="H71" s="472">
        <f t="shared" ref="H71:R71" si="16">SUM(H58:H70)</f>
        <v>878</v>
      </c>
      <c r="I71" s="472">
        <f t="shared" si="16"/>
        <v>-4</v>
      </c>
      <c r="J71" s="472">
        <f t="shared" si="16"/>
        <v>12</v>
      </c>
      <c r="K71" s="472">
        <f t="shared" si="16"/>
        <v>0</v>
      </c>
      <c r="L71" s="472">
        <f t="shared" si="16"/>
        <v>-36</v>
      </c>
      <c r="M71" s="472">
        <f t="shared" si="16"/>
        <v>-21</v>
      </c>
      <c r="N71" s="472">
        <f t="shared" si="16"/>
        <v>-29</v>
      </c>
      <c r="O71" s="472">
        <f t="shared" si="16"/>
        <v>0</v>
      </c>
      <c r="P71" s="472">
        <f t="shared" si="16"/>
        <v>0</v>
      </c>
      <c r="Q71" s="472">
        <f t="shared" si="16"/>
        <v>0</v>
      </c>
      <c r="R71" s="472">
        <f t="shared" si="16"/>
        <v>0</v>
      </c>
      <c r="S71" s="472">
        <f>SUM(S58:S70)</f>
        <v>0</v>
      </c>
    </row>
    <row r="72" spans="2:19" x14ac:dyDescent="0.2">
      <c r="D72" s="333"/>
    </row>
    <row r="73" spans="2:19" x14ac:dyDescent="0.2">
      <c r="D73" s="379" t="s">
        <v>120</v>
      </c>
      <c r="E73" s="380" t="s">
        <v>3</v>
      </c>
      <c r="F73" s="334"/>
      <c r="G73" s="468" t="s">
        <v>159</v>
      </c>
      <c r="H73" s="487">
        <f t="shared" ref="H73:R73" si="17">H57</f>
        <v>2011</v>
      </c>
      <c r="I73" s="487">
        <f t="shared" si="17"/>
        <v>2012</v>
      </c>
      <c r="J73" s="487">
        <f t="shared" si="17"/>
        <v>2013</v>
      </c>
      <c r="K73" s="487">
        <f t="shared" si="17"/>
        <v>2014</v>
      </c>
      <c r="L73" s="487">
        <f t="shared" si="17"/>
        <v>2015</v>
      </c>
      <c r="M73" s="487">
        <f t="shared" si="17"/>
        <v>2016</v>
      </c>
      <c r="N73" s="487">
        <f t="shared" si="17"/>
        <v>2017</v>
      </c>
      <c r="O73" s="487">
        <f t="shared" si="17"/>
        <v>2018</v>
      </c>
      <c r="P73" s="487">
        <f t="shared" si="17"/>
        <v>2019</v>
      </c>
      <c r="Q73" s="487">
        <f t="shared" si="17"/>
        <v>2020</v>
      </c>
      <c r="R73" s="487">
        <f t="shared" si="17"/>
        <v>2021</v>
      </c>
      <c r="S73" s="487">
        <f>S57</f>
        <v>2022</v>
      </c>
    </row>
    <row r="74" spans="2:19" ht="12" x14ac:dyDescent="0.2">
      <c r="B74" s="311" t="s">
        <v>160</v>
      </c>
      <c r="C74" s="493" t="s">
        <v>161</v>
      </c>
      <c r="D74" s="493" t="s">
        <v>128</v>
      </c>
      <c r="E74" s="474" t="s">
        <v>11</v>
      </c>
      <c r="G74" s="471" t="s">
        <v>162</v>
      </c>
      <c r="H74" s="475">
        <v>0</v>
      </c>
      <c r="I74" s="475">
        <v>0</v>
      </c>
      <c r="J74" s="475">
        <v>0</v>
      </c>
      <c r="K74" s="475">
        <v>0</v>
      </c>
      <c r="L74" s="475">
        <v>0</v>
      </c>
      <c r="M74" s="475">
        <v>0</v>
      </c>
      <c r="N74" s="475">
        <v>0</v>
      </c>
      <c r="O74" s="475">
        <v>0</v>
      </c>
      <c r="P74" s="475">
        <v>0</v>
      </c>
      <c r="Q74" s="475">
        <v>0</v>
      </c>
      <c r="R74" s="475">
        <v>0</v>
      </c>
      <c r="S74" s="475">
        <v>0</v>
      </c>
    </row>
    <row r="75" spans="2:19" ht="12" x14ac:dyDescent="0.2">
      <c r="B75" s="311" t="s">
        <v>163</v>
      </c>
      <c r="C75" s="493" t="s">
        <v>161</v>
      </c>
      <c r="D75" s="493" t="s">
        <v>124</v>
      </c>
      <c r="E75" s="474" t="s">
        <v>89</v>
      </c>
      <c r="F75" s="340"/>
      <c r="G75" s="473" t="s">
        <v>164</v>
      </c>
      <c r="H75" s="475">
        <v>0</v>
      </c>
      <c r="I75" s="475">
        <v>0</v>
      </c>
      <c r="J75" s="475">
        <v>0</v>
      </c>
      <c r="K75" s="475">
        <v>0</v>
      </c>
      <c r="L75" s="475">
        <v>0</v>
      </c>
      <c r="M75" s="475">
        <v>0</v>
      </c>
      <c r="N75" s="475">
        <v>0</v>
      </c>
      <c r="O75" s="475">
        <v>0</v>
      </c>
      <c r="P75" s="475">
        <v>0</v>
      </c>
      <c r="Q75" s="475">
        <v>0</v>
      </c>
      <c r="R75" s="475">
        <v>0</v>
      </c>
      <c r="S75" s="475">
        <v>0</v>
      </c>
    </row>
    <row r="76" spans="2:19" ht="12" x14ac:dyDescent="0.2">
      <c r="B76" s="311" t="s">
        <v>165</v>
      </c>
      <c r="C76" s="493" t="s">
        <v>166</v>
      </c>
      <c r="D76" s="493" t="s">
        <v>131</v>
      </c>
      <c r="E76" s="474" t="s">
        <v>11</v>
      </c>
      <c r="G76" s="473" t="s">
        <v>167</v>
      </c>
      <c r="H76" s="475">
        <v>0</v>
      </c>
      <c r="I76" s="475">
        <v>0</v>
      </c>
      <c r="J76" s="475">
        <v>0</v>
      </c>
      <c r="K76" s="475">
        <v>0</v>
      </c>
      <c r="L76" s="475">
        <v>0</v>
      </c>
      <c r="M76" s="475">
        <v>0</v>
      </c>
      <c r="N76" s="475">
        <v>0</v>
      </c>
      <c r="O76" s="475">
        <v>0</v>
      </c>
      <c r="P76" s="475">
        <v>0</v>
      </c>
      <c r="Q76" s="475">
        <v>0</v>
      </c>
      <c r="R76" s="475">
        <v>0</v>
      </c>
      <c r="S76" s="475">
        <v>0</v>
      </c>
    </row>
    <row r="77" spans="2:19" ht="12" x14ac:dyDescent="0.2">
      <c r="B77" s="311" t="s">
        <v>168</v>
      </c>
      <c r="C77" s="493" t="s">
        <v>166</v>
      </c>
      <c r="D77" s="493" t="s">
        <v>135</v>
      </c>
      <c r="E77" s="474" t="s">
        <v>89</v>
      </c>
      <c r="F77" s="340"/>
      <c r="G77" s="473" t="s">
        <v>169</v>
      </c>
      <c r="H77" s="475">
        <v>0</v>
      </c>
      <c r="I77" s="475">
        <v>0</v>
      </c>
      <c r="J77" s="475">
        <v>0</v>
      </c>
      <c r="K77" s="475">
        <v>0</v>
      </c>
      <c r="L77" s="475">
        <v>0</v>
      </c>
      <c r="M77" s="475">
        <v>0</v>
      </c>
      <c r="N77" s="475">
        <v>0</v>
      </c>
      <c r="O77" s="475">
        <v>0</v>
      </c>
      <c r="P77" s="475">
        <v>0</v>
      </c>
      <c r="Q77" s="475">
        <v>0</v>
      </c>
      <c r="R77" s="475">
        <v>0</v>
      </c>
      <c r="S77" s="475">
        <v>0</v>
      </c>
    </row>
    <row r="78" spans="2:19" ht="12" x14ac:dyDescent="0.2">
      <c r="B78" s="311" t="s">
        <v>170</v>
      </c>
      <c r="C78" s="493" t="s">
        <v>171</v>
      </c>
      <c r="D78" s="493" t="s">
        <v>135</v>
      </c>
      <c r="E78" s="474" t="s">
        <v>89</v>
      </c>
      <c r="F78" s="340"/>
      <c r="G78" s="473" t="s">
        <v>172</v>
      </c>
      <c r="H78" s="475">
        <v>-3</v>
      </c>
      <c r="I78" s="475">
        <v>-4</v>
      </c>
      <c r="J78" s="475">
        <v>-7</v>
      </c>
      <c r="K78" s="475">
        <v>-1</v>
      </c>
      <c r="L78" s="475">
        <v>0</v>
      </c>
      <c r="M78" s="475">
        <v>-4</v>
      </c>
      <c r="N78" s="475">
        <v>-2</v>
      </c>
      <c r="O78" s="475">
        <v>-3</v>
      </c>
      <c r="P78" s="475">
        <v>0</v>
      </c>
      <c r="Q78" s="475">
        <v>0</v>
      </c>
      <c r="R78" s="475">
        <v>0</v>
      </c>
      <c r="S78" s="475">
        <v>0</v>
      </c>
    </row>
    <row r="79" spans="2:19" ht="12" x14ac:dyDescent="0.2">
      <c r="B79" s="311" t="s">
        <v>173</v>
      </c>
      <c r="C79" s="493" t="s">
        <v>174</v>
      </c>
      <c r="D79" s="493" t="s">
        <v>135</v>
      </c>
      <c r="E79" s="474" t="s">
        <v>89</v>
      </c>
      <c r="F79" s="340"/>
      <c r="G79" s="473" t="s">
        <v>175</v>
      </c>
      <c r="H79" s="475">
        <v>-1</v>
      </c>
      <c r="I79" s="475">
        <v>-1</v>
      </c>
      <c r="J79" s="475">
        <v>0</v>
      </c>
      <c r="K79" s="475">
        <v>0</v>
      </c>
      <c r="L79" s="475">
        <v>0</v>
      </c>
      <c r="M79" s="475">
        <v>0</v>
      </c>
      <c r="N79" s="475">
        <v>0</v>
      </c>
      <c r="O79" s="475">
        <v>0</v>
      </c>
      <c r="P79" s="475">
        <v>0</v>
      </c>
      <c r="Q79" s="475">
        <v>0</v>
      </c>
      <c r="R79" s="475">
        <v>0</v>
      </c>
      <c r="S79" s="475">
        <v>0</v>
      </c>
    </row>
    <row r="80" spans="2:19" ht="12" x14ac:dyDescent="0.2">
      <c r="B80" s="311" t="s">
        <v>176</v>
      </c>
      <c r="C80" s="493" t="s">
        <v>177</v>
      </c>
      <c r="D80" s="493" t="s">
        <v>135</v>
      </c>
      <c r="E80" s="474" t="s">
        <v>89</v>
      </c>
      <c r="F80" s="340"/>
      <c r="G80" s="473" t="s">
        <v>178</v>
      </c>
      <c r="H80" s="475">
        <v>0</v>
      </c>
      <c r="I80" s="475">
        <v>0</v>
      </c>
      <c r="J80" s="475">
        <v>0</v>
      </c>
      <c r="K80" s="475">
        <v>0</v>
      </c>
      <c r="L80" s="475">
        <v>0</v>
      </c>
      <c r="M80" s="475">
        <v>0</v>
      </c>
      <c r="N80" s="475">
        <v>0</v>
      </c>
      <c r="O80" s="475">
        <v>0</v>
      </c>
      <c r="P80" s="475">
        <v>0</v>
      </c>
      <c r="Q80" s="475">
        <v>0</v>
      </c>
      <c r="R80" s="475">
        <v>0</v>
      </c>
      <c r="S80" s="475">
        <v>0</v>
      </c>
    </row>
    <row r="81" spans="1:19" ht="12" x14ac:dyDescent="0.2">
      <c r="B81" s="311" t="s">
        <v>179</v>
      </c>
      <c r="C81" s="493" t="s">
        <v>52</v>
      </c>
      <c r="D81" s="493" t="s">
        <v>135</v>
      </c>
      <c r="E81" s="474" t="s">
        <v>89</v>
      </c>
      <c r="F81" s="340"/>
      <c r="G81" s="473" t="s">
        <v>180</v>
      </c>
      <c r="H81" s="475">
        <v>0</v>
      </c>
      <c r="I81" s="475">
        <v>0</v>
      </c>
      <c r="J81" s="475">
        <v>0</v>
      </c>
      <c r="K81" s="475">
        <v>0</v>
      </c>
      <c r="L81" s="475">
        <v>0</v>
      </c>
      <c r="M81" s="475">
        <v>0</v>
      </c>
      <c r="N81" s="475">
        <v>0</v>
      </c>
      <c r="O81" s="475">
        <v>0</v>
      </c>
      <c r="P81" s="475">
        <v>0</v>
      </c>
      <c r="Q81" s="475">
        <v>0</v>
      </c>
      <c r="R81" s="475">
        <v>0</v>
      </c>
      <c r="S81" s="475">
        <v>0</v>
      </c>
    </row>
    <row r="82" spans="1:19" ht="12" x14ac:dyDescent="0.2">
      <c r="B82" s="311" t="s">
        <v>181</v>
      </c>
      <c r="C82" s="493" t="s">
        <v>182</v>
      </c>
      <c r="D82" s="493" t="s">
        <v>131</v>
      </c>
      <c r="E82" s="474" t="s">
        <v>11</v>
      </c>
      <c r="G82" s="473" t="s">
        <v>183</v>
      </c>
      <c r="H82" s="475">
        <v>0</v>
      </c>
      <c r="I82" s="475">
        <v>0</v>
      </c>
      <c r="J82" s="475">
        <v>0</v>
      </c>
      <c r="K82" s="475">
        <v>0</v>
      </c>
      <c r="L82" s="475">
        <v>0</v>
      </c>
      <c r="M82" s="475">
        <v>0</v>
      </c>
      <c r="N82" s="475">
        <v>0</v>
      </c>
      <c r="O82" s="475">
        <v>0</v>
      </c>
      <c r="P82" s="475">
        <v>0</v>
      </c>
      <c r="Q82" s="475">
        <v>0</v>
      </c>
      <c r="R82" s="475">
        <v>0</v>
      </c>
      <c r="S82" s="475">
        <v>0</v>
      </c>
    </row>
    <row r="83" spans="1:19" ht="12" x14ac:dyDescent="0.2">
      <c r="B83" s="311" t="s">
        <v>184</v>
      </c>
      <c r="C83" s="493" t="s">
        <v>182</v>
      </c>
      <c r="D83" s="493" t="s">
        <v>135</v>
      </c>
      <c r="E83" s="474" t="s">
        <v>89</v>
      </c>
      <c r="F83" s="340"/>
      <c r="G83" s="473" t="s">
        <v>494</v>
      </c>
      <c r="H83" s="475">
        <v>0</v>
      </c>
      <c r="I83" s="475">
        <v>0</v>
      </c>
      <c r="J83" s="475">
        <v>0</v>
      </c>
      <c r="K83" s="475">
        <v>0</v>
      </c>
      <c r="L83" s="475">
        <v>0</v>
      </c>
      <c r="M83" s="475">
        <v>0</v>
      </c>
      <c r="N83" s="475">
        <v>0</v>
      </c>
      <c r="O83" s="475">
        <v>0</v>
      </c>
      <c r="P83" s="475">
        <v>0</v>
      </c>
      <c r="Q83" s="475">
        <v>0</v>
      </c>
      <c r="R83" s="475">
        <v>0</v>
      </c>
      <c r="S83" s="475">
        <v>0</v>
      </c>
    </row>
    <row r="84" spans="1:19" ht="12" x14ac:dyDescent="0.2">
      <c r="B84" s="311" t="s">
        <v>185</v>
      </c>
      <c r="C84" s="496">
        <v>68</v>
      </c>
      <c r="D84" s="493" t="s">
        <v>135</v>
      </c>
      <c r="E84" s="474" t="s">
        <v>89</v>
      </c>
      <c r="F84" s="340"/>
      <c r="G84" s="497" t="s">
        <v>111</v>
      </c>
      <c r="H84" s="475">
        <v>0</v>
      </c>
      <c r="I84" s="475">
        <v>0</v>
      </c>
      <c r="J84" s="475">
        <v>0</v>
      </c>
      <c r="K84" s="475">
        <v>0</v>
      </c>
      <c r="L84" s="475">
        <v>0</v>
      </c>
      <c r="M84" s="475">
        <v>0</v>
      </c>
      <c r="N84" s="475">
        <v>0</v>
      </c>
      <c r="O84" s="475">
        <v>0</v>
      </c>
      <c r="P84" s="475">
        <v>0</v>
      </c>
      <c r="Q84" s="475">
        <v>0</v>
      </c>
      <c r="R84" s="475">
        <v>0</v>
      </c>
      <c r="S84" s="475">
        <v>0</v>
      </c>
    </row>
    <row r="85" spans="1:19" x14ac:dyDescent="0.2">
      <c r="B85" s="311" t="s">
        <v>186</v>
      </c>
      <c r="G85" s="497" t="s">
        <v>158</v>
      </c>
      <c r="H85" s="472">
        <f t="shared" ref="H85:R85" si="18">SUM(H74:H84)</f>
        <v>-4</v>
      </c>
      <c r="I85" s="472">
        <f t="shared" si="18"/>
        <v>-5</v>
      </c>
      <c r="J85" s="472">
        <f t="shared" si="18"/>
        <v>-7</v>
      </c>
      <c r="K85" s="472">
        <f t="shared" si="18"/>
        <v>-1</v>
      </c>
      <c r="L85" s="472">
        <f t="shared" si="18"/>
        <v>0</v>
      </c>
      <c r="M85" s="472">
        <f t="shared" si="18"/>
        <v>-4</v>
      </c>
      <c r="N85" s="472">
        <f t="shared" si="18"/>
        <v>-2</v>
      </c>
      <c r="O85" s="472">
        <f t="shared" si="18"/>
        <v>-3</v>
      </c>
      <c r="P85" s="472">
        <f t="shared" si="18"/>
        <v>0</v>
      </c>
      <c r="Q85" s="472">
        <f t="shared" si="18"/>
        <v>0</v>
      </c>
      <c r="R85" s="472">
        <f t="shared" si="18"/>
        <v>0</v>
      </c>
      <c r="S85" s="472">
        <f>SUM(S74:S84)</f>
        <v>0</v>
      </c>
    </row>
    <row r="87" spans="1:19" x14ac:dyDescent="0.2">
      <c r="A87" s="341" t="s">
        <v>0</v>
      </c>
      <c r="D87" s="773" t="s">
        <v>187</v>
      </c>
      <c r="E87" s="774"/>
      <c r="G87" s="468" t="s">
        <v>495</v>
      </c>
      <c r="H87" s="487">
        <f t="shared" ref="H87:R87" si="19">H32</f>
        <v>2011</v>
      </c>
      <c r="I87" s="487">
        <f t="shared" si="19"/>
        <v>2012</v>
      </c>
      <c r="J87" s="487">
        <f t="shared" si="19"/>
        <v>2013</v>
      </c>
      <c r="K87" s="487">
        <f t="shared" si="19"/>
        <v>2014</v>
      </c>
      <c r="L87" s="487">
        <f t="shared" si="19"/>
        <v>2015</v>
      </c>
      <c r="M87" s="487">
        <f t="shared" si="19"/>
        <v>2016</v>
      </c>
      <c r="N87" s="487">
        <f t="shared" si="19"/>
        <v>2017</v>
      </c>
      <c r="O87" s="487">
        <f t="shared" si="19"/>
        <v>2018</v>
      </c>
      <c r="P87" s="487">
        <f t="shared" si="19"/>
        <v>2019</v>
      </c>
      <c r="Q87" s="487">
        <f t="shared" si="19"/>
        <v>2020</v>
      </c>
      <c r="R87" s="487">
        <f t="shared" si="19"/>
        <v>2021</v>
      </c>
      <c r="S87" s="487">
        <f>S32</f>
        <v>2022</v>
      </c>
    </row>
    <row r="88" spans="1:19" x14ac:dyDescent="0.2">
      <c r="A88" s="333" t="s">
        <v>496</v>
      </c>
      <c r="B88" s="311" t="s">
        <v>188</v>
      </c>
      <c r="C88" s="333" t="s">
        <v>497</v>
      </c>
      <c r="E88" s="498"/>
      <c r="G88" s="471" t="s">
        <v>498</v>
      </c>
      <c r="H88" s="472">
        <f>H46+H71</f>
        <v>-438</v>
      </c>
      <c r="I88" s="472">
        <f t="shared" ref="I88:R88" si="20">I46+I71</f>
        <v>-1311</v>
      </c>
      <c r="J88" s="472">
        <f t="shared" si="20"/>
        <v>-463</v>
      </c>
      <c r="K88" s="472">
        <f t="shared" si="20"/>
        <v>142</v>
      </c>
      <c r="L88" s="472">
        <f t="shared" si="20"/>
        <v>-99</v>
      </c>
      <c r="M88" s="472">
        <f t="shared" si="20"/>
        <v>64</v>
      </c>
      <c r="N88" s="472">
        <f t="shared" si="20"/>
        <v>200</v>
      </c>
      <c r="O88" s="472">
        <f t="shared" si="20"/>
        <v>0</v>
      </c>
      <c r="P88" s="472">
        <f t="shared" si="20"/>
        <v>185</v>
      </c>
      <c r="Q88" s="472">
        <f t="shared" si="20"/>
        <v>155</v>
      </c>
      <c r="R88" s="472">
        <f t="shared" si="20"/>
        <v>0</v>
      </c>
      <c r="S88" s="472">
        <f>S46+S71</f>
        <v>0</v>
      </c>
    </row>
    <row r="89" spans="1:19" x14ac:dyDescent="0.2">
      <c r="A89" s="333" t="s">
        <v>499</v>
      </c>
      <c r="B89" s="311" t="s">
        <v>189</v>
      </c>
      <c r="C89" s="493" t="s">
        <v>190</v>
      </c>
      <c r="E89" s="498"/>
      <c r="G89" s="471" t="s">
        <v>191</v>
      </c>
      <c r="H89" s="499">
        <f t="shared" ref="H89:R89" si="21">H33+H38+H41-H45</f>
        <v>-906</v>
      </c>
      <c r="I89" s="472">
        <f t="shared" si="21"/>
        <v>-936</v>
      </c>
      <c r="J89" s="472">
        <f t="shared" si="21"/>
        <v>-361</v>
      </c>
      <c r="K89" s="472">
        <f t="shared" si="21"/>
        <v>259</v>
      </c>
      <c r="L89" s="472">
        <f t="shared" si="21"/>
        <v>56</v>
      </c>
      <c r="M89" s="472">
        <f t="shared" si="21"/>
        <v>173</v>
      </c>
      <c r="N89" s="472">
        <f t="shared" si="21"/>
        <v>298</v>
      </c>
      <c r="O89" s="472">
        <f t="shared" si="21"/>
        <v>150</v>
      </c>
      <c r="P89" s="472">
        <f t="shared" si="21"/>
        <v>345</v>
      </c>
      <c r="Q89" s="472">
        <f t="shared" si="21"/>
        <v>330</v>
      </c>
      <c r="R89" s="472">
        <f t="shared" si="21"/>
        <v>185</v>
      </c>
      <c r="S89" s="472">
        <f>S33+S38+S41-S45</f>
        <v>150</v>
      </c>
    </row>
    <row r="90" spans="1:19" x14ac:dyDescent="0.2">
      <c r="A90" s="333" t="s">
        <v>500</v>
      </c>
      <c r="B90" s="311" t="s">
        <v>192</v>
      </c>
      <c r="C90" s="333" t="s">
        <v>501</v>
      </c>
      <c r="E90" s="500">
        <v>0</v>
      </c>
      <c r="G90" s="497" t="s">
        <v>193</v>
      </c>
      <c r="H90" s="170">
        <f t="shared" ref="H90:R90" si="22">H89/H33</f>
        <v>-1.1796875</v>
      </c>
      <c r="I90" s="171">
        <f t="shared" si="22"/>
        <v>-0.93975903614457834</v>
      </c>
      <c r="J90" s="171">
        <f t="shared" si="22"/>
        <v>-0.17397590361445783</v>
      </c>
      <c r="K90" s="171">
        <f t="shared" si="22"/>
        <v>0.10435132957292506</v>
      </c>
      <c r="L90" s="171">
        <f t="shared" si="22"/>
        <v>2.1513638109873223E-2</v>
      </c>
      <c r="M90" s="171">
        <f t="shared" si="22"/>
        <v>6.2794918330308536E-2</v>
      </c>
      <c r="N90" s="171">
        <f t="shared" si="22"/>
        <v>7.4780426599749053E-2</v>
      </c>
      <c r="O90" s="171">
        <f t="shared" si="22"/>
        <v>4.2134831460674156E-2</v>
      </c>
      <c r="P90" s="171">
        <f t="shared" si="22"/>
        <v>8.7786259541984726E-2</v>
      </c>
      <c r="Q90" s="171">
        <f t="shared" si="22"/>
        <v>7.9326923076923073E-2</v>
      </c>
      <c r="R90" s="171">
        <f t="shared" si="22"/>
        <v>4.2045454545454546E-2</v>
      </c>
      <c r="S90" s="171">
        <f>S89/S33</f>
        <v>3.3112582781456956E-2</v>
      </c>
    </row>
    <row r="91" spans="1:19" x14ac:dyDescent="0.2">
      <c r="A91" s="333" t="s">
        <v>502</v>
      </c>
      <c r="B91" s="311" t="s">
        <v>194</v>
      </c>
      <c r="C91" s="493" t="s">
        <v>195</v>
      </c>
      <c r="E91" s="498"/>
      <c r="G91" s="473" t="s">
        <v>196</v>
      </c>
      <c r="H91" s="501">
        <f t="shared" ref="H91:R91" si="23">-H33/(H38+H41)</f>
        <v>0.36852207293666028</v>
      </c>
      <c r="I91" s="501">
        <f t="shared" si="23"/>
        <v>0.43247937472861486</v>
      </c>
      <c r="J91" s="501">
        <f t="shared" si="23"/>
        <v>0.81372549019607843</v>
      </c>
      <c r="K91" s="501">
        <f t="shared" si="23"/>
        <v>1.0606837606837607</v>
      </c>
      <c r="L91" s="501">
        <f t="shared" si="23"/>
        <v>0.97636909227306823</v>
      </c>
      <c r="M91" s="501">
        <f t="shared" si="23"/>
        <v>1.0318352059925093</v>
      </c>
      <c r="N91" s="501">
        <f t="shared" si="23"/>
        <v>1.0609691160809371</v>
      </c>
      <c r="O91" s="501">
        <f t="shared" si="23"/>
        <v>1</v>
      </c>
      <c r="P91" s="501">
        <f t="shared" si="23"/>
        <v>1.0493991989319091</v>
      </c>
      <c r="Q91" s="501">
        <f t="shared" si="23"/>
        <v>1.038701622971286</v>
      </c>
      <c r="R91" s="501">
        <f t="shared" si="23"/>
        <v>1</v>
      </c>
      <c r="S91" s="501">
        <f>-S33/(S38+S41)</f>
        <v>1</v>
      </c>
    </row>
    <row r="92" spans="1:19" x14ac:dyDescent="0.2">
      <c r="A92" s="333" t="s">
        <v>503</v>
      </c>
      <c r="B92" s="311" t="s">
        <v>197</v>
      </c>
      <c r="C92" s="333" t="s">
        <v>198</v>
      </c>
      <c r="E92" s="498"/>
      <c r="G92" s="471" t="s">
        <v>199</v>
      </c>
      <c r="H92" s="499">
        <f>H46</f>
        <v>-1316</v>
      </c>
      <c r="I92" s="499">
        <f t="shared" ref="I92:R92" si="24">I46</f>
        <v>-1307</v>
      </c>
      <c r="J92" s="499">
        <f t="shared" si="24"/>
        <v>-475</v>
      </c>
      <c r="K92" s="499">
        <f t="shared" si="24"/>
        <v>142</v>
      </c>
      <c r="L92" s="499">
        <f t="shared" si="24"/>
        <v>-63</v>
      </c>
      <c r="M92" s="499">
        <f t="shared" si="24"/>
        <v>85</v>
      </c>
      <c r="N92" s="499">
        <f t="shared" si="24"/>
        <v>229</v>
      </c>
      <c r="O92" s="499">
        <f t="shared" si="24"/>
        <v>0</v>
      </c>
      <c r="P92" s="499">
        <f t="shared" si="24"/>
        <v>185</v>
      </c>
      <c r="Q92" s="499">
        <f t="shared" si="24"/>
        <v>155</v>
      </c>
      <c r="R92" s="499">
        <f t="shared" si="24"/>
        <v>0</v>
      </c>
      <c r="S92" s="499">
        <f>S46</f>
        <v>0</v>
      </c>
    </row>
    <row r="93" spans="1:19" x14ac:dyDescent="0.2">
      <c r="A93" s="333" t="s">
        <v>504</v>
      </c>
      <c r="B93" s="311" t="s">
        <v>200</v>
      </c>
      <c r="C93" s="333" t="s">
        <v>201</v>
      </c>
      <c r="D93" s="500">
        <v>-0.3</v>
      </c>
      <c r="E93" s="500">
        <v>0</v>
      </c>
      <c r="G93" s="473" t="s">
        <v>202</v>
      </c>
      <c r="H93" s="174">
        <f>H46/H33</f>
        <v>-1.7135416666666667</v>
      </c>
      <c r="I93" s="175">
        <f t="shared" ref="I93:R93" si="25">I46/I33</f>
        <v>-1.3122489959839359</v>
      </c>
      <c r="J93" s="175">
        <f t="shared" si="25"/>
        <v>-0.2289156626506024</v>
      </c>
      <c r="K93" s="175">
        <f t="shared" si="25"/>
        <v>5.7211925866236905E-2</v>
      </c>
      <c r="L93" s="175">
        <f t="shared" si="25"/>
        <v>-2.4202842873607376E-2</v>
      </c>
      <c r="M93" s="175">
        <f t="shared" si="25"/>
        <v>3.0852994555353903E-2</v>
      </c>
      <c r="N93" s="175">
        <f t="shared" si="25"/>
        <v>5.7465495608531994E-2</v>
      </c>
      <c r="O93" s="175">
        <f t="shared" si="25"/>
        <v>0</v>
      </c>
      <c r="P93" s="175">
        <f t="shared" si="25"/>
        <v>4.7073791348600506E-2</v>
      </c>
      <c r="Q93" s="175">
        <f t="shared" si="25"/>
        <v>3.7259615384615384E-2</v>
      </c>
      <c r="R93" s="175">
        <f t="shared" si="25"/>
        <v>0</v>
      </c>
      <c r="S93" s="175">
        <f>S46/S33</f>
        <v>0</v>
      </c>
    </row>
    <row r="94" spans="1:19" x14ac:dyDescent="0.2">
      <c r="A94" s="333" t="s">
        <v>505</v>
      </c>
      <c r="B94" s="311" t="s">
        <v>203</v>
      </c>
      <c r="C94" s="333" t="s">
        <v>204</v>
      </c>
      <c r="E94" s="498"/>
      <c r="G94" s="497" t="s">
        <v>205</v>
      </c>
      <c r="H94" s="499">
        <f>H29+H30</f>
        <v>-1317</v>
      </c>
      <c r="I94" s="499">
        <f t="shared" ref="I94:R94" si="26">I29+I30</f>
        <v>-1308</v>
      </c>
      <c r="J94" s="499">
        <f t="shared" si="26"/>
        <v>-475</v>
      </c>
      <c r="K94" s="499">
        <f t="shared" si="26"/>
        <v>-333</v>
      </c>
      <c r="L94" s="499">
        <f t="shared" si="26"/>
        <v>-395</v>
      </c>
      <c r="M94" s="499">
        <f t="shared" si="26"/>
        <v>-310</v>
      </c>
      <c r="N94" s="499">
        <f t="shared" si="26"/>
        <v>-81</v>
      </c>
      <c r="O94" s="499">
        <f t="shared" si="26"/>
        <v>-81</v>
      </c>
      <c r="P94" s="499">
        <f t="shared" si="26"/>
        <v>104</v>
      </c>
      <c r="Q94" s="499">
        <f t="shared" si="26"/>
        <v>259</v>
      </c>
      <c r="R94" s="499">
        <f t="shared" si="26"/>
        <v>259</v>
      </c>
      <c r="S94" s="499">
        <f>S29+S30</f>
        <v>259</v>
      </c>
    </row>
    <row r="95" spans="1:19" x14ac:dyDescent="0.2">
      <c r="G95" s="502" t="s">
        <v>206</v>
      </c>
      <c r="H95" s="487">
        <f t="shared" ref="H95:R95" si="27">H87</f>
        <v>2011</v>
      </c>
      <c r="I95" s="487">
        <f t="shared" si="27"/>
        <v>2012</v>
      </c>
      <c r="J95" s="487">
        <f t="shared" si="27"/>
        <v>2013</v>
      </c>
      <c r="K95" s="487">
        <f t="shared" si="27"/>
        <v>2014</v>
      </c>
      <c r="L95" s="487">
        <f t="shared" si="27"/>
        <v>2015</v>
      </c>
      <c r="M95" s="487">
        <f t="shared" si="27"/>
        <v>2016</v>
      </c>
      <c r="N95" s="487">
        <f t="shared" si="27"/>
        <v>2017</v>
      </c>
      <c r="O95" s="487">
        <f t="shared" si="27"/>
        <v>2018</v>
      </c>
      <c r="P95" s="487">
        <f t="shared" si="27"/>
        <v>2019</v>
      </c>
      <c r="Q95" s="487">
        <f t="shared" si="27"/>
        <v>2020</v>
      </c>
      <c r="R95" s="487">
        <f t="shared" si="27"/>
        <v>2021</v>
      </c>
      <c r="S95" s="487">
        <f>S87</f>
        <v>2022</v>
      </c>
    </row>
    <row r="96" spans="1:19" x14ac:dyDescent="0.2">
      <c r="A96" s="493" t="s">
        <v>506</v>
      </c>
      <c r="B96" s="311" t="s">
        <v>207</v>
      </c>
      <c r="C96" s="336" t="s">
        <v>208</v>
      </c>
      <c r="E96" s="498"/>
      <c r="F96" s="411"/>
      <c r="G96" s="471" t="s">
        <v>209</v>
      </c>
      <c r="H96" s="499">
        <f t="shared" ref="H96:R96" si="28">H6+H12</f>
        <v>74</v>
      </c>
      <c r="I96" s="472">
        <f t="shared" si="28"/>
        <v>6</v>
      </c>
      <c r="J96" s="472">
        <f t="shared" si="28"/>
        <v>3</v>
      </c>
      <c r="K96" s="472">
        <f t="shared" si="28"/>
        <v>2</v>
      </c>
      <c r="L96" s="472">
        <f t="shared" si="28"/>
        <v>25</v>
      </c>
      <c r="M96" s="472">
        <f t="shared" si="28"/>
        <v>209</v>
      </c>
      <c r="N96" s="472">
        <f t="shared" si="28"/>
        <v>76</v>
      </c>
      <c r="O96" s="472">
        <f t="shared" si="28"/>
        <v>82</v>
      </c>
      <c r="P96" s="472">
        <f t="shared" si="28"/>
        <v>210</v>
      </c>
      <c r="Q96" s="472">
        <f t="shared" si="28"/>
        <v>185</v>
      </c>
      <c r="R96" s="472">
        <f t="shared" si="28"/>
        <v>113</v>
      </c>
      <c r="S96" s="472">
        <f>S6+S12</f>
        <v>183</v>
      </c>
    </row>
    <row r="97" spans="1:19" x14ac:dyDescent="0.2">
      <c r="A97" s="333" t="s">
        <v>507</v>
      </c>
      <c r="B97" s="311" t="s">
        <v>210</v>
      </c>
      <c r="C97" s="333" t="s">
        <v>42</v>
      </c>
      <c r="E97" s="498"/>
      <c r="F97" s="411"/>
      <c r="G97" s="473" t="s">
        <v>211</v>
      </c>
      <c r="H97" s="499">
        <f>H19</f>
        <v>302</v>
      </c>
      <c r="I97" s="499">
        <f t="shared" ref="I97:R97" si="29">I19</f>
        <v>403</v>
      </c>
      <c r="J97" s="499">
        <f t="shared" si="29"/>
        <v>440</v>
      </c>
      <c r="K97" s="499">
        <f t="shared" si="29"/>
        <v>177</v>
      </c>
      <c r="L97" s="499">
        <f t="shared" si="29"/>
        <v>202</v>
      </c>
      <c r="M97" s="499">
        <f t="shared" si="29"/>
        <v>895</v>
      </c>
      <c r="N97" s="499">
        <f t="shared" si="29"/>
        <v>269</v>
      </c>
      <c r="O97" s="499">
        <f t="shared" si="29"/>
        <v>168</v>
      </c>
      <c r="P97" s="499">
        <f t="shared" si="29"/>
        <v>84</v>
      </c>
      <c r="Q97" s="499">
        <f t="shared" si="29"/>
        <v>34</v>
      </c>
      <c r="R97" s="499">
        <f t="shared" si="29"/>
        <v>50</v>
      </c>
      <c r="S97" s="499">
        <f>S19</f>
        <v>50</v>
      </c>
    </row>
    <row r="98" spans="1:19" x14ac:dyDescent="0.2">
      <c r="A98" s="333" t="s">
        <v>508</v>
      </c>
      <c r="B98" s="311" t="s">
        <v>509</v>
      </c>
      <c r="C98" s="333" t="s">
        <v>510</v>
      </c>
      <c r="E98" s="498"/>
      <c r="F98" s="411"/>
      <c r="G98" s="473" t="s">
        <v>212</v>
      </c>
      <c r="H98" s="499">
        <f t="shared" ref="H98:R98" si="30">H97-H96</f>
        <v>228</v>
      </c>
      <c r="I98" s="472">
        <f t="shared" si="30"/>
        <v>397</v>
      </c>
      <c r="J98" s="472">
        <f t="shared" si="30"/>
        <v>437</v>
      </c>
      <c r="K98" s="472">
        <f t="shared" si="30"/>
        <v>175</v>
      </c>
      <c r="L98" s="472">
        <f t="shared" si="30"/>
        <v>177</v>
      </c>
      <c r="M98" s="472">
        <f t="shared" si="30"/>
        <v>686</v>
      </c>
      <c r="N98" s="472">
        <f t="shared" si="30"/>
        <v>193</v>
      </c>
      <c r="O98" s="472">
        <f t="shared" si="30"/>
        <v>86</v>
      </c>
      <c r="P98" s="472">
        <f t="shared" si="30"/>
        <v>-126</v>
      </c>
      <c r="Q98" s="472">
        <f t="shared" si="30"/>
        <v>-151</v>
      </c>
      <c r="R98" s="472">
        <f t="shared" si="30"/>
        <v>-63</v>
      </c>
      <c r="S98" s="472">
        <f>S97-S96</f>
        <v>-133</v>
      </c>
    </row>
    <row r="99" spans="1:19" x14ac:dyDescent="0.2">
      <c r="A99" s="493" t="s">
        <v>511</v>
      </c>
      <c r="B99" s="311" t="s">
        <v>512</v>
      </c>
      <c r="C99" s="333" t="s">
        <v>513</v>
      </c>
      <c r="E99" s="500">
        <v>0.4</v>
      </c>
      <c r="F99" s="411"/>
      <c r="G99" s="473" t="s">
        <v>213</v>
      </c>
      <c r="H99" s="177">
        <f t="shared" ref="H99:R99" si="31">H98/H33</f>
        <v>0.296875</v>
      </c>
      <c r="I99" s="171">
        <f t="shared" si="31"/>
        <v>0.39859437751004018</v>
      </c>
      <c r="J99" s="171">
        <f t="shared" si="31"/>
        <v>0.21060240963855423</v>
      </c>
      <c r="K99" s="171">
        <f t="shared" si="31"/>
        <v>7.0507655116841261E-2</v>
      </c>
      <c r="L99" s="171">
        <f t="shared" si="31"/>
        <v>6.7998463311563576E-2</v>
      </c>
      <c r="M99" s="171">
        <f t="shared" si="31"/>
        <v>0.24900181488203266</v>
      </c>
      <c r="N99" s="171">
        <f t="shared" si="31"/>
        <v>4.8431618569636133E-2</v>
      </c>
      <c r="O99" s="171">
        <f t="shared" si="31"/>
        <v>2.4157303370786518E-2</v>
      </c>
      <c r="P99" s="171">
        <f t="shared" si="31"/>
        <v>-3.2061068702290078E-2</v>
      </c>
      <c r="Q99" s="171">
        <f t="shared" si="31"/>
        <v>-3.6298076923076926E-2</v>
      </c>
      <c r="R99" s="171">
        <f t="shared" si="31"/>
        <v>-1.4318181818181818E-2</v>
      </c>
      <c r="S99" s="171">
        <f>S98/S33</f>
        <v>-2.9359823399558498E-2</v>
      </c>
    </row>
    <row r="100" spans="1:19" x14ac:dyDescent="0.2">
      <c r="A100" s="333" t="s">
        <v>514</v>
      </c>
      <c r="B100" s="311" t="s">
        <v>214</v>
      </c>
      <c r="C100" s="333" t="s">
        <v>515</v>
      </c>
      <c r="D100" s="503">
        <v>0</v>
      </c>
      <c r="E100" s="503">
        <v>5</v>
      </c>
      <c r="F100" s="411"/>
      <c r="G100" s="473" t="s">
        <v>215</v>
      </c>
      <c r="H100" s="501">
        <f t="shared" ref="H100:R100" si="32">H98/H89</f>
        <v>-0.25165562913907286</v>
      </c>
      <c r="I100" s="501">
        <f t="shared" si="32"/>
        <v>-0.42414529914529914</v>
      </c>
      <c r="J100" s="501">
        <f t="shared" si="32"/>
        <v>-1.2105263157894737</v>
      </c>
      <c r="K100" s="501">
        <f t="shared" si="32"/>
        <v>0.67567567567567566</v>
      </c>
      <c r="L100" s="501">
        <f t="shared" si="32"/>
        <v>3.1607142857142856</v>
      </c>
      <c r="M100" s="501">
        <f t="shared" si="32"/>
        <v>3.9653179190751446</v>
      </c>
      <c r="N100" s="501">
        <f t="shared" si="32"/>
        <v>0.6476510067114094</v>
      </c>
      <c r="O100" s="501">
        <f t="shared" si="32"/>
        <v>0.57333333333333336</v>
      </c>
      <c r="P100" s="501">
        <f t="shared" si="32"/>
        <v>-0.36521739130434783</v>
      </c>
      <c r="Q100" s="501">
        <f t="shared" si="32"/>
        <v>-0.45757575757575758</v>
      </c>
      <c r="R100" s="501">
        <f t="shared" si="32"/>
        <v>-0.34054054054054056</v>
      </c>
      <c r="S100" s="501">
        <f>S98/S89</f>
        <v>-0.88666666666666671</v>
      </c>
    </row>
    <row r="101" spans="1:19" x14ac:dyDescent="0.2">
      <c r="A101" s="333" t="s">
        <v>516</v>
      </c>
      <c r="B101" s="311" t="s">
        <v>216</v>
      </c>
      <c r="C101" s="333" t="s">
        <v>217</v>
      </c>
      <c r="E101" s="498"/>
      <c r="F101" s="411"/>
      <c r="G101" s="473" t="s">
        <v>218</v>
      </c>
      <c r="H101" s="499">
        <f t="shared" ref="H101:R101" si="33">-(H75+H77+H78+H79+H80+H81)</f>
        <v>4</v>
      </c>
      <c r="I101" s="499">
        <f t="shared" si="33"/>
        <v>5</v>
      </c>
      <c r="J101" s="499">
        <f t="shared" si="33"/>
        <v>7</v>
      </c>
      <c r="K101" s="499">
        <f t="shared" si="33"/>
        <v>1</v>
      </c>
      <c r="L101" s="499">
        <f t="shared" si="33"/>
        <v>0</v>
      </c>
      <c r="M101" s="499">
        <f t="shared" si="33"/>
        <v>4</v>
      </c>
      <c r="N101" s="499">
        <f t="shared" si="33"/>
        <v>2</v>
      </c>
      <c r="O101" s="499">
        <f t="shared" si="33"/>
        <v>3</v>
      </c>
      <c r="P101" s="499">
        <f t="shared" si="33"/>
        <v>0</v>
      </c>
      <c r="Q101" s="499">
        <f t="shared" si="33"/>
        <v>0</v>
      </c>
      <c r="R101" s="499">
        <f t="shared" si="33"/>
        <v>0</v>
      </c>
      <c r="S101" s="499">
        <f>-(S75+S77+S78+S79+S80+S81)</f>
        <v>0</v>
      </c>
    </row>
    <row r="102" spans="1:19" x14ac:dyDescent="0.2">
      <c r="A102" s="333" t="s">
        <v>517</v>
      </c>
      <c r="B102" s="311" t="s">
        <v>219</v>
      </c>
      <c r="C102" s="333" t="s">
        <v>518</v>
      </c>
      <c r="E102" s="503">
        <v>1.2</v>
      </c>
      <c r="F102" s="411"/>
      <c r="G102" s="473" t="s">
        <v>220</v>
      </c>
      <c r="H102" s="504">
        <f t="shared" ref="H102:R102" si="34">H89/H101</f>
        <v>-226.5</v>
      </c>
      <c r="I102" s="501">
        <f t="shared" si="34"/>
        <v>-187.2</v>
      </c>
      <c r="J102" s="501">
        <f t="shared" si="34"/>
        <v>-51.571428571428569</v>
      </c>
      <c r="K102" s="501">
        <f t="shared" si="34"/>
        <v>259</v>
      </c>
      <c r="L102" s="501" t="e">
        <f t="shared" si="34"/>
        <v>#DIV/0!</v>
      </c>
      <c r="M102" s="501">
        <f t="shared" si="34"/>
        <v>43.25</v>
      </c>
      <c r="N102" s="501">
        <f t="shared" si="34"/>
        <v>149</v>
      </c>
      <c r="O102" s="501">
        <f t="shared" si="34"/>
        <v>50</v>
      </c>
      <c r="P102" s="501" t="e">
        <f t="shared" si="34"/>
        <v>#DIV/0!</v>
      </c>
      <c r="Q102" s="501" t="e">
        <f t="shared" si="34"/>
        <v>#DIV/0!</v>
      </c>
      <c r="R102" s="501" t="e">
        <f t="shared" si="34"/>
        <v>#DIV/0!</v>
      </c>
      <c r="S102" s="501" t="e">
        <f>S89/S101</f>
        <v>#DIV/0!</v>
      </c>
    </row>
    <row r="103" spans="1:19" x14ac:dyDescent="0.2">
      <c r="A103" s="505" t="s">
        <v>519</v>
      </c>
      <c r="B103" s="311" t="s">
        <v>221</v>
      </c>
      <c r="C103" s="333" t="s">
        <v>222</v>
      </c>
      <c r="E103" s="503">
        <v>0</v>
      </c>
      <c r="F103" s="411"/>
      <c r="G103" s="471" t="s">
        <v>223</v>
      </c>
      <c r="H103" s="499">
        <f t="shared" ref="H103:R103" si="35">H5-H20</f>
        <v>-177</v>
      </c>
      <c r="I103" s="499">
        <f t="shared" si="35"/>
        <v>-346</v>
      </c>
      <c r="J103" s="499">
        <f t="shared" si="35"/>
        <v>-387</v>
      </c>
      <c r="K103" s="499">
        <f t="shared" si="35"/>
        <v>-132</v>
      </c>
      <c r="L103" s="499">
        <f t="shared" si="35"/>
        <v>-110</v>
      </c>
      <c r="M103" s="499">
        <f t="shared" si="35"/>
        <v>48</v>
      </c>
      <c r="N103" s="499">
        <f t="shared" si="35"/>
        <v>-23</v>
      </c>
      <c r="O103" s="499">
        <f t="shared" si="35"/>
        <v>1</v>
      </c>
      <c r="P103" s="499">
        <f t="shared" si="35"/>
        <v>246</v>
      </c>
      <c r="Q103" s="499">
        <f t="shared" si="35"/>
        <v>331</v>
      </c>
      <c r="R103" s="499">
        <f t="shared" si="35"/>
        <v>283</v>
      </c>
      <c r="S103" s="499">
        <f>S5-S20</f>
        <v>373</v>
      </c>
    </row>
    <row r="104" spans="1:19" x14ac:dyDescent="0.2">
      <c r="A104" s="493" t="s">
        <v>520</v>
      </c>
      <c r="B104" s="311" t="s">
        <v>224</v>
      </c>
      <c r="C104" s="333" t="s">
        <v>225</v>
      </c>
      <c r="E104" s="503">
        <v>1</v>
      </c>
      <c r="F104" s="411"/>
      <c r="G104" s="473" t="s">
        <v>226</v>
      </c>
      <c r="H104" s="504">
        <f t="shared" ref="H104:R104" si="36">H5/H20</f>
        <v>0.4</v>
      </c>
      <c r="I104" s="504">
        <f t="shared" si="36"/>
        <v>0.14143920595533499</v>
      </c>
      <c r="J104" s="504">
        <f t="shared" si="36"/>
        <v>0.11238532110091744</v>
      </c>
      <c r="K104" s="504">
        <f t="shared" si="36"/>
        <v>0.25423728813559321</v>
      </c>
      <c r="L104" s="504">
        <f t="shared" si="36"/>
        <v>0.45544554455445546</v>
      </c>
      <c r="M104" s="504">
        <f t="shared" si="36"/>
        <v>1.053811659192825</v>
      </c>
      <c r="N104" s="504">
        <f t="shared" si="36"/>
        <v>0.88557213930348255</v>
      </c>
      <c r="O104" s="504">
        <f t="shared" si="36"/>
        <v>1.0059523809523809</v>
      </c>
      <c r="P104" s="504">
        <f t="shared" si="36"/>
        <v>3.9285714285714284</v>
      </c>
      <c r="Q104" s="504">
        <f t="shared" si="36"/>
        <v>10.735294117647058</v>
      </c>
      <c r="R104" s="504">
        <f t="shared" si="36"/>
        <v>6.66</v>
      </c>
      <c r="S104" s="504">
        <f>S5/S20</f>
        <v>8.4600000000000009</v>
      </c>
    </row>
    <row r="105" spans="1:19" x14ac:dyDescent="0.2">
      <c r="A105" s="493" t="s">
        <v>521</v>
      </c>
      <c r="B105" s="311" t="s">
        <v>227</v>
      </c>
      <c r="C105" s="493" t="s">
        <v>228</v>
      </c>
      <c r="E105" s="503">
        <v>1</v>
      </c>
      <c r="F105" s="411"/>
      <c r="G105" s="497" t="s">
        <v>229</v>
      </c>
      <c r="H105" s="504">
        <f t="shared" ref="H105:R105" si="37">-H6/((H38+H41-H45+H47)/12)</f>
        <v>0.53014925373134325</v>
      </c>
      <c r="I105" s="504">
        <f t="shared" si="37"/>
        <v>3.7247801345059492E-2</v>
      </c>
      <c r="J105" s="504">
        <f t="shared" si="37"/>
        <v>1.4778325123152709E-2</v>
      </c>
      <c r="K105" s="504">
        <f t="shared" si="37"/>
        <v>1.0796221322537112E-2</v>
      </c>
      <c r="L105" s="504">
        <f t="shared" si="37"/>
        <v>0.1178318931657502</v>
      </c>
      <c r="M105" s="504">
        <f t="shared" si="37"/>
        <v>0.97096399535423927</v>
      </c>
      <c r="N105" s="504">
        <f t="shared" si="37"/>
        <v>0.24735557363710334</v>
      </c>
      <c r="O105" s="504">
        <f t="shared" si="37"/>
        <v>0.28856304985337239</v>
      </c>
      <c r="P105" s="504">
        <f t="shared" si="37"/>
        <v>0.70292887029288698</v>
      </c>
      <c r="Q105" s="504">
        <f t="shared" si="37"/>
        <v>0.57963446475195823</v>
      </c>
      <c r="R105" s="504">
        <f t="shared" si="37"/>
        <v>0.32170818505338078</v>
      </c>
      <c r="S105" s="504">
        <f>-S6/((S38+S41-S45+S47)/12)</f>
        <v>0.50136986301369868</v>
      </c>
    </row>
    <row r="106" spans="1:19" x14ac:dyDescent="0.2">
      <c r="C106" s="333"/>
      <c r="F106" s="411"/>
      <c r="G106" s="502" t="s">
        <v>230</v>
      </c>
      <c r="H106" s="487">
        <f t="shared" ref="H106:R106" si="38">H95</f>
        <v>2011</v>
      </c>
      <c r="I106" s="487">
        <f t="shared" si="38"/>
        <v>2012</v>
      </c>
      <c r="J106" s="487">
        <f t="shared" si="38"/>
        <v>2013</v>
      </c>
      <c r="K106" s="487">
        <f t="shared" si="38"/>
        <v>2014</v>
      </c>
      <c r="L106" s="487">
        <f t="shared" si="38"/>
        <v>2015</v>
      </c>
      <c r="M106" s="487">
        <f t="shared" si="38"/>
        <v>2016</v>
      </c>
      <c r="N106" s="487">
        <f t="shared" si="38"/>
        <v>2017</v>
      </c>
      <c r="O106" s="487">
        <f t="shared" si="38"/>
        <v>2018</v>
      </c>
      <c r="P106" s="487">
        <f t="shared" si="38"/>
        <v>2019</v>
      </c>
      <c r="Q106" s="487">
        <f t="shared" si="38"/>
        <v>2020</v>
      </c>
      <c r="R106" s="487">
        <f t="shared" si="38"/>
        <v>2021</v>
      </c>
      <c r="S106" s="487">
        <f>S95</f>
        <v>2022</v>
      </c>
    </row>
    <row r="107" spans="1:19" x14ac:dyDescent="0.2">
      <c r="A107" s="493" t="s">
        <v>522</v>
      </c>
      <c r="B107" s="311" t="s">
        <v>231</v>
      </c>
      <c r="C107" s="493" t="s">
        <v>232</v>
      </c>
      <c r="E107" s="500">
        <v>0.6</v>
      </c>
      <c r="F107" s="411"/>
      <c r="G107" s="471" t="s">
        <v>233</v>
      </c>
      <c r="H107" s="177">
        <f t="shared" ref="H107:R107" si="39">H17/H4</f>
        <v>0</v>
      </c>
      <c r="I107" s="177">
        <f t="shared" si="39"/>
        <v>0</v>
      </c>
      <c r="J107" s="177">
        <f t="shared" si="39"/>
        <v>0</v>
      </c>
      <c r="K107" s="177">
        <f t="shared" si="39"/>
        <v>0</v>
      </c>
      <c r="L107" s="177">
        <f t="shared" si="39"/>
        <v>0</v>
      </c>
      <c r="M107" s="177">
        <f t="shared" si="39"/>
        <v>0</v>
      </c>
      <c r="N107" s="177">
        <f t="shared" si="39"/>
        <v>0</v>
      </c>
      <c r="O107" s="177">
        <f t="shared" si="39"/>
        <v>0</v>
      </c>
      <c r="P107" s="177">
        <f t="shared" si="39"/>
        <v>0</v>
      </c>
      <c r="Q107" s="177">
        <f t="shared" si="39"/>
        <v>0</v>
      </c>
      <c r="R107" s="177">
        <f t="shared" si="39"/>
        <v>0</v>
      </c>
      <c r="S107" s="177">
        <f>S17/S4</f>
        <v>0</v>
      </c>
    </row>
    <row r="108" spans="1:19" x14ac:dyDescent="0.2">
      <c r="A108" s="493" t="s">
        <v>523</v>
      </c>
      <c r="B108" s="311" t="s">
        <v>234</v>
      </c>
      <c r="C108" s="493" t="s">
        <v>235</v>
      </c>
      <c r="E108" s="500">
        <v>0.4</v>
      </c>
      <c r="F108" s="411"/>
      <c r="G108" s="497" t="s">
        <v>236</v>
      </c>
      <c r="H108" s="177" t="e">
        <f t="shared" ref="H108:R108" si="40">H27/H17</f>
        <v>#DIV/0!</v>
      </c>
      <c r="I108" s="177" t="e">
        <f t="shared" si="40"/>
        <v>#DIV/0!</v>
      </c>
      <c r="J108" s="177" t="e">
        <f t="shared" si="40"/>
        <v>#DIV/0!</v>
      </c>
      <c r="K108" s="177" t="e">
        <f t="shared" si="40"/>
        <v>#DIV/0!</v>
      </c>
      <c r="L108" s="177" t="e">
        <f t="shared" si="40"/>
        <v>#DIV/0!</v>
      </c>
      <c r="M108" s="177" t="e">
        <f t="shared" si="40"/>
        <v>#DIV/0!</v>
      </c>
      <c r="N108" s="177" t="e">
        <f t="shared" si="40"/>
        <v>#DIV/0!</v>
      </c>
      <c r="O108" s="177" t="e">
        <f t="shared" si="40"/>
        <v>#DIV/0!</v>
      </c>
      <c r="P108" s="177" t="e">
        <f t="shared" si="40"/>
        <v>#DIV/0!</v>
      </c>
      <c r="Q108" s="177" t="e">
        <f t="shared" si="40"/>
        <v>#DIV/0!</v>
      </c>
      <c r="R108" s="177" t="e">
        <f t="shared" si="40"/>
        <v>#DIV/0!</v>
      </c>
      <c r="S108" s="177" t="e">
        <f>S27/S17</f>
        <v>#DIV/0!</v>
      </c>
    </row>
    <row r="109" spans="1:19" x14ac:dyDescent="0.2">
      <c r="C109" s="333"/>
      <c r="F109" s="411"/>
      <c r="G109" s="506" t="s">
        <v>237</v>
      </c>
      <c r="H109" s="487">
        <f t="shared" ref="H109:R109" si="41">H95</f>
        <v>2011</v>
      </c>
      <c r="I109" s="487">
        <f t="shared" si="41"/>
        <v>2012</v>
      </c>
      <c r="J109" s="487">
        <f t="shared" si="41"/>
        <v>2013</v>
      </c>
      <c r="K109" s="487">
        <f t="shared" si="41"/>
        <v>2014</v>
      </c>
      <c r="L109" s="487">
        <f t="shared" si="41"/>
        <v>2015</v>
      </c>
      <c r="M109" s="487">
        <f t="shared" si="41"/>
        <v>2016</v>
      </c>
      <c r="N109" s="487">
        <f t="shared" si="41"/>
        <v>2017</v>
      </c>
      <c r="O109" s="487">
        <f t="shared" si="41"/>
        <v>2018</v>
      </c>
      <c r="P109" s="487">
        <f t="shared" si="41"/>
        <v>2019</v>
      </c>
      <c r="Q109" s="487">
        <f t="shared" si="41"/>
        <v>2020</v>
      </c>
      <c r="R109" s="487">
        <f t="shared" si="41"/>
        <v>2021</v>
      </c>
      <c r="S109" s="487">
        <f>S95</f>
        <v>2022</v>
      </c>
    </row>
    <row r="110" spans="1:19" x14ac:dyDescent="0.2">
      <c r="A110" s="493" t="s">
        <v>524</v>
      </c>
      <c r="B110" s="311" t="s">
        <v>238</v>
      </c>
      <c r="C110" s="417" t="s">
        <v>239</v>
      </c>
      <c r="E110" s="498"/>
      <c r="F110" s="411"/>
      <c r="G110" s="473" t="s">
        <v>240</v>
      </c>
      <c r="H110" s="180">
        <f t="shared" ref="H110:R110" si="42">H10/H4</f>
        <v>0.98203683970162892</v>
      </c>
      <c r="I110" s="180">
        <f t="shared" si="42"/>
        <v>0.61486486486486491</v>
      </c>
      <c r="J110" s="180">
        <f t="shared" si="42"/>
        <v>0.90140845070422537</v>
      </c>
      <c r="K110" s="180">
        <f t="shared" si="42"/>
        <v>0.88031914893617025</v>
      </c>
      <c r="L110" s="180">
        <f t="shared" si="42"/>
        <v>0.72861356932153387</v>
      </c>
      <c r="M110" s="180">
        <f t="shared" si="42"/>
        <v>0.15846016114592659</v>
      </c>
      <c r="N110" s="180">
        <f t="shared" si="42"/>
        <v>0.75277777777777777</v>
      </c>
      <c r="O110" s="180">
        <f t="shared" si="42"/>
        <v>0.72697899838449109</v>
      </c>
      <c r="P110" s="180">
        <f t="shared" si="42"/>
        <v>0.54166666666666663</v>
      </c>
      <c r="Q110" s="180">
        <f t="shared" si="42"/>
        <v>0.55757575757575761</v>
      </c>
      <c r="R110" s="180">
        <f t="shared" si="42"/>
        <v>0.60404280618311534</v>
      </c>
      <c r="S110" s="180">
        <f>S10/S4</f>
        <v>0.49702734839476814</v>
      </c>
    </row>
    <row r="111" spans="1:19" x14ac:dyDescent="0.2">
      <c r="A111" s="493" t="s">
        <v>525</v>
      </c>
      <c r="B111" s="311" t="s">
        <v>241</v>
      </c>
      <c r="C111" s="417" t="s">
        <v>242</v>
      </c>
      <c r="E111" s="498"/>
      <c r="F111" s="411"/>
      <c r="G111" s="473" t="s">
        <v>243</v>
      </c>
      <c r="H111" s="180">
        <f t="shared" ref="H111:R111" si="43">-(H58)/H15</f>
        <v>0</v>
      </c>
      <c r="I111" s="180">
        <f t="shared" si="43"/>
        <v>4.3956043956043959E-2</v>
      </c>
      <c r="J111" s="180">
        <f t="shared" si="43"/>
        <v>3.5714285714285712E-2</v>
      </c>
      <c r="K111" s="180">
        <f t="shared" si="43"/>
        <v>0</v>
      </c>
      <c r="L111" s="180">
        <f t="shared" si="43"/>
        <v>0.145748987854251</v>
      </c>
      <c r="M111" s="180">
        <f t="shared" si="43"/>
        <v>0.11864406779661017</v>
      </c>
      <c r="N111" s="180">
        <f t="shared" si="43"/>
        <v>5.350553505535055E-2</v>
      </c>
      <c r="O111" s="180">
        <f t="shared" si="43"/>
        <v>0</v>
      </c>
      <c r="P111" s="180">
        <f t="shared" si="43"/>
        <v>0.55128205128205132</v>
      </c>
      <c r="Q111" s="180">
        <f t="shared" si="43"/>
        <v>0.47826086956521741</v>
      </c>
      <c r="R111" s="180">
        <f t="shared" si="43"/>
        <v>0</v>
      </c>
      <c r="S111" s="180">
        <f>-(S58)/S15</f>
        <v>0</v>
      </c>
    </row>
    <row r="112" spans="1:19" x14ac:dyDescent="0.2">
      <c r="A112" s="493" t="s">
        <v>526</v>
      </c>
      <c r="B112" s="311" t="s">
        <v>244</v>
      </c>
      <c r="C112" s="333" t="s">
        <v>245</v>
      </c>
      <c r="E112" s="498"/>
      <c r="F112" s="411"/>
      <c r="G112" s="471" t="s">
        <v>246</v>
      </c>
      <c r="H112" s="501">
        <f t="shared" ref="H112:R112" si="44">H33/H4</f>
        <v>0.11691277211143249</v>
      </c>
      <c r="I112" s="501">
        <f t="shared" si="44"/>
        <v>6.7297297297297298</v>
      </c>
      <c r="J112" s="501">
        <f t="shared" si="44"/>
        <v>4.1750503018108649</v>
      </c>
      <c r="K112" s="501">
        <f t="shared" si="44"/>
        <v>6.6010638297872344</v>
      </c>
      <c r="L112" s="501">
        <f t="shared" si="44"/>
        <v>7.6784660766961652</v>
      </c>
      <c r="M112" s="501">
        <f t="shared" si="44"/>
        <v>2.4664279319606086</v>
      </c>
      <c r="N112" s="501">
        <f t="shared" si="44"/>
        <v>5.5347222222222223</v>
      </c>
      <c r="O112" s="501">
        <f t="shared" si="44"/>
        <v>5.7512116316639741</v>
      </c>
      <c r="P112" s="501">
        <f t="shared" si="44"/>
        <v>5.458333333333333</v>
      </c>
      <c r="Q112" s="501">
        <f t="shared" si="44"/>
        <v>5.042424242424242</v>
      </c>
      <c r="R112" s="501">
        <f t="shared" si="44"/>
        <v>5.231866825208086</v>
      </c>
      <c r="S112" s="501">
        <f>S33/S4</f>
        <v>5.386444708680143</v>
      </c>
    </row>
    <row r="113" spans="1:19" x14ac:dyDescent="0.2">
      <c r="A113" s="493" t="s">
        <v>527</v>
      </c>
      <c r="B113" s="311" t="s">
        <v>247</v>
      </c>
      <c r="C113" s="417" t="s">
        <v>248</v>
      </c>
      <c r="E113" s="498"/>
      <c r="F113" s="411"/>
      <c r="G113" s="497" t="s">
        <v>249</v>
      </c>
      <c r="H113" s="501">
        <f t="shared" ref="H113:R113" si="45">H33/H15</f>
        <v>0.11905130987443807</v>
      </c>
      <c r="I113" s="501">
        <f t="shared" si="45"/>
        <v>10.945054945054945</v>
      </c>
      <c r="J113" s="501">
        <f t="shared" si="45"/>
        <v>4.6316964285714288</v>
      </c>
      <c r="K113" s="501">
        <f t="shared" si="45"/>
        <v>7.4984894259818731</v>
      </c>
      <c r="L113" s="501">
        <f t="shared" si="45"/>
        <v>10.538461538461538</v>
      </c>
      <c r="M113" s="501">
        <f t="shared" si="45"/>
        <v>15.564971751412429</v>
      </c>
      <c r="N113" s="501">
        <f t="shared" si="45"/>
        <v>7.3523985239852401</v>
      </c>
      <c r="O113" s="501">
        <f t="shared" si="45"/>
        <v>7.9111111111111114</v>
      </c>
      <c r="P113" s="501">
        <f t="shared" si="45"/>
        <v>10.076923076923077</v>
      </c>
      <c r="Q113" s="501">
        <f t="shared" si="45"/>
        <v>9.0434782608695645</v>
      </c>
      <c r="R113" s="501">
        <f t="shared" si="45"/>
        <v>8.6614173228346463</v>
      </c>
      <c r="S113" s="501">
        <f>S33/S15</f>
        <v>10.83732057416268</v>
      </c>
    </row>
    <row r="114" spans="1:19" x14ac:dyDescent="0.2">
      <c r="A114" s="333" t="s">
        <v>528</v>
      </c>
      <c r="B114" s="311" t="s">
        <v>250</v>
      </c>
      <c r="C114" s="417" t="s">
        <v>251</v>
      </c>
      <c r="D114" s="500">
        <v>0.5</v>
      </c>
      <c r="E114" s="500">
        <f>1/3</f>
        <v>0.33333333333333331</v>
      </c>
      <c r="F114" s="411"/>
      <c r="G114" s="473" t="s">
        <v>252</v>
      </c>
      <c r="H114" s="180">
        <f t="shared" ref="H114:R114" si="46">H27/H4</f>
        <v>0.95402648804993151</v>
      </c>
      <c r="I114" s="180">
        <f t="shared" si="46"/>
        <v>-1.722972972972973</v>
      </c>
      <c r="J114" s="180">
        <f t="shared" si="46"/>
        <v>0.11468812877263582</v>
      </c>
      <c r="K114" s="180">
        <f t="shared" si="46"/>
        <v>0.5292553191489362</v>
      </c>
      <c r="L114" s="180">
        <f t="shared" si="46"/>
        <v>0.40412979351032446</v>
      </c>
      <c r="M114" s="180">
        <f t="shared" si="46"/>
        <v>0.19874664279319607</v>
      </c>
      <c r="N114" s="180">
        <f t="shared" si="46"/>
        <v>0.62638888888888888</v>
      </c>
      <c r="O114" s="180">
        <f t="shared" si="46"/>
        <v>0.72859450726979003</v>
      </c>
      <c r="P114" s="180">
        <f t="shared" si="46"/>
        <v>0.8833333333333333</v>
      </c>
      <c r="Q114" s="180">
        <f t="shared" si="46"/>
        <v>0.95878787878787874</v>
      </c>
      <c r="R114" s="180">
        <f t="shared" si="46"/>
        <v>0.94054696789536263</v>
      </c>
      <c r="S114" s="180">
        <f>S27/S4</f>
        <v>0.94054696789536263</v>
      </c>
    </row>
    <row r="115" spans="1:19" x14ac:dyDescent="0.2">
      <c r="A115" s="398"/>
      <c r="C115" s="398"/>
      <c r="D115" s="419"/>
      <c r="E115" s="420"/>
      <c r="F115" s="411"/>
      <c r="G115" s="468" t="s">
        <v>253</v>
      </c>
      <c r="H115" s="487">
        <f t="shared" ref="H115:R115" si="47">H109</f>
        <v>2011</v>
      </c>
      <c r="I115" s="487">
        <f t="shared" si="47"/>
        <v>2012</v>
      </c>
      <c r="J115" s="487">
        <f t="shared" si="47"/>
        <v>2013</v>
      </c>
      <c r="K115" s="487">
        <f t="shared" si="47"/>
        <v>2014</v>
      </c>
      <c r="L115" s="487">
        <f t="shared" si="47"/>
        <v>2015</v>
      </c>
      <c r="M115" s="487">
        <f t="shared" si="47"/>
        <v>2016</v>
      </c>
      <c r="N115" s="487">
        <f t="shared" si="47"/>
        <v>2017</v>
      </c>
      <c r="O115" s="487">
        <f t="shared" si="47"/>
        <v>2018</v>
      </c>
      <c r="P115" s="487">
        <f t="shared" si="47"/>
        <v>2019</v>
      </c>
      <c r="Q115" s="487">
        <f t="shared" si="47"/>
        <v>2020</v>
      </c>
      <c r="R115" s="487">
        <f t="shared" si="47"/>
        <v>2021</v>
      </c>
      <c r="S115" s="487">
        <f>S109</f>
        <v>2022</v>
      </c>
    </row>
    <row r="116" spans="1:19" x14ac:dyDescent="0.2">
      <c r="A116" s="333" t="s">
        <v>529</v>
      </c>
      <c r="B116" s="311" t="s">
        <v>254</v>
      </c>
      <c r="C116" s="333" t="s">
        <v>255</v>
      </c>
      <c r="D116" s="421"/>
      <c r="E116" s="500">
        <v>0.05</v>
      </c>
      <c r="G116" s="471" t="s">
        <v>256</v>
      </c>
      <c r="H116" s="171">
        <f t="shared" ref="H116:R116" si="48">H35/H33</f>
        <v>0.74348958333333337</v>
      </c>
      <c r="I116" s="171">
        <f t="shared" si="48"/>
        <v>0.80020080321285136</v>
      </c>
      <c r="J116" s="171">
        <f t="shared" si="48"/>
        <v>0.41590361445783131</v>
      </c>
      <c r="K116" s="171">
        <f t="shared" si="48"/>
        <v>0.24697824335213536</v>
      </c>
      <c r="L116" s="171">
        <f t="shared" si="48"/>
        <v>0.24971187091817135</v>
      </c>
      <c r="M116" s="171">
        <f t="shared" si="48"/>
        <v>0.18874773139745918</v>
      </c>
      <c r="N116" s="171">
        <f t="shared" si="48"/>
        <v>0.2260978670012547</v>
      </c>
      <c r="O116" s="171">
        <f t="shared" si="48"/>
        <v>0.22500000000000001</v>
      </c>
      <c r="P116" s="171">
        <f t="shared" si="48"/>
        <v>0.21628498727735368</v>
      </c>
      <c r="Q116" s="171">
        <f t="shared" si="48"/>
        <v>0.20673076923076922</v>
      </c>
      <c r="R116" s="171">
        <f t="shared" si="48"/>
        <v>0.20454545454545456</v>
      </c>
      <c r="S116" s="171">
        <f>S35/S33</f>
        <v>0.19426048565121412</v>
      </c>
    </row>
    <row r="117" spans="1:19" x14ac:dyDescent="0.2">
      <c r="A117" s="333" t="s">
        <v>530</v>
      </c>
      <c r="B117" s="311" t="s">
        <v>257</v>
      </c>
      <c r="C117" s="333" t="s">
        <v>258</v>
      </c>
      <c r="E117" s="500">
        <v>0.95</v>
      </c>
      <c r="G117" s="473" t="s">
        <v>259</v>
      </c>
      <c r="H117" s="180">
        <f t="shared" ref="H117:R117" si="49">(H36+H34)/H33</f>
        <v>0.25651041666666669</v>
      </c>
      <c r="I117" s="180">
        <f t="shared" si="49"/>
        <v>0.19979919678714858</v>
      </c>
      <c r="J117" s="180">
        <f t="shared" si="49"/>
        <v>0.58409638554216869</v>
      </c>
      <c r="K117" s="180">
        <f t="shared" si="49"/>
        <v>0.75302175664786464</v>
      </c>
      <c r="L117" s="180">
        <f t="shared" si="49"/>
        <v>0.74913561275451401</v>
      </c>
      <c r="M117" s="180">
        <f t="shared" si="49"/>
        <v>0.81088929219600725</v>
      </c>
      <c r="N117" s="180">
        <f t="shared" si="49"/>
        <v>0.77390213299874533</v>
      </c>
      <c r="O117" s="180">
        <f t="shared" si="49"/>
        <v>0.73286516853932582</v>
      </c>
      <c r="P117" s="180">
        <f t="shared" si="49"/>
        <v>0.78371501272264632</v>
      </c>
      <c r="Q117" s="180">
        <f t="shared" si="49"/>
        <v>0.79326923076923073</v>
      </c>
      <c r="R117" s="180">
        <f t="shared" si="49"/>
        <v>0.79545454545454541</v>
      </c>
      <c r="S117" s="180">
        <f>(S36+S34)/S33</f>
        <v>0.80573951434878588</v>
      </c>
    </row>
    <row r="118" spans="1:19" x14ac:dyDescent="0.2">
      <c r="A118" s="333" t="s">
        <v>531</v>
      </c>
      <c r="B118" s="311" t="s">
        <v>260</v>
      </c>
      <c r="C118" s="333" t="s">
        <v>261</v>
      </c>
      <c r="E118" s="500">
        <v>0.95</v>
      </c>
      <c r="G118" s="497" t="s">
        <v>262</v>
      </c>
      <c r="H118" s="171">
        <f t="shared" ref="H118:R118" si="50">H38/(H38+H41)</f>
        <v>0</v>
      </c>
      <c r="I118" s="171">
        <f t="shared" si="50"/>
        <v>0</v>
      </c>
      <c r="J118" s="171">
        <f t="shared" si="50"/>
        <v>0.12705882352941175</v>
      </c>
      <c r="K118" s="171">
        <f t="shared" si="50"/>
        <v>0</v>
      </c>
      <c r="L118" s="171">
        <f t="shared" si="50"/>
        <v>0</v>
      </c>
      <c r="M118" s="171">
        <f t="shared" si="50"/>
        <v>0</v>
      </c>
      <c r="N118" s="171">
        <f t="shared" si="50"/>
        <v>0</v>
      </c>
      <c r="O118" s="171">
        <f t="shared" si="50"/>
        <v>0</v>
      </c>
      <c r="P118" s="171">
        <f t="shared" si="50"/>
        <v>0</v>
      </c>
      <c r="Q118" s="171">
        <f t="shared" si="50"/>
        <v>0</v>
      </c>
      <c r="R118" s="171">
        <f t="shared" si="50"/>
        <v>0</v>
      </c>
      <c r="S118" s="171">
        <f>S38/(S38+S41)</f>
        <v>0</v>
      </c>
    </row>
    <row r="119" spans="1:19" x14ac:dyDescent="0.2">
      <c r="A119" s="398"/>
      <c r="C119" s="419"/>
      <c r="D119" s="419"/>
      <c r="E119" s="420"/>
      <c r="F119" s="411"/>
      <c r="G119" s="468" t="s">
        <v>532</v>
      </c>
      <c r="H119" s="487">
        <f>H115</f>
        <v>2011</v>
      </c>
      <c r="I119" s="487">
        <f t="shared" ref="I119:R119" si="51">I115</f>
        <v>2012</v>
      </c>
      <c r="J119" s="487">
        <f t="shared" si="51"/>
        <v>2013</v>
      </c>
      <c r="K119" s="487">
        <f t="shared" si="51"/>
        <v>2014</v>
      </c>
      <c r="L119" s="487">
        <f t="shared" si="51"/>
        <v>2015</v>
      </c>
      <c r="M119" s="487">
        <f t="shared" si="51"/>
        <v>2016</v>
      </c>
      <c r="N119" s="487">
        <f t="shared" si="51"/>
        <v>2017</v>
      </c>
      <c r="O119" s="487">
        <f t="shared" si="51"/>
        <v>2018</v>
      </c>
      <c r="P119" s="487">
        <f t="shared" si="51"/>
        <v>2019</v>
      </c>
      <c r="Q119" s="487">
        <f t="shared" si="51"/>
        <v>2020</v>
      </c>
      <c r="R119" s="487">
        <f t="shared" si="51"/>
        <v>2021</v>
      </c>
      <c r="S119" s="487">
        <f>S115</f>
        <v>2022</v>
      </c>
    </row>
    <row r="120" spans="1:19" x14ac:dyDescent="0.2">
      <c r="A120" s="373" t="s">
        <v>533</v>
      </c>
      <c r="B120" s="311" t="s">
        <v>263</v>
      </c>
      <c r="C120" s="333" t="s">
        <v>264</v>
      </c>
      <c r="D120" s="507">
        <v>0.5</v>
      </c>
      <c r="E120" s="508" t="s">
        <v>265</v>
      </c>
      <c r="F120" s="373"/>
      <c r="G120" s="471" t="s">
        <v>266</v>
      </c>
      <c r="H120" s="501">
        <f t="shared" ref="H120:R120" si="52">IF(H116&lt;$D$120,$E$120,H35/H4)</f>
        <v>8.6923428223473889E-2</v>
      </c>
      <c r="I120" s="501">
        <f t="shared" si="52"/>
        <v>5.3851351351351351</v>
      </c>
      <c r="J120" s="501" t="str">
        <f t="shared" si="52"/>
        <v>N/A</v>
      </c>
      <c r="K120" s="501" t="str">
        <f t="shared" si="52"/>
        <v>N/A</v>
      </c>
      <c r="L120" s="501" t="str">
        <f t="shared" si="52"/>
        <v>N/A</v>
      </c>
      <c r="M120" s="501" t="str">
        <f t="shared" si="52"/>
        <v>N/A</v>
      </c>
      <c r="N120" s="501" t="str">
        <f t="shared" si="52"/>
        <v>N/A</v>
      </c>
      <c r="O120" s="501" t="str">
        <f t="shared" si="52"/>
        <v>N/A</v>
      </c>
      <c r="P120" s="501" t="str">
        <f t="shared" si="52"/>
        <v>N/A</v>
      </c>
      <c r="Q120" s="501" t="str">
        <f t="shared" si="52"/>
        <v>N/A</v>
      </c>
      <c r="R120" s="501" t="str">
        <f t="shared" si="52"/>
        <v>N/A</v>
      </c>
      <c r="S120" s="501" t="str">
        <f>IF(S116&lt;$D$120,$E$120,S35/S4)</f>
        <v>N/A</v>
      </c>
    </row>
    <row r="121" spans="1:19" x14ac:dyDescent="0.2">
      <c r="A121" s="373" t="s">
        <v>534</v>
      </c>
      <c r="B121" s="311" t="s">
        <v>535</v>
      </c>
      <c r="C121" s="333" t="s">
        <v>267</v>
      </c>
      <c r="D121" s="507">
        <v>0.5</v>
      </c>
      <c r="E121" s="508" t="s">
        <v>265</v>
      </c>
      <c r="F121" s="373"/>
      <c r="G121" s="473" t="s">
        <v>268</v>
      </c>
      <c r="H121" s="501">
        <f t="shared" ref="H121:R121" si="53">IF(H116&lt;$D$121,$E$121,H35/H15)</f>
        <v>8.8513408773833513E-2</v>
      </c>
      <c r="I121" s="501">
        <f t="shared" si="53"/>
        <v>8.7582417582417591</v>
      </c>
      <c r="J121" s="501" t="str">
        <f t="shared" si="53"/>
        <v>N/A</v>
      </c>
      <c r="K121" s="501" t="str">
        <f t="shared" si="53"/>
        <v>N/A</v>
      </c>
      <c r="L121" s="501" t="str">
        <f t="shared" si="53"/>
        <v>N/A</v>
      </c>
      <c r="M121" s="501" t="str">
        <f t="shared" si="53"/>
        <v>N/A</v>
      </c>
      <c r="N121" s="501" t="str">
        <f t="shared" si="53"/>
        <v>N/A</v>
      </c>
      <c r="O121" s="501" t="str">
        <f t="shared" si="53"/>
        <v>N/A</v>
      </c>
      <c r="P121" s="501" t="str">
        <f t="shared" si="53"/>
        <v>N/A</v>
      </c>
      <c r="Q121" s="501" t="str">
        <f t="shared" si="53"/>
        <v>N/A</v>
      </c>
      <c r="R121" s="501" t="str">
        <f t="shared" si="53"/>
        <v>N/A</v>
      </c>
      <c r="S121" s="501" t="str">
        <f>IF(S116&lt;$D$121,$E$121,S35/S15)</f>
        <v>N/A</v>
      </c>
    </row>
    <row r="122" spans="1:19" x14ac:dyDescent="0.2">
      <c r="A122" s="373" t="s">
        <v>536</v>
      </c>
      <c r="B122" s="311" t="s">
        <v>537</v>
      </c>
      <c r="C122" s="333" t="s">
        <v>201</v>
      </c>
      <c r="D122" s="507">
        <v>0.5</v>
      </c>
      <c r="E122" s="508" t="s">
        <v>265</v>
      </c>
      <c r="F122" s="373"/>
      <c r="G122" s="471" t="s">
        <v>269</v>
      </c>
      <c r="H122" s="180">
        <f t="shared" ref="H122:R122" si="54">IF(H116&lt;$D$122,$E$122,H46/H33)</f>
        <v>-1.7135416666666667</v>
      </c>
      <c r="I122" s="180">
        <f t="shared" si="54"/>
        <v>-1.3122489959839359</v>
      </c>
      <c r="J122" s="180" t="str">
        <f t="shared" si="54"/>
        <v>N/A</v>
      </c>
      <c r="K122" s="180" t="str">
        <f t="shared" si="54"/>
        <v>N/A</v>
      </c>
      <c r="L122" s="180" t="str">
        <f t="shared" si="54"/>
        <v>N/A</v>
      </c>
      <c r="M122" s="180" t="str">
        <f t="shared" si="54"/>
        <v>N/A</v>
      </c>
      <c r="N122" s="180" t="str">
        <f t="shared" si="54"/>
        <v>N/A</v>
      </c>
      <c r="O122" s="180" t="str">
        <f t="shared" si="54"/>
        <v>N/A</v>
      </c>
      <c r="P122" s="180" t="str">
        <f t="shared" si="54"/>
        <v>N/A</v>
      </c>
      <c r="Q122" s="180" t="str">
        <f t="shared" si="54"/>
        <v>N/A</v>
      </c>
      <c r="R122" s="180" t="str">
        <f t="shared" si="54"/>
        <v>N/A</v>
      </c>
      <c r="S122" s="180" t="str">
        <f>IF(S116&lt;$D$122,$E$122,S46/S33)</f>
        <v>N/A</v>
      </c>
    </row>
    <row r="123" spans="1:19" x14ac:dyDescent="0.2">
      <c r="A123" s="373" t="s">
        <v>538</v>
      </c>
      <c r="B123" s="311" t="s">
        <v>539</v>
      </c>
      <c r="C123" s="333" t="s">
        <v>270</v>
      </c>
      <c r="D123" s="507">
        <v>0.5</v>
      </c>
      <c r="E123" s="508" t="s">
        <v>265</v>
      </c>
      <c r="F123" s="373"/>
      <c r="G123" s="473" t="s">
        <v>271</v>
      </c>
      <c r="H123" s="180">
        <f t="shared" ref="H123:R123" si="55">IF(H116&lt;$D$122,$E$123,H51/H33)</f>
        <v>-1.71484375</v>
      </c>
      <c r="I123" s="180">
        <f t="shared" si="55"/>
        <v>-1.3132530120481927</v>
      </c>
      <c r="J123" s="180" t="str">
        <f t="shared" si="55"/>
        <v>N/A</v>
      </c>
      <c r="K123" s="180" t="str">
        <f t="shared" si="55"/>
        <v>N/A</v>
      </c>
      <c r="L123" s="180" t="str">
        <f t="shared" si="55"/>
        <v>N/A</v>
      </c>
      <c r="M123" s="180" t="str">
        <f t="shared" si="55"/>
        <v>N/A</v>
      </c>
      <c r="N123" s="180" t="str">
        <f t="shared" si="55"/>
        <v>N/A</v>
      </c>
      <c r="O123" s="180" t="str">
        <f t="shared" si="55"/>
        <v>N/A</v>
      </c>
      <c r="P123" s="180" t="str">
        <f t="shared" si="55"/>
        <v>N/A</v>
      </c>
      <c r="Q123" s="180" t="str">
        <f t="shared" si="55"/>
        <v>N/A</v>
      </c>
      <c r="R123" s="180" t="str">
        <f t="shared" si="55"/>
        <v>N/A</v>
      </c>
      <c r="S123" s="180" t="str">
        <f>IF(S116&lt;$D$122,$E$123,S51/S33)</f>
        <v>N/A</v>
      </c>
    </row>
    <row r="124" spans="1:19" x14ac:dyDescent="0.2">
      <c r="A124" s="373" t="s">
        <v>540</v>
      </c>
      <c r="B124" s="311" t="s">
        <v>541</v>
      </c>
      <c r="C124" s="333" t="s">
        <v>272</v>
      </c>
      <c r="D124" s="507">
        <v>0.5</v>
      </c>
      <c r="E124" s="508" t="s">
        <v>265</v>
      </c>
      <c r="F124" s="373"/>
      <c r="G124" s="473" t="s">
        <v>273</v>
      </c>
      <c r="H124" s="180">
        <f t="shared" ref="H124:R124" si="56">IF(H116&lt;$D$124,$E$124,H51/H4)</f>
        <v>-0.2004871365504643</v>
      </c>
      <c r="I124" s="180">
        <f t="shared" si="56"/>
        <v>-8.8378378378378386</v>
      </c>
      <c r="J124" s="180" t="str">
        <f t="shared" si="56"/>
        <v>N/A</v>
      </c>
      <c r="K124" s="180" t="str">
        <f t="shared" si="56"/>
        <v>N/A</v>
      </c>
      <c r="L124" s="180" t="str">
        <f t="shared" si="56"/>
        <v>N/A</v>
      </c>
      <c r="M124" s="180" t="str">
        <f t="shared" si="56"/>
        <v>N/A</v>
      </c>
      <c r="N124" s="180" t="str">
        <f t="shared" si="56"/>
        <v>N/A</v>
      </c>
      <c r="O124" s="180" t="str">
        <f t="shared" si="56"/>
        <v>N/A</v>
      </c>
      <c r="P124" s="180" t="str">
        <f t="shared" si="56"/>
        <v>N/A</v>
      </c>
      <c r="Q124" s="180" t="str">
        <f t="shared" si="56"/>
        <v>N/A</v>
      </c>
      <c r="R124" s="180" t="str">
        <f t="shared" si="56"/>
        <v>N/A</v>
      </c>
      <c r="S124" s="180" t="str">
        <f>IF(S116&lt;$D$124,$E$124,S51/S4)</f>
        <v>N/A</v>
      </c>
    </row>
    <row r="125" spans="1:19" x14ac:dyDescent="0.2">
      <c r="A125" s="373" t="s">
        <v>542</v>
      </c>
      <c r="B125" s="311" t="s">
        <v>543</v>
      </c>
      <c r="C125" s="333" t="s">
        <v>274</v>
      </c>
      <c r="D125" s="507">
        <v>0.5</v>
      </c>
      <c r="E125" s="508" t="s">
        <v>265</v>
      </c>
      <c r="F125" s="373"/>
      <c r="G125" s="497" t="s">
        <v>275</v>
      </c>
      <c r="H125" s="180">
        <f t="shared" ref="H125:R125" si="57">IF(H116&lt;$D$125,$E$125,H51/H27)</f>
        <v>-0.21014839636189564</v>
      </c>
      <c r="I125" s="180">
        <f t="shared" si="57"/>
        <v>5.1294117647058828</v>
      </c>
      <c r="J125" s="180" t="str">
        <f t="shared" si="57"/>
        <v>N/A</v>
      </c>
      <c r="K125" s="180" t="str">
        <f t="shared" si="57"/>
        <v>N/A</v>
      </c>
      <c r="L125" s="180" t="str">
        <f t="shared" si="57"/>
        <v>N/A</v>
      </c>
      <c r="M125" s="180" t="str">
        <f t="shared" si="57"/>
        <v>N/A</v>
      </c>
      <c r="N125" s="180" t="str">
        <f t="shared" si="57"/>
        <v>N/A</v>
      </c>
      <c r="O125" s="180" t="str">
        <f t="shared" si="57"/>
        <v>N/A</v>
      </c>
      <c r="P125" s="180" t="str">
        <f t="shared" si="57"/>
        <v>N/A</v>
      </c>
      <c r="Q125" s="180" t="str">
        <f t="shared" si="57"/>
        <v>N/A</v>
      </c>
      <c r="R125" s="180" t="str">
        <f t="shared" si="57"/>
        <v>N/A</v>
      </c>
      <c r="S125" s="180" t="str">
        <f>IF(S116&lt;$D$125,$E$125,S51/S27)</f>
        <v>N/A</v>
      </c>
    </row>
    <row r="126" spans="1:19" x14ac:dyDescent="0.2">
      <c r="C126" s="419"/>
      <c r="D126" s="419"/>
      <c r="E126" s="420"/>
      <c r="F126" s="373"/>
      <c r="G126" s="333"/>
      <c r="H126" s="333"/>
      <c r="I126" s="333"/>
      <c r="J126" s="333"/>
      <c r="K126" s="333"/>
      <c r="L126" s="333"/>
      <c r="M126" s="333"/>
      <c r="N126" s="333"/>
      <c r="O126" s="333"/>
      <c r="P126" s="333"/>
      <c r="Q126" s="333"/>
      <c r="R126" s="333"/>
      <c r="S126" s="333"/>
    </row>
    <row r="127" spans="1:19" x14ac:dyDescent="0.2">
      <c r="F127" s="373"/>
      <c r="H127" s="487">
        <f>H119</f>
        <v>2011</v>
      </c>
      <c r="I127" s="487">
        <f t="shared" ref="I127:R127" si="58">I119</f>
        <v>2012</v>
      </c>
      <c r="J127" s="487">
        <f t="shared" si="58"/>
        <v>2013</v>
      </c>
      <c r="K127" s="487">
        <f t="shared" si="58"/>
        <v>2014</v>
      </c>
      <c r="L127" s="487">
        <f t="shared" si="58"/>
        <v>2015</v>
      </c>
      <c r="M127" s="487">
        <f t="shared" si="58"/>
        <v>2016</v>
      </c>
      <c r="N127" s="487">
        <f t="shared" si="58"/>
        <v>2017</v>
      </c>
      <c r="O127" s="487">
        <f t="shared" si="58"/>
        <v>2018</v>
      </c>
      <c r="P127" s="487">
        <f t="shared" si="58"/>
        <v>2019</v>
      </c>
      <c r="Q127" s="487">
        <f t="shared" si="58"/>
        <v>2020</v>
      </c>
      <c r="R127" s="487">
        <f t="shared" si="58"/>
        <v>2021</v>
      </c>
      <c r="S127" s="487">
        <f>S119</f>
        <v>2022</v>
      </c>
    </row>
    <row r="128" spans="1:19" x14ac:dyDescent="0.2">
      <c r="G128" s="509" t="s">
        <v>276</v>
      </c>
      <c r="H128" s="510">
        <f t="shared" ref="H128:R128" si="59">H33</f>
        <v>768</v>
      </c>
      <c r="I128" s="510">
        <f t="shared" si="59"/>
        <v>996</v>
      </c>
      <c r="J128" s="510">
        <f t="shared" si="59"/>
        <v>2075</v>
      </c>
      <c r="K128" s="510">
        <f t="shared" si="59"/>
        <v>2482</v>
      </c>
      <c r="L128" s="510">
        <f t="shared" si="59"/>
        <v>2603</v>
      </c>
      <c r="M128" s="510">
        <f t="shared" si="59"/>
        <v>2755</v>
      </c>
      <c r="N128" s="510">
        <f t="shared" si="59"/>
        <v>3985</v>
      </c>
      <c r="O128" s="510">
        <f t="shared" si="59"/>
        <v>3560</v>
      </c>
      <c r="P128" s="510">
        <f t="shared" si="59"/>
        <v>3930</v>
      </c>
      <c r="Q128" s="510">
        <f t="shared" si="59"/>
        <v>4160</v>
      </c>
      <c r="R128" s="510">
        <f t="shared" si="59"/>
        <v>4400</v>
      </c>
      <c r="S128" s="510">
        <f>S33</f>
        <v>4530</v>
      </c>
    </row>
    <row r="129" spans="3:19" x14ac:dyDescent="0.2">
      <c r="G129" s="509" t="s">
        <v>277</v>
      </c>
      <c r="H129" s="510">
        <f t="shared" ref="H129:R130" si="60">H35</f>
        <v>571</v>
      </c>
      <c r="I129" s="510">
        <f t="shared" si="60"/>
        <v>797</v>
      </c>
      <c r="J129" s="510">
        <f t="shared" si="60"/>
        <v>863</v>
      </c>
      <c r="K129" s="510">
        <f t="shared" si="60"/>
        <v>613</v>
      </c>
      <c r="L129" s="510">
        <f t="shared" si="60"/>
        <v>650</v>
      </c>
      <c r="M129" s="510">
        <f t="shared" si="60"/>
        <v>520</v>
      </c>
      <c r="N129" s="510">
        <f t="shared" si="60"/>
        <v>901</v>
      </c>
      <c r="O129" s="510">
        <f t="shared" si="60"/>
        <v>801</v>
      </c>
      <c r="P129" s="510">
        <f t="shared" si="60"/>
        <v>850</v>
      </c>
      <c r="Q129" s="510">
        <f t="shared" si="60"/>
        <v>860</v>
      </c>
      <c r="R129" s="510">
        <f t="shared" si="60"/>
        <v>900</v>
      </c>
      <c r="S129" s="510">
        <f>S35</f>
        <v>880</v>
      </c>
    </row>
    <row r="130" spans="3:19" x14ac:dyDescent="0.2">
      <c r="G130" s="509" t="s">
        <v>278</v>
      </c>
      <c r="H130" s="510">
        <f t="shared" si="60"/>
        <v>197</v>
      </c>
      <c r="I130" s="510">
        <f t="shared" si="60"/>
        <v>199</v>
      </c>
      <c r="J130" s="510">
        <f t="shared" si="60"/>
        <v>1212</v>
      </c>
      <c r="K130" s="510">
        <f t="shared" si="60"/>
        <v>1869</v>
      </c>
      <c r="L130" s="510">
        <f t="shared" si="60"/>
        <v>1950</v>
      </c>
      <c r="M130" s="510">
        <f t="shared" si="60"/>
        <v>2234</v>
      </c>
      <c r="N130" s="510">
        <f t="shared" si="60"/>
        <v>3084</v>
      </c>
      <c r="O130" s="510">
        <f t="shared" si="60"/>
        <v>2609</v>
      </c>
      <c r="P130" s="510">
        <f t="shared" si="60"/>
        <v>3080</v>
      </c>
      <c r="Q130" s="510">
        <f t="shared" si="60"/>
        <v>3300</v>
      </c>
      <c r="R130" s="510">
        <f t="shared" si="60"/>
        <v>3500</v>
      </c>
      <c r="S130" s="510">
        <f>S36</f>
        <v>3650</v>
      </c>
    </row>
    <row r="131" spans="3:19" x14ac:dyDescent="0.2">
      <c r="G131" s="509" t="s">
        <v>279</v>
      </c>
      <c r="H131" s="510">
        <f t="shared" ref="H131:R131" si="61">H38+H41</f>
        <v>-2084</v>
      </c>
      <c r="I131" s="510">
        <f t="shared" si="61"/>
        <v>-2303</v>
      </c>
      <c r="J131" s="510">
        <f t="shared" si="61"/>
        <v>-2550</v>
      </c>
      <c r="K131" s="510">
        <f t="shared" si="61"/>
        <v>-2340</v>
      </c>
      <c r="L131" s="510">
        <f t="shared" si="61"/>
        <v>-2666</v>
      </c>
      <c r="M131" s="510">
        <f t="shared" si="61"/>
        <v>-2670</v>
      </c>
      <c r="N131" s="510">
        <f t="shared" si="61"/>
        <v>-3756</v>
      </c>
      <c r="O131" s="510">
        <f t="shared" si="61"/>
        <v>-3560</v>
      </c>
      <c r="P131" s="510">
        <f t="shared" si="61"/>
        <v>-3745</v>
      </c>
      <c r="Q131" s="510">
        <f t="shared" si="61"/>
        <v>-4005</v>
      </c>
      <c r="R131" s="510">
        <f t="shared" si="61"/>
        <v>-4400</v>
      </c>
      <c r="S131" s="510">
        <f>S38+S41</f>
        <v>-4530</v>
      </c>
    </row>
    <row r="132" spans="3:19" x14ac:dyDescent="0.2">
      <c r="G132" s="509" t="s">
        <v>280</v>
      </c>
      <c r="H132" s="510">
        <f t="shared" ref="H132:R132" si="62">H41</f>
        <v>-2084</v>
      </c>
      <c r="I132" s="510">
        <f t="shared" si="62"/>
        <v>-2303</v>
      </c>
      <c r="J132" s="510">
        <f t="shared" si="62"/>
        <v>-2226</v>
      </c>
      <c r="K132" s="510">
        <f t="shared" si="62"/>
        <v>-2340</v>
      </c>
      <c r="L132" s="510">
        <f t="shared" si="62"/>
        <v>-2666</v>
      </c>
      <c r="M132" s="510">
        <f t="shared" si="62"/>
        <v>-2670</v>
      </c>
      <c r="N132" s="510">
        <f t="shared" si="62"/>
        <v>-3756</v>
      </c>
      <c r="O132" s="510">
        <f t="shared" si="62"/>
        <v>-3560</v>
      </c>
      <c r="P132" s="510">
        <f t="shared" si="62"/>
        <v>-3745</v>
      </c>
      <c r="Q132" s="510">
        <f t="shared" si="62"/>
        <v>-4005</v>
      </c>
      <c r="R132" s="510">
        <f t="shared" si="62"/>
        <v>-4400</v>
      </c>
      <c r="S132" s="510">
        <f>S41</f>
        <v>-4530</v>
      </c>
    </row>
    <row r="133" spans="3:19" x14ac:dyDescent="0.2">
      <c r="G133" s="509" t="s">
        <v>281</v>
      </c>
      <c r="H133" s="510">
        <f t="shared" ref="H133:R133" si="63">H38</f>
        <v>0</v>
      </c>
      <c r="I133" s="510">
        <f t="shared" si="63"/>
        <v>0</v>
      </c>
      <c r="J133" s="510">
        <f t="shared" si="63"/>
        <v>-324</v>
      </c>
      <c r="K133" s="510">
        <f t="shared" si="63"/>
        <v>0</v>
      </c>
      <c r="L133" s="510">
        <f t="shared" si="63"/>
        <v>0</v>
      </c>
      <c r="M133" s="510">
        <f t="shared" si="63"/>
        <v>0</v>
      </c>
      <c r="N133" s="510">
        <f t="shared" si="63"/>
        <v>0</v>
      </c>
      <c r="O133" s="510">
        <f t="shared" si="63"/>
        <v>0</v>
      </c>
      <c r="P133" s="510">
        <f t="shared" si="63"/>
        <v>0</v>
      </c>
      <c r="Q133" s="510">
        <f t="shared" si="63"/>
        <v>0</v>
      </c>
      <c r="R133" s="510">
        <f t="shared" si="63"/>
        <v>0</v>
      </c>
      <c r="S133" s="510">
        <f>S38</f>
        <v>0</v>
      </c>
    </row>
    <row r="134" spans="3:19" x14ac:dyDescent="0.2">
      <c r="G134" s="509" t="s">
        <v>282</v>
      </c>
      <c r="H134" s="510">
        <f t="shared" ref="H134:R134" si="64">H46</f>
        <v>-1316</v>
      </c>
      <c r="I134" s="510">
        <f t="shared" si="64"/>
        <v>-1307</v>
      </c>
      <c r="J134" s="510">
        <f t="shared" si="64"/>
        <v>-475</v>
      </c>
      <c r="K134" s="510">
        <f t="shared" si="64"/>
        <v>142</v>
      </c>
      <c r="L134" s="510">
        <f t="shared" si="64"/>
        <v>-63</v>
      </c>
      <c r="M134" s="510">
        <f t="shared" si="64"/>
        <v>85</v>
      </c>
      <c r="N134" s="510">
        <f t="shared" si="64"/>
        <v>229</v>
      </c>
      <c r="O134" s="510">
        <f t="shared" si="64"/>
        <v>0</v>
      </c>
      <c r="P134" s="510">
        <f t="shared" si="64"/>
        <v>185</v>
      </c>
      <c r="Q134" s="510">
        <f t="shared" si="64"/>
        <v>155</v>
      </c>
      <c r="R134" s="510">
        <f t="shared" si="64"/>
        <v>0</v>
      </c>
      <c r="S134" s="510">
        <f>S46</f>
        <v>0</v>
      </c>
    </row>
    <row r="135" spans="3:19" x14ac:dyDescent="0.2">
      <c r="G135" s="509" t="s">
        <v>283</v>
      </c>
      <c r="H135" s="510">
        <f t="shared" ref="H135:R135" si="65">H51</f>
        <v>-1317</v>
      </c>
      <c r="I135" s="510">
        <f t="shared" si="65"/>
        <v>-1308</v>
      </c>
      <c r="J135" s="510">
        <f t="shared" si="65"/>
        <v>-475</v>
      </c>
      <c r="K135" s="510">
        <f t="shared" si="65"/>
        <v>142</v>
      </c>
      <c r="L135" s="510">
        <f t="shared" si="65"/>
        <v>-62</v>
      </c>
      <c r="M135" s="510">
        <f t="shared" si="65"/>
        <v>84</v>
      </c>
      <c r="N135" s="510">
        <f t="shared" si="65"/>
        <v>229</v>
      </c>
      <c r="O135" s="510">
        <f t="shared" si="65"/>
        <v>0</v>
      </c>
      <c r="P135" s="510">
        <f t="shared" si="65"/>
        <v>185</v>
      </c>
      <c r="Q135" s="510">
        <f t="shared" si="65"/>
        <v>155</v>
      </c>
      <c r="R135" s="510">
        <f t="shared" si="65"/>
        <v>0</v>
      </c>
      <c r="S135" s="510">
        <f>S51</f>
        <v>0</v>
      </c>
    </row>
    <row r="136" spans="3:19" x14ac:dyDescent="0.2">
      <c r="G136" s="509" t="s">
        <v>284</v>
      </c>
      <c r="H136" s="510">
        <f t="shared" ref="H136:R137" si="66">H4</f>
        <v>6569</v>
      </c>
      <c r="I136" s="510">
        <f t="shared" si="66"/>
        <v>148</v>
      </c>
      <c r="J136" s="510">
        <f t="shared" si="66"/>
        <v>497</v>
      </c>
      <c r="K136" s="510">
        <f t="shared" si="66"/>
        <v>376</v>
      </c>
      <c r="L136" s="510">
        <f t="shared" si="66"/>
        <v>339</v>
      </c>
      <c r="M136" s="510">
        <f t="shared" si="66"/>
        <v>1117</v>
      </c>
      <c r="N136" s="510">
        <f t="shared" si="66"/>
        <v>720</v>
      </c>
      <c r="O136" s="510">
        <f t="shared" si="66"/>
        <v>619</v>
      </c>
      <c r="P136" s="510">
        <f t="shared" si="66"/>
        <v>720</v>
      </c>
      <c r="Q136" s="510">
        <f t="shared" si="66"/>
        <v>825</v>
      </c>
      <c r="R136" s="510">
        <f t="shared" si="66"/>
        <v>841</v>
      </c>
      <c r="S136" s="510">
        <f>S4</f>
        <v>841</v>
      </c>
    </row>
    <row r="137" spans="3:19" x14ac:dyDescent="0.2">
      <c r="G137" s="509" t="s">
        <v>285</v>
      </c>
      <c r="H137" s="510">
        <f t="shared" si="66"/>
        <v>118</v>
      </c>
      <c r="I137" s="510">
        <f t="shared" si="66"/>
        <v>57</v>
      </c>
      <c r="J137" s="510">
        <f t="shared" si="66"/>
        <v>49</v>
      </c>
      <c r="K137" s="510">
        <f t="shared" si="66"/>
        <v>45</v>
      </c>
      <c r="L137" s="510">
        <f t="shared" si="66"/>
        <v>92</v>
      </c>
      <c r="M137" s="510">
        <f t="shared" si="66"/>
        <v>940</v>
      </c>
      <c r="N137" s="510">
        <f t="shared" si="66"/>
        <v>178</v>
      </c>
      <c r="O137" s="510">
        <f t="shared" si="66"/>
        <v>169</v>
      </c>
      <c r="P137" s="510">
        <f t="shared" si="66"/>
        <v>330</v>
      </c>
      <c r="Q137" s="510">
        <f t="shared" si="66"/>
        <v>365</v>
      </c>
      <c r="R137" s="510">
        <f t="shared" si="66"/>
        <v>333</v>
      </c>
      <c r="S137" s="510">
        <f>S5</f>
        <v>423</v>
      </c>
    </row>
    <row r="138" spans="3:19" x14ac:dyDescent="0.2">
      <c r="G138" s="509" t="s">
        <v>286</v>
      </c>
      <c r="H138" s="510">
        <f t="shared" ref="H138:R138" si="67">H10</f>
        <v>6451</v>
      </c>
      <c r="I138" s="510">
        <f t="shared" si="67"/>
        <v>91</v>
      </c>
      <c r="J138" s="510">
        <f t="shared" si="67"/>
        <v>448</v>
      </c>
      <c r="K138" s="510">
        <f t="shared" si="67"/>
        <v>331</v>
      </c>
      <c r="L138" s="510">
        <f t="shared" si="67"/>
        <v>247</v>
      </c>
      <c r="M138" s="510">
        <f t="shared" si="67"/>
        <v>177</v>
      </c>
      <c r="N138" s="510">
        <f t="shared" si="67"/>
        <v>542</v>
      </c>
      <c r="O138" s="510">
        <f t="shared" si="67"/>
        <v>450</v>
      </c>
      <c r="P138" s="510">
        <f t="shared" si="67"/>
        <v>390</v>
      </c>
      <c r="Q138" s="510">
        <f t="shared" si="67"/>
        <v>460</v>
      </c>
      <c r="R138" s="510">
        <f t="shared" si="67"/>
        <v>508</v>
      </c>
      <c r="S138" s="510">
        <f>S10</f>
        <v>418</v>
      </c>
    </row>
    <row r="139" spans="3:19" x14ac:dyDescent="0.2">
      <c r="G139" s="509" t="s">
        <v>287</v>
      </c>
      <c r="H139" s="510">
        <f t="shared" ref="H139:R140" si="68">H19</f>
        <v>302</v>
      </c>
      <c r="I139" s="510">
        <f t="shared" si="68"/>
        <v>403</v>
      </c>
      <c r="J139" s="510">
        <f t="shared" si="68"/>
        <v>440</v>
      </c>
      <c r="K139" s="510">
        <f t="shared" si="68"/>
        <v>177</v>
      </c>
      <c r="L139" s="510">
        <f t="shared" si="68"/>
        <v>202</v>
      </c>
      <c r="M139" s="510">
        <f t="shared" si="68"/>
        <v>895</v>
      </c>
      <c r="N139" s="510">
        <f t="shared" si="68"/>
        <v>269</v>
      </c>
      <c r="O139" s="510">
        <f t="shared" si="68"/>
        <v>168</v>
      </c>
      <c r="P139" s="510">
        <f t="shared" si="68"/>
        <v>84</v>
      </c>
      <c r="Q139" s="510">
        <f t="shared" si="68"/>
        <v>34</v>
      </c>
      <c r="R139" s="510">
        <f t="shared" si="68"/>
        <v>50</v>
      </c>
      <c r="S139" s="510">
        <f>S19</f>
        <v>50</v>
      </c>
    </row>
    <row r="140" spans="3:19" x14ac:dyDescent="0.2">
      <c r="G140" s="509" t="s">
        <v>288</v>
      </c>
      <c r="H140" s="510">
        <f t="shared" si="68"/>
        <v>295</v>
      </c>
      <c r="I140" s="510">
        <f t="shared" si="68"/>
        <v>403</v>
      </c>
      <c r="J140" s="510">
        <f t="shared" si="68"/>
        <v>436</v>
      </c>
      <c r="K140" s="510">
        <f t="shared" si="68"/>
        <v>177</v>
      </c>
      <c r="L140" s="510">
        <f t="shared" si="68"/>
        <v>202</v>
      </c>
      <c r="M140" s="510">
        <f t="shared" si="68"/>
        <v>892</v>
      </c>
      <c r="N140" s="510">
        <f t="shared" si="68"/>
        <v>201</v>
      </c>
      <c r="O140" s="510">
        <f t="shared" si="68"/>
        <v>168</v>
      </c>
      <c r="P140" s="510">
        <f t="shared" si="68"/>
        <v>84</v>
      </c>
      <c r="Q140" s="510">
        <f t="shared" si="68"/>
        <v>34</v>
      </c>
      <c r="R140" s="510">
        <f t="shared" si="68"/>
        <v>50</v>
      </c>
      <c r="S140" s="510">
        <f>S20</f>
        <v>50</v>
      </c>
    </row>
    <row r="141" spans="3:19" x14ac:dyDescent="0.2">
      <c r="G141" s="509" t="s">
        <v>289</v>
      </c>
      <c r="H141" s="510">
        <f t="shared" ref="H141:R141" si="69">H24</f>
        <v>11</v>
      </c>
      <c r="I141" s="510">
        <f t="shared" si="69"/>
        <v>7</v>
      </c>
      <c r="J141" s="510">
        <f t="shared" si="69"/>
        <v>5</v>
      </c>
      <c r="K141" s="510">
        <f t="shared" si="69"/>
        <v>4</v>
      </c>
      <c r="L141" s="510">
        <f t="shared" si="69"/>
        <v>0</v>
      </c>
      <c r="M141" s="510">
        <f t="shared" si="69"/>
        <v>6</v>
      </c>
      <c r="N141" s="510">
        <f t="shared" si="69"/>
        <v>2</v>
      </c>
      <c r="O141" s="510">
        <f t="shared" si="69"/>
        <v>0</v>
      </c>
      <c r="P141" s="510">
        <f t="shared" si="69"/>
        <v>0</v>
      </c>
      <c r="Q141" s="510">
        <f t="shared" si="69"/>
        <v>0</v>
      </c>
      <c r="R141" s="510">
        <f t="shared" si="69"/>
        <v>0</v>
      </c>
      <c r="S141" s="510">
        <f>S24</f>
        <v>0</v>
      </c>
    </row>
    <row r="142" spans="3:19" x14ac:dyDescent="0.2">
      <c r="G142" s="509" t="s">
        <v>290</v>
      </c>
      <c r="H142" s="510">
        <f t="shared" ref="H142:R142" si="70">H27</f>
        <v>6267</v>
      </c>
      <c r="I142" s="510">
        <f t="shared" si="70"/>
        <v>-255</v>
      </c>
      <c r="J142" s="510">
        <f t="shared" si="70"/>
        <v>57</v>
      </c>
      <c r="K142" s="510">
        <f t="shared" si="70"/>
        <v>199</v>
      </c>
      <c r="L142" s="510">
        <f t="shared" si="70"/>
        <v>137</v>
      </c>
      <c r="M142" s="510">
        <f t="shared" si="70"/>
        <v>222</v>
      </c>
      <c r="N142" s="510">
        <f t="shared" si="70"/>
        <v>451</v>
      </c>
      <c r="O142" s="510">
        <f t="shared" si="70"/>
        <v>451</v>
      </c>
      <c r="P142" s="510">
        <f t="shared" si="70"/>
        <v>636</v>
      </c>
      <c r="Q142" s="510">
        <f t="shared" si="70"/>
        <v>791</v>
      </c>
      <c r="R142" s="510">
        <f t="shared" si="70"/>
        <v>791</v>
      </c>
      <c r="S142" s="510">
        <f>S27</f>
        <v>791</v>
      </c>
    </row>
    <row r="143" spans="3:19" x14ac:dyDescent="0.2">
      <c r="C143" s="419"/>
      <c r="D143" s="419"/>
      <c r="E143" s="420"/>
      <c r="G143" s="333"/>
      <c r="H143" s="333"/>
      <c r="I143" s="333"/>
      <c r="J143" s="333"/>
      <c r="K143" s="333"/>
      <c r="L143" s="333"/>
      <c r="M143" s="333"/>
      <c r="N143" s="333"/>
      <c r="O143" s="333"/>
      <c r="P143" s="333"/>
      <c r="Q143" s="333"/>
      <c r="R143" s="333"/>
      <c r="S143" s="333"/>
    </row>
    <row r="144" spans="3:19" x14ac:dyDescent="0.2">
      <c r="C144" s="333" t="s">
        <v>544</v>
      </c>
      <c r="G144" s="333"/>
      <c r="H144" s="333"/>
      <c r="I144" s="333"/>
      <c r="J144" s="333"/>
      <c r="K144" s="333"/>
      <c r="L144" s="333"/>
      <c r="M144" s="333"/>
      <c r="N144" s="333"/>
      <c r="O144" s="333"/>
      <c r="P144" s="333"/>
      <c r="Q144" s="333"/>
      <c r="R144" s="333"/>
      <c r="S144" s="333"/>
    </row>
    <row r="145" spans="3:19" x14ac:dyDescent="0.2">
      <c r="C145" s="333"/>
      <c r="H145" s="388"/>
      <c r="I145" s="388"/>
      <c r="J145" s="388"/>
      <c r="K145" s="388"/>
      <c r="L145" s="388"/>
      <c r="M145" s="388"/>
      <c r="N145" s="388"/>
      <c r="O145" s="388"/>
      <c r="P145" s="388"/>
      <c r="Q145" s="388"/>
      <c r="R145" s="388"/>
      <c r="S145" s="388"/>
    </row>
    <row r="146" spans="3:19" x14ac:dyDescent="0.2">
      <c r="C146" s="333" t="s">
        <v>291</v>
      </c>
      <c r="H146" s="388"/>
      <c r="I146" s="388"/>
      <c r="J146" s="388"/>
      <c r="K146" s="388"/>
      <c r="L146" s="388"/>
      <c r="M146" s="388"/>
      <c r="N146" s="388"/>
      <c r="O146" s="388"/>
      <c r="P146" s="388"/>
      <c r="Q146" s="388"/>
      <c r="R146" s="388"/>
      <c r="S146" s="388"/>
    </row>
    <row r="147" spans="3:19" x14ac:dyDescent="0.2">
      <c r="C147" s="333" t="s">
        <v>292</v>
      </c>
      <c r="F147" s="340"/>
      <c r="G147" s="425"/>
      <c r="H147" s="425"/>
      <c r="I147" s="425"/>
      <c r="J147" s="425"/>
      <c r="K147" s="425"/>
      <c r="L147" s="425"/>
      <c r="M147" s="425"/>
      <c r="N147" s="425"/>
      <c r="O147" s="425"/>
      <c r="P147" s="425"/>
      <c r="Q147" s="425"/>
      <c r="R147" s="425"/>
      <c r="S147" s="425"/>
    </row>
    <row r="148" spans="3:19" x14ac:dyDescent="0.2">
      <c r="C148" s="333"/>
      <c r="F148" s="340"/>
      <c r="G148" s="426"/>
      <c r="H148" s="426"/>
      <c r="I148" s="426"/>
      <c r="J148" s="426"/>
      <c r="K148" s="426"/>
      <c r="L148" s="426"/>
      <c r="M148" s="426"/>
      <c r="N148" s="426"/>
      <c r="O148" s="426"/>
      <c r="P148" s="426"/>
      <c r="Q148" s="426"/>
      <c r="R148" s="426"/>
      <c r="S148" s="426"/>
    </row>
    <row r="149" spans="3:19" x14ac:dyDescent="0.2">
      <c r="C149" s="333" t="s">
        <v>293</v>
      </c>
      <c r="F149" s="340"/>
    </row>
    <row r="150" spans="3:19" x14ac:dyDescent="0.2">
      <c r="C150" s="333" t="s">
        <v>294</v>
      </c>
      <c r="F150" s="340"/>
    </row>
  </sheetData>
  <mergeCells count="2">
    <mergeCell ref="N2:S2"/>
    <mergeCell ref="D87:E87"/>
  </mergeCells>
  <conditionalFormatting sqref="H116:Q116">
    <cfRule type="cellIs" dxfId="838" priority="80" stopIfTrue="1" operator="greaterThan">
      <formula>$E$116</formula>
    </cfRule>
    <cfRule type="cellIs" dxfId="837" priority="81" stopIfTrue="1" operator="lessThanOrEqual">
      <formula>$E$116</formula>
    </cfRule>
  </conditionalFormatting>
  <conditionalFormatting sqref="H118:Q118">
    <cfRule type="cellIs" dxfId="836" priority="78" stopIfTrue="1" operator="lessThanOrEqual">
      <formula>$E$118</formula>
    </cfRule>
    <cfRule type="cellIs" dxfId="835" priority="79" stopIfTrue="1" operator="greaterThan">
      <formula>$E$118</formula>
    </cfRule>
  </conditionalFormatting>
  <conditionalFormatting sqref="H99:Q99">
    <cfRule type="cellIs" dxfId="834" priority="76" operator="greaterThan">
      <formula>$E$99</formula>
    </cfRule>
    <cfRule type="cellIs" dxfId="833" priority="77" operator="lessThanOrEqual">
      <formula>$E$99</formula>
    </cfRule>
  </conditionalFormatting>
  <conditionalFormatting sqref="H102:Q102">
    <cfRule type="cellIs" dxfId="832" priority="74" stopIfTrue="1" operator="greaterThanOrEqual">
      <formula>$E$102</formula>
    </cfRule>
    <cfRule type="cellIs" dxfId="831" priority="75" stopIfTrue="1" operator="lessThan">
      <formula>$E$102</formula>
    </cfRule>
  </conditionalFormatting>
  <conditionalFormatting sqref="H104:Q104">
    <cfRule type="cellIs" dxfId="830" priority="72" stopIfTrue="1" operator="lessThan">
      <formula>$E$104</formula>
    </cfRule>
    <cfRule type="cellIs" dxfId="829" priority="73" stopIfTrue="1" operator="greaterThanOrEqual">
      <formula>$E$104</formula>
    </cfRule>
  </conditionalFormatting>
  <conditionalFormatting sqref="H103:Q103">
    <cfRule type="cellIs" dxfId="828" priority="70" stopIfTrue="1" operator="greaterThan">
      <formula>$E$103</formula>
    </cfRule>
    <cfRule type="cellIs" dxfId="827" priority="71" stopIfTrue="1" operator="lessThanOrEqual">
      <formula>$E$103</formula>
    </cfRule>
  </conditionalFormatting>
  <conditionalFormatting sqref="H100:Q100">
    <cfRule type="cellIs" dxfId="826" priority="59" stopIfTrue="1" operator="between">
      <formula>$D$100</formula>
      <formula>$E$100</formula>
    </cfRule>
    <cfRule type="cellIs" dxfId="825" priority="68" stopIfTrue="1" operator="lessThanOrEqual">
      <formula>$D$100</formula>
    </cfRule>
    <cfRule type="cellIs" dxfId="824" priority="69" stopIfTrue="1" operator="greaterThan">
      <formula>$E$100</formula>
    </cfRule>
  </conditionalFormatting>
  <conditionalFormatting sqref="H117:Q117">
    <cfRule type="cellIs" dxfId="823" priority="66" stopIfTrue="1" operator="greaterThan">
      <formula>$E$117</formula>
    </cfRule>
    <cfRule type="cellIs" dxfId="822" priority="67" stopIfTrue="1" operator="lessThanOrEqual">
      <formula>$E$117</formula>
    </cfRule>
  </conditionalFormatting>
  <conditionalFormatting sqref="H107:Q107">
    <cfRule type="cellIs" dxfId="821" priority="64" stopIfTrue="1" operator="greaterThan">
      <formula>$E$107</formula>
    </cfRule>
    <cfRule type="cellIs" dxfId="820" priority="65" stopIfTrue="1" operator="lessThanOrEqual">
      <formula>$E$107</formula>
    </cfRule>
  </conditionalFormatting>
  <conditionalFormatting sqref="H108:Q108">
    <cfRule type="cellIs" dxfId="819" priority="62" stopIfTrue="1" operator="lessThan">
      <formula>$E$108</formula>
    </cfRule>
    <cfRule type="cellIs" dxfId="818" priority="63" stopIfTrue="1" operator="greaterThanOrEqual">
      <formula>$E$108</formula>
    </cfRule>
  </conditionalFormatting>
  <conditionalFormatting sqref="H93:Q93">
    <cfRule type="cellIs" dxfId="817" priority="82" stopIfTrue="1" operator="lessThan">
      <formula>$D$93</formula>
    </cfRule>
    <cfRule type="cellIs" dxfId="816" priority="83" stopIfTrue="1" operator="between">
      <formula>$D$93</formula>
      <formula>$E$93</formula>
    </cfRule>
    <cfRule type="cellIs" dxfId="815" priority="84" stopIfTrue="1" operator="greaterThan">
      <formula>$E$93</formula>
    </cfRule>
  </conditionalFormatting>
  <conditionalFormatting sqref="H114:Q114">
    <cfRule type="cellIs" dxfId="814" priority="85" stopIfTrue="1" operator="lessThan">
      <formula>$E$114</formula>
    </cfRule>
    <cfRule type="cellIs" dxfId="813" priority="86" stopIfTrue="1" operator="between">
      <formula>$D$114</formula>
      <formula>$E$114</formula>
    </cfRule>
    <cfRule type="cellIs" dxfId="812" priority="87" stopIfTrue="1" operator="greaterThanOrEqual">
      <formula>$D$114</formula>
    </cfRule>
  </conditionalFormatting>
  <conditionalFormatting sqref="H90:Q90">
    <cfRule type="cellIs" dxfId="811" priority="60" stopIfTrue="1" operator="lessThan">
      <formula>$E$90</formula>
    </cfRule>
    <cfRule type="cellIs" dxfId="810" priority="61" stopIfTrue="1" operator="greaterThan">
      <formula>$E$90</formula>
    </cfRule>
  </conditionalFormatting>
  <conditionalFormatting sqref="R116">
    <cfRule type="cellIs" dxfId="809" priority="51" stopIfTrue="1" operator="greaterThan">
      <formula>$E$116</formula>
    </cfRule>
    <cfRule type="cellIs" dxfId="808" priority="52" stopIfTrue="1" operator="lessThanOrEqual">
      <formula>$E$116</formula>
    </cfRule>
  </conditionalFormatting>
  <conditionalFormatting sqref="R118">
    <cfRule type="cellIs" dxfId="807" priority="49" stopIfTrue="1" operator="lessThanOrEqual">
      <formula>$E$118</formula>
    </cfRule>
    <cfRule type="cellIs" dxfId="806" priority="50" stopIfTrue="1" operator="greaterThan">
      <formula>$E$118</formula>
    </cfRule>
  </conditionalFormatting>
  <conditionalFormatting sqref="R99">
    <cfRule type="cellIs" dxfId="805" priority="47" operator="greaterThan">
      <formula>$E$99</formula>
    </cfRule>
    <cfRule type="cellIs" dxfId="804" priority="48" operator="lessThanOrEqual">
      <formula>$E$99</formula>
    </cfRule>
  </conditionalFormatting>
  <conditionalFormatting sqref="R102">
    <cfRule type="cellIs" dxfId="803" priority="45" stopIfTrue="1" operator="greaterThanOrEqual">
      <formula>$E$102</formula>
    </cfRule>
    <cfRule type="cellIs" dxfId="802" priority="46" stopIfTrue="1" operator="lessThan">
      <formula>$E$102</formula>
    </cfRule>
  </conditionalFormatting>
  <conditionalFormatting sqref="R104">
    <cfRule type="cellIs" dxfId="801" priority="43" stopIfTrue="1" operator="lessThan">
      <formula>$E$104</formula>
    </cfRule>
    <cfRule type="cellIs" dxfId="800" priority="44" stopIfTrue="1" operator="greaterThanOrEqual">
      <formula>$E$104</formula>
    </cfRule>
  </conditionalFormatting>
  <conditionalFormatting sqref="R103">
    <cfRule type="cellIs" dxfId="799" priority="41" stopIfTrue="1" operator="greaterThan">
      <formula>$E$103</formula>
    </cfRule>
    <cfRule type="cellIs" dxfId="798" priority="42" stopIfTrue="1" operator="lessThanOrEqual">
      <formula>$E$103</formula>
    </cfRule>
  </conditionalFormatting>
  <conditionalFormatting sqref="R100">
    <cfRule type="cellIs" dxfId="797" priority="30" stopIfTrue="1" operator="between">
      <formula>$D$100</formula>
      <formula>$E$100</formula>
    </cfRule>
    <cfRule type="cellIs" dxfId="796" priority="39" stopIfTrue="1" operator="lessThanOrEqual">
      <formula>$D$100</formula>
    </cfRule>
    <cfRule type="cellIs" dxfId="795" priority="40" stopIfTrue="1" operator="greaterThan">
      <formula>$E$100</formula>
    </cfRule>
  </conditionalFormatting>
  <conditionalFormatting sqref="R117">
    <cfRule type="cellIs" dxfId="794" priority="37" stopIfTrue="1" operator="greaterThan">
      <formula>$E$117</formula>
    </cfRule>
    <cfRule type="cellIs" dxfId="793" priority="38" stopIfTrue="1" operator="lessThanOrEqual">
      <formula>$E$117</formula>
    </cfRule>
  </conditionalFormatting>
  <conditionalFormatting sqref="R107">
    <cfRule type="cellIs" dxfId="792" priority="35" stopIfTrue="1" operator="greaterThan">
      <formula>$E$107</formula>
    </cfRule>
    <cfRule type="cellIs" dxfId="791" priority="36" stopIfTrue="1" operator="lessThanOrEqual">
      <formula>$E$107</formula>
    </cfRule>
  </conditionalFormatting>
  <conditionalFormatting sqref="R108">
    <cfRule type="cellIs" dxfId="790" priority="33" stopIfTrue="1" operator="lessThan">
      <formula>$E$108</formula>
    </cfRule>
    <cfRule type="cellIs" dxfId="789" priority="34" stopIfTrue="1" operator="greaterThanOrEqual">
      <formula>$E$108</formula>
    </cfRule>
  </conditionalFormatting>
  <conditionalFormatting sqref="R93">
    <cfRule type="cellIs" dxfId="788" priority="53" stopIfTrue="1" operator="lessThan">
      <formula>$D$93</formula>
    </cfRule>
    <cfRule type="cellIs" dxfId="787" priority="54" stopIfTrue="1" operator="between">
      <formula>$D$93</formula>
      <formula>$E$93</formula>
    </cfRule>
    <cfRule type="cellIs" dxfId="786" priority="55" stopIfTrue="1" operator="greaterThan">
      <formula>$E$93</formula>
    </cfRule>
  </conditionalFormatting>
  <conditionalFormatting sqref="R114">
    <cfRule type="cellIs" dxfId="785" priority="56" stopIfTrue="1" operator="lessThan">
      <formula>$E$114</formula>
    </cfRule>
    <cfRule type="cellIs" dxfId="784" priority="57" stopIfTrue="1" operator="between">
      <formula>$D$114</formula>
      <formula>$E$114</formula>
    </cfRule>
    <cfRule type="cellIs" dxfId="783" priority="58" stopIfTrue="1" operator="greaterThanOrEqual">
      <formula>$D$114</formula>
    </cfRule>
  </conditionalFormatting>
  <conditionalFormatting sqref="R90">
    <cfRule type="cellIs" dxfId="782" priority="31" stopIfTrue="1" operator="lessThan">
      <formula>$E$90</formula>
    </cfRule>
    <cfRule type="cellIs" dxfId="781" priority="32" stopIfTrue="1" operator="greaterThan">
      <formula>$E$90</formula>
    </cfRule>
  </conditionalFormatting>
  <conditionalFormatting sqref="S116">
    <cfRule type="cellIs" dxfId="780" priority="22" stopIfTrue="1" operator="greaterThan">
      <formula>$E$116</formula>
    </cfRule>
    <cfRule type="cellIs" dxfId="779" priority="23" stopIfTrue="1" operator="lessThanOrEqual">
      <formula>$E$116</formula>
    </cfRule>
  </conditionalFormatting>
  <conditionalFormatting sqref="S118">
    <cfRule type="cellIs" dxfId="778" priority="20" stopIfTrue="1" operator="lessThanOrEqual">
      <formula>$E$118</formula>
    </cfRule>
    <cfRule type="cellIs" dxfId="777" priority="21" stopIfTrue="1" operator="greaterThan">
      <formula>$E$118</formula>
    </cfRule>
  </conditionalFormatting>
  <conditionalFormatting sqref="S99">
    <cfRule type="cellIs" dxfId="776" priority="18" operator="greaterThan">
      <formula>$E$99</formula>
    </cfRule>
    <cfRule type="cellIs" dxfId="775" priority="19" operator="lessThanOrEqual">
      <formula>$E$99</formula>
    </cfRule>
  </conditionalFormatting>
  <conditionalFormatting sqref="S102">
    <cfRule type="cellIs" dxfId="774" priority="16" stopIfTrue="1" operator="greaterThanOrEqual">
      <formula>$E$102</formula>
    </cfRule>
    <cfRule type="cellIs" dxfId="773" priority="17" stopIfTrue="1" operator="lessThan">
      <formula>$E$102</formula>
    </cfRule>
  </conditionalFormatting>
  <conditionalFormatting sqref="S104">
    <cfRule type="cellIs" dxfId="772" priority="14" stopIfTrue="1" operator="lessThan">
      <formula>$E$104</formula>
    </cfRule>
    <cfRule type="cellIs" dxfId="771" priority="15" stopIfTrue="1" operator="greaterThanOrEqual">
      <formula>$E$104</formula>
    </cfRule>
  </conditionalFormatting>
  <conditionalFormatting sqref="S103">
    <cfRule type="cellIs" dxfId="770" priority="12" stopIfTrue="1" operator="greaterThan">
      <formula>$E$103</formula>
    </cfRule>
    <cfRule type="cellIs" dxfId="769" priority="13" stopIfTrue="1" operator="lessThanOrEqual">
      <formula>$E$103</formula>
    </cfRule>
  </conditionalFormatting>
  <conditionalFormatting sqref="S100">
    <cfRule type="cellIs" dxfId="768" priority="1" stopIfTrue="1" operator="between">
      <formula>$D$100</formula>
      <formula>$E$100</formula>
    </cfRule>
    <cfRule type="cellIs" dxfId="767" priority="10" stopIfTrue="1" operator="lessThanOrEqual">
      <formula>$D$100</formula>
    </cfRule>
    <cfRule type="cellIs" dxfId="766" priority="11" stopIfTrue="1" operator="greaterThan">
      <formula>$E$100</formula>
    </cfRule>
  </conditionalFormatting>
  <conditionalFormatting sqref="S117">
    <cfRule type="cellIs" dxfId="765" priority="8" stopIfTrue="1" operator="greaterThan">
      <formula>$E$117</formula>
    </cfRule>
    <cfRule type="cellIs" dxfId="764" priority="9" stopIfTrue="1" operator="lessThanOrEqual">
      <formula>$E$117</formula>
    </cfRule>
  </conditionalFormatting>
  <conditionalFormatting sqref="S107">
    <cfRule type="cellIs" dxfId="763" priority="6" stopIfTrue="1" operator="greaterThan">
      <formula>$E$107</formula>
    </cfRule>
    <cfRule type="cellIs" dxfId="762" priority="7" stopIfTrue="1" operator="lessThanOrEqual">
      <formula>$E$107</formula>
    </cfRule>
  </conditionalFormatting>
  <conditionalFormatting sqref="S108">
    <cfRule type="cellIs" dxfId="761" priority="4" stopIfTrue="1" operator="lessThan">
      <formula>$E$108</formula>
    </cfRule>
    <cfRule type="cellIs" dxfId="760" priority="5" stopIfTrue="1" operator="greaterThanOrEqual">
      <formula>$E$108</formula>
    </cfRule>
  </conditionalFormatting>
  <conditionalFormatting sqref="S93">
    <cfRule type="cellIs" dxfId="759" priority="24" stopIfTrue="1" operator="lessThan">
      <formula>$D$93</formula>
    </cfRule>
    <cfRule type="cellIs" dxfId="758" priority="25" stopIfTrue="1" operator="between">
      <formula>$D$93</formula>
      <formula>$E$93</formula>
    </cfRule>
    <cfRule type="cellIs" dxfId="757" priority="26" stopIfTrue="1" operator="greaterThan">
      <formula>$E$93</formula>
    </cfRule>
  </conditionalFormatting>
  <conditionalFormatting sqref="S114">
    <cfRule type="cellIs" dxfId="756" priority="27" stopIfTrue="1" operator="lessThan">
      <formula>$E$114</formula>
    </cfRule>
    <cfRule type="cellIs" dxfId="755" priority="28" stopIfTrue="1" operator="between">
      <formula>$D$114</formula>
      <formula>$E$114</formula>
    </cfRule>
    <cfRule type="cellIs" dxfId="754" priority="29" stopIfTrue="1" operator="greaterThanOrEqual">
      <formula>$D$114</formula>
    </cfRule>
  </conditionalFormatting>
  <conditionalFormatting sqref="S90">
    <cfRule type="cellIs" dxfId="753" priority="2" stopIfTrue="1" operator="lessThan">
      <formula>$E$90</formula>
    </cfRule>
    <cfRule type="cellIs" dxfId="752" priority="3" stopIfTrue="1" operator="greaterThan">
      <formula>$E$90</formula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435378-706B-41F7-B8EF-D01F19E97F91}">
  <dimension ref="A1:U202"/>
  <sheetViews>
    <sheetView workbookViewId="0">
      <selection activeCell="G2" sqref="G2"/>
    </sheetView>
  </sheetViews>
  <sheetFormatPr defaultRowHeight="11.25" outlineLevelCol="1" x14ac:dyDescent="0.2"/>
  <cols>
    <col min="1" max="1" width="7.28515625" style="47" customWidth="1"/>
    <col min="2" max="2" width="4.7109375" style="47" bestFit="1" customWidth="1"/>
    <col min="3" max="3" width="9.140625" style="47"/>
    <col min="4" max="5" width="5.140625" style="47" bestFit="1" customWidth="1"/>
    <col min="6" max="6" width="2" style="8" bestFit="1" customWidth="1"/>
    <col min="7" max="7" width="25.140625" style="47" customWidth="1"/>
    <col min="8" max="12" width="8.7109375" style="47" hidden="1" customWidth="1" outlineLevel="1"/>
    <col min="13" max="13" width="8.7109375" style="47" bestFit="1" customWidth="1" collapsed="1"/>
    <col min="14" max="14" width="10.42578125" style="47" customWidth="1"/>
    <col min="15" max="19" width="8.7109375" style="47" bestFit="1" customWidth="1"/>
    <col min="20" max="20" width="3.42578125" style="47" customWidth="1"/>
    <col min="21" max="21" width="4" style="47" customWidth="1"/>
    <col min="22" max="256" width="9.140625" style="47"/>
    <col min="257" max="257" width="7.28515625" style="47" customWidth="1"/>
    <col min="258" max="258" width="4.7109375" style="47" bestFit="1" customWidth="1"/>
    <col min="259" max="259" width="9.140625" style="47"/>
    <col min="260" max="261" width="5.140625" style="47" bestFit="1" customWidth="1"/>
    <col min="262" max="262" width="2" style="47" bestFit="1" customWidth="1"/>
    <col min="263" max="263" width="25.140625" style="47" customWidth="1"/>
    <col min="264" max="268" width="0" style="47" hidden="1" customWidth="1"/>
    <col min="269" max="269" width="8.7109375" style="47" bestFit="1" customWidth="1"/>
    <col min="270" max="270" width="10.42578125" style="47" customWidth="1"/>
    <col min="271" max="275" width="8.7109375" style="47" bestFit="1" customWidth="1"/>
    <col min="276" max="276" width="3.42578125" style="47" customWidth="1"/>
    <col min="277" max="277" width="4" style="47" customWidth="1"/>
    <col min="278" max="512" width="9.140625" style="47"/>
    <col min="513" max="513" width="7.28515625" style="47" customWidth="1"/>
    <col min="514" max="514" width="4.7109375" style="47" bestFit="1" customWidth="1"/>
    <col min="515" max="515" width="9.140625" style="47"/>
    <col min="516" max="517" width="5.140625" style="47" bestFit="1" customWidth="1"/>
    <col min="518" max="518" width="2" style="47" bestFit="1" customWidth="1"/>
    <col min="519" max="519" width="25.140625" style="47" customWidth="1"/>
    <col min="520" max="524" width="0" style="47" hidden="1" customWidth="1"/>
    <col min="525" max="525" width="8.7109375" style="47" bestFit="1" customWidth="1"/>
    <col min="526" max="526" width="10.42578125" style="47" customWidth="1"/>
    <col min="527" max="531" width="8.7109375" style="47" bestFit="1" customWidth="1"/>
    <col min="532" max="532" width="3.42578125" style="47" customWidth="1"/>
    <col min="533" max="533" width="4" style="47" customWidth="1"/>
    <col min="534" max="768" width="9.140625" style="47"/>
    <col min="769" max="769" width="7.28515625" style="47" customWidth="1"/>
    <col min="770" max="770" width="4.7109375" style="47" bestFit="1" customWidth="1"/>
    <col min="771" max="771" width="9.140625" style="47"/>
    <col min="772" max="773" width="5.140625" style="47" bestFit="1" customWidth="1"/>
    <col min="774" max="774" width="2" style="47" bestFit="1" customWidth="1"/>
    <col min="775" max="775" width="25.140625" style="47" customWidth="1"/>
    <col min="776" max="780" width="0" style="47" hidden="1" customWidth="1"/>
    <col min="781" max="781" width="8.7109375" style="47" bestFit="1" customWidth="1"/>
    <col min="782" max="782" width="10.42578125" style="47" customWidth="1"/>
    <col min="783" max="787" width="8.7109375" style="47" bestFit="1" customWidth="1"/>
    <col min="788" max="788" width="3.42578125" style="47" customWidth="1"/>
    <col min="789" max="789" width="4" style="47" customWidth="1"/>
    <col min="790" max="1024" width="9.140625" style="47"/>
    <col min="1025" max="1025" width="7.28515625" style="47" customWidth="1"/>
    <col min="1026" max="1026" width="4.7109375" style="47" bestFit="1" customWidth="1"/>
    <col min="1027" max="1027" width="9.140625" style="47"/>
    <col min="1028" max="1029" width="5.140625" style="47" bestFit="1" customWidth="1"/>
    <col min="1030" max="1030" width="2" style="47" bestFit="1" customWidth="1"/>
    <col min="1031" max="1031" width="25.140625" style="47" customWidth="1"/>
    <col min="1032" max="1036" width="0" style="47" hidden="1" customWidth="1"/>
    <col min="1037" max="1037" width="8.7109375" style="47" bestFit="1" customWidth="1"/>
    <col min="1038" max="1038" width="10.42578125" style="47" customWidth="1"/>
    <col min="1039" max="1043" width="8.7109375" style="47" bestFit="1" customWidth="1"/>
    <col min="1044" max="1044" width="3.42578125" style="47" customWidth="1"/>
    <col min="1045" max="1045" width="4" style="47" customWidth="1"/>
    <col min="1046" max="1280" width="9.140625" style="47"/>
    <col min="1281" max="1281" width="7.28515625" style="47" customWidth="1"/>
    <col min="1282" max="1282" width="4.7109375" style="47" bestFit="1" customWidth="1"/>
    <col min="1283" max="1283" width="9.140625" style="47"/>
    <col min="1284" max="1285" width="5.140625" style="47" bestFit="1" customWidth="1"/>
    <col min="1286" max="1286" width="2" style="47" bestFit="1" customWidth="1"/>
    <col min="1287" max="1287" width="25.140625" style="47" customWidth="1"/>
    <col min="1288" max="1292" width="0" style="47" hidden="1" customWidth="1"/>
    <col min="1293" max="1293" width="8.7109375" style="47" bestFit="1" customWidth="1"/>
    <col min="1294" max="1294" width="10.42578125" style="47" customWidth="1"/>
    <col min="1295" max="1299" width="8.7109375" style="47" bestFit="1" customWidth="1"/>
    <col min="1300" max="1300" width="3.42578125" style="47" customWidth="1"/>
    <col min="1301" max="1301" width="4" style="47" customWidth="1"/>
    <col min="1302" max="1536" width="9.140625" style="47"/>
    <col min="1537" max="1537" width="7.28515625" style="47" customWidth="1"/>
    <col min="1538" max="1538" width="4.7109375" style="47" bestFit="1" customWidth="1"/>
    <col min="1539" max="1539" width="9.140625" style="47"/>
    <col min="1540" max="1541" width="5.140625" style="47" bestFit="1" customWidth="1"/>
    <col min="1542" max="1542" width="2" style="47" bestFit="1" customWidth="1"/>
    <col min="1543" max="1543" width="25.140625" style="47" customWidth="1"/>
    <col min="1544" max="1548" width="0" style="47" hidden="1" customWidth="1"/>
    <col min="1549" max="1549" width="8.7109375" style="47" bestFit="1" customWidth="1"/>
    <col min="1550" max="1550" width="10.42578125" style="47" customWidth="1"/>
    <col min="1551" max="1555" width="8.7109375" style="47" bestFit="1" customWidth="1"/>
    <col min="1556" max="1556" width="3.42578125" style="47" customWidth="1"/>
    <col min="1557" max="1557" width="4" style="47" customWidth="1"/>
    <col min="1558" max="1792" width="9.140625" style="47"/>
    <col min="1793" max="1793" width="7.28515625" style="47" customWidth="1"/>
    <col min="1794" max="1794" width="4.7109375" style="47" bestFit="1" customWidth="1"/>
    <col min="1795" max="1795" width="9.140625" style="47"/>
    <col min="1796" max="1797" width="5.140625" style="47" bestFit="1" customWidth="1"/>
    <col min="1798" max="1798" width="2" style="47" bestFit="1" customWidth="1"/>
    <col min="1799" max="1799" width="25.140625" style="47" customWidth="1"/>
    <col min="1800" max="1804" width="0" style="47" hidden="1" customWidth="1"/>
    <col min="1805" max="1805" width="8.7109375" style="47" bestFit="1" customWidth="1"/>
    <col min="1806" max="1806" width="10.42578125" style="47" customWidth="1"/>
    <col min="1807" max="1811" width="8.7109375" style="47" bestFit="1" customWidth="1"/>
    <col min="1812" max="1812" width="3.42578125" style="47" customWidth="1"/>
    <col min="1813" max="1813" width="4" style="47" customWidth="1"/>
    <col min="1814" max="2048" width="9.140625" style="47"/>
    <col min="2049" max="2049" width="7.28515625" style="47" customWidth="1"/>
    <col min="2050" max="2050" width="4.7109375" style="47" bestFit="1" customWidth="1"/>
    <col min="2051" max="2051" width="9.140625" style="47"/>
    <col min="2052" max="2053" width="5.140625" style="47" bestFit="1" customWidth="1"/>
    <col min="2054" max="2054" width="2" style="47" bestFit="1" customWidth="1"/>
    <col min="2055" max="2055" width="25.140625" style="47" customWidth="1"/>
    <col min="2056" max="2060" width="0" style="47" hidden="1" customWidth="1"/>
    <col min="2061" max="2061" width="8.7109375" style="47" bestFit="1" customWidth="1"/>
    <col min="2062" max="2062" width="10.42578125" style="47" customWidth="1"/>
    <col min="2063" max="2067" width="8.7109375" style="47" bestFit="1" customWidth="1"/>
    <col min="2068" max="2068" width="3.42578125" style="47" customWidth="1"/>
    <col min="2069" max="2069" width="4" style="47" customWidth="1"/>
    <col min="2070" max="2304" width="9.140625" style="47"/>
    <col min="2305" max="2305" width="7.28515625" style="47" customWidth="1"/>
    <col min="2306" max="2306" width="4.7109375" style="47" bestFit="1" customWidth="1"/>
    <col min="2307" max="2307" width="9.140625" style="47"/>
    <col min="2308" max="2309" width="5.140625" style="47" bestFit="1" customWidth="1"/>
    <col min="2310" max="2310" width="2" style="47" bestFit="1" customWidth="1"/>
    <col min="2311" max="2311" width="25.140625" style="47" customWidth="1"/>
    <col min="2312" max="2316" width="0" style="47" hidden="1" customWidth="1"/>
    <col min="2317" max="2317" width="8.7109375" style="47" bestFit="1" customWidth="1"/>
    <col min="2318" max="2318" width="10.42578125" style="47" customWidth="1"/>
    <col min="2319" max="2323" width="8.7109375" style="47" bestFit="1" customWidth="1"/>
    <col min="2324" max="2324" width="3.42578125" style="47" customWidth="1"/>
    <col min="2325" max="2325" width="4" style="47" customWidth="1"/>
    <col min="2326" max="2560" width="9.140625" style="47"/>
    <col min="2561" max="2561" width="7.28515625" style="47" customWidth="1"/>
    <col min="2562" max="2562" width="4.7109375" style="47" bestFit="1" customWidth="1"/>
    <col min="2563" max="2563" width="9.140625" style="47"/>
    <col min="2564" max="2565" width="5.140625" style="47" bestFit="1" customWidth="1"/>
    <col min="2566" max="2566" width="2" style="47" bestFit="1" customWidth="1"/>
    <col min="2567" max="2567" width="25.140625" style="47" customWidth="1"/>
    <col min="2568" max="2572" width="0" style="47" hidden="1" customWidth="1"/>
    <col min="2573" max="2573" width="8.7109375" style="47" bestFit="1" customWidth="1"/>
    <col min="2574" max="2574" width="10.42578125" style="47" customWidth="1"/>
    <col min="2575" max="2579" width="8.7109375" style="47" bestFit="1" customWidth="1"/>
    <col min="2580" max="2580" width="3.42578125" style="47" customWidth="1"/>
    <col min="2581" max="2581" width="4" style="47" customWidth="1"/>
    <col min="2582" max="2816" width="9.140625" style="47"/>
    <col min="2817" max="2817" width="7.28515625" style="47" customWidth="1"/>
    <col min="2818" max="2818" width="4.7109375" style="47" bestFit="1" customWidth="1"/>
    <col min="2819" max="2819" width="9.140625" style="47"/>
    <col min="2820" max="2821" width="5.140625" style="47" bestFit="1" customWidth="1"/>
    <col min="2822" max="2822" width="2" style="47" bestFit="1" customWidth="1"/>
    <col min="2823" max="2823" width="25.140625" style="47" customWidth="1"/>
    <col min="2824" max="2828" width="0" style="47" hidden="1" customWidth="1"/>
    <col min="2829" max="2829" width="8.7109375" style="47" bestFit="1" customWidth="1"/>
    <col min="2830" max="2830" width="10.42578125" style="47" customWidth="1"/>
    <col min="2831" max="2835" width="8.7109375" style="47" bestFit="1" customWidth="1"/>
    <col min="2836" max="2836" width="3.42578125" style="47" customWidth="1"/>
    <col min="2837" max="2837" width="4" style="47" customWidth="1"/>
    <col min="2838" max="3072" width="9.140625" style="47"/>
    <col min="3073" max="3073" width="7.28515625" style="47" customWidth="1"/>
    <col min="3074" max="3074" width="4.7109375" style="47" bestFit="1" customWidth="1"/>
    <col min="3075" max="3075" width="9.140625" style="47"/>
    <col min="3076" max="3077" width="5.140625" style="47" bestFit="1" customWidth="1"/>
    <col min="3078" max="3078" width="2" style="47" bestFit="1" customWidth="1"/>
    <col min="3079" max="3079" width="25.140625" style="47" customWidth="1"/>
    <col min="3080" max="3084" width="0" style="47" hidden="1" customWidth="1"/>
    <col min="3085" max="3085" width="8.7109375" style="47" bestFit="1" customWidth="1"/>
    <col min="3086" max="3086" width="10.42578125" style="47" customWidth="1"/>
    <col min="3087" max="3091" width="8.7109375" style="47" bestFit="1" customWidth="1"/>
    <col min="3092" max="3092" width="3.42578125" style="47" customWidth="1"/>
    <col min="3093" max="3093" width="4" style="47" customWidth="1"/>
    <col min="3094" max="3328" width="9.140625" style="47"/>
    <col min="3329" max="3329" width="7.28515625" style="47" customWidth="1"/>
    <col min="3330" max="3330" width="4.7109375" style="47" bestFit="1" customWidth="1"/>
    <col min="3331" max="3331" width="9.140625" style="47"/>
    <col min="3332" max="3333" width="5.140625" style="47" bestFit="1" customWidth="1"/>
    <col min="3334" max="3334" width="2" style="47" bestFit="1" customWidth="1"/>
    <col min="3335" max="3335" width="25.140625" style="47" customWidth="1"/>
    <col min="3336" max="3340" width="0" style="47" hidden="1" customWidth="1"/>
    <col min="3341" max="3341" width="8.7109375" style="47" bestFit="1" customWidth="1"/>
    <col min="3342" max="3342" width="10.42578125" style="47" customWidth="1"/>
    <col min="3343" max="3347" width="8.7109375" style="47" bestFit="1" customWidth="1"/>
    <col min="3348" max="3348" width="3.42578125" style="47" customWidth="1"/>
    <col min="3349" max="3349" width="4" style="47" customWidth="1"/>
    <col min="3350" max="3584" width="9.140625" style="47"/>
    <col min="3585" max="3585" width="7.28515625" style="47" customWidth="1"/>
    <col min="3586" max="3586" width="4.7109375" style="47" bestFit="1" customWidth="1"/>
    <col min="3587" max="3587" width="9.140625" style="47"/>
    <col min="3588" max="3589" width="5.140625" style="47" bestFit="1" customWidth="1"/>
    <col min="3590" max="3590" width="2" style="47" bestFit="1" customWidth="1"/>
    <col min="3591" max="3591" width="25.140625" style="47" customWidth="1"/>
    <col min="3592" max="3596" width="0" style="47" hidden="1" customWidth="1"/>
    <col min="3597" max="3597" width="8.7109375" style="47" bestFit="1" customWidth="1"/>
    <col min="3598" max="3598" width="10.42578125" style="47" customWidth="1"/>
    <col min="3599" max="3603" width="8.7109375" style="47" bestFit="1" customWidth="1"/>
    <col min="3604" max="3604" width="3.42578125" style="47" customWidth="1"/>
    <col min="3605" max="3605" width="4" style="47" customWidth="1"/>
    <col min="3606" max="3840" width="9.140625" style="47"/>
    <col min="3841" max="3841" width="7.28515625" style="47" customWidth="1"/>
    <col min="3842" max="3842" width="4.7109375" style="47" bestFit="1" customWidth="1"/>
    <col min="3843" max="3843" width="9.140625" style="47"/>
    <col min="3844" max="3845" width="5.140625" style="47" bestFit="1" customWidth="1"/>
    <col min="3846" max="3846" width="2" style="47" bestFit="1" customWidth="1"/>
    <col min="3847" max="3847" width="25.140625" style="47" customWidth="1"/>
    <col min="3848" max="3852" width="0" style="47" hidden="1" customWidth="1"/>
    <col min="3853" max="3853" width="8.7109375" style="47" bestFit="1" customWidth="1"/>
    <col min="3854" max="3854" width="10.42578125" style="47" customWidth="1"/>
    <col min="3855" max="3859" width="8.7109375" style="47" bestFit="1" customWidth="1"/>
    <col min="3860" max="3860" width="3.42578125" style="47" customWidth="1"/>
    <col min="3861" max="3861" width="4" style="47" customWidth="1"/>
    <col min="3862" max="4096" width="9.140625" style="47"/>
    <col min="4097" max="4097" width="7.28515625" style="47" customWidth="1"/>
    <col min="4098" max="4098" width="4.7109375" style="47" bestFit="1" customWidth="1"/>
    <col min="4099" max="4099" width="9.140625" style="47"/>
    <col min="4100" max="4101" width="5.140625" style="47" bestFit="1" customWidth="1"/>
    <col min="4102" max="4102" width="2" style="47" bestFit="1" customWidth="1"/>
    <col min="4103" max="4103" width="25.140625" style="47" customWidth="1"/>
    <col min="4104" max="4108" width="0" style="47" hidden="1" customWidth="1"/>
    <col min="4109" max="4109" width="8.7109375" style="47" bestFit="1" customWidth="1"/>
    <col min="4110" max="4110" width="10.42578125" style="47" customWidth="1"/>
    <col min="4111" max="4115" width="8.7109375" style="47" bestFit="1" customWidth="1"/>
    <col min="4116" max="4116" width="3.42578125" style="47" customWidth="1"/>
    <col min="4117" max="4117" width="4" style="47" customWidth="1"/>
    <col min="4118" max="4352" width="9.140625" style="47"/>
    <col min="4353" max="4353" width="7.28515625" style="47" customWidth="1"/>
    <col min="4354" max="4354" width="4.7109375" style="47" bestFit="1" customWidth="1"/>
    <col min="4355" max="4355" width="9.140625" style="47"/>
    <col min="4356" max="4357" width="5.140625" style="47" bestFit="1" customWidth="1"/>
    <col min="4358" max="4358" width="2" style="47" bestFit="1" customWidth="1"/>
    <col min="4359" max="4359" width="25.140625" style="47" customWidth="1"/>
    <col min="4360" max="4364" width="0" style="47" hidden="1" customWidth="1"/>
    <col min="4365" max="4365" width="8.7109375" style="47" bestFit="1" customWidth="1"/>
    <col min="4366" max="4366" width="10.42578125" style="47" customWidth="1"/>
    <col min="4367" max="4371" width="8.7109375" style="47" bestFit="1" customWidth="1"/>
    <col min="4372" max="4372" width="3.42578125" style="47" customWidth="1"/>
    <col min="4373" max="4373" width="4" style="47" customWidth="1"/>
    <col min="4374" max="4608" width="9.140625" style="47"/>
    <col min="4609" max="4609" width="7.28515625" style="47" customWidth="1"/>
    <col min="4610" max="4610" width="4.7109375" style="47" bestFit="1" customWidth="1"/>
    <col min="4611" max="4611" width="9.140625" style="47"/>
    <col min="4612" max="4613" width="5.140625" style="47" bestFit="1" customWidth="1"/>
    <col min="4614" max="4614" width="2" style="47" bestFit="1" customWidth="1"/>
    <col min="4615" max="4615" width="25.140625" style="47" customWidth="1"/>
    <col min="4616" max="4620" width="0" style="47" hidden="1" customWidth="1"/>
    <col min="4621" max="4621" width="8.7109375" style="47" bestFit="1" customWidth="1"/>
    <col min="4622" max="4622" width="10.42578125" style="47" customWidth="1"/>
    <col min="4623" max="4627" width="8.7109375" style="47" bestFit="1" customWidth="1"/>
    <col min="4628" max="4628" width="3.42578125" style="47" customWidth="1"/>
    <col min="4629" max="4629" width="4" style="47" customWidth="1"/>
    <col min="4630" max="4864" width="9.140625" style="47"/>
    <col min="4865" max="4865" width="7.28515625" style="47" customWidth="1"/>
    <col min="4866" max="4866" width="4.7109375" style="47" bestFit="1" customWidth="1"/>
    <col min="4867" max="4867" width="9.140625" style="47"/>
    <col min="4868" max="4869" width="5.140625" style="47" bestFit="1" customWidth="1"/>
    <col min="4870" max="4870" width="2" style="47" bestFit="1" customWidth="1"/>
    <col min="4871" max="4871" width="25.140625" style="47" customWidth="1"/>
    <col min="4872" max="4876" width="0" style="47" hidden="1" customWidth="1"/>
    <col min="4877" max="4877" width="8.7109375" style="47" bestFit="1" customWidth="1"/>
    <col min="4878" max="4878" width="10.42578125" style="47" customWidth="1"/>
    <col min="4879" max="4883" width="8.7109375" style="47" bestFit="1" customWidth="1"/>
    <col min="4884" max="4884" width="3.42578125" style="47" customWidth="1"/>
    <col min="4885" max="4885" width="4" style="47" customWidth="1"/>
    <col min="4886" max="5120" width="9.140625" style="47"/>
    <col min="5121" max="5121" width="7.28515625" style="47" customWidth="1"/>
    <col min="5122" max="5122" width="4.7109375" style="47" bestFit="1" customWidth="1"/>
    <col min="5123" max="5123" width="9.140625" style="47"/>
    <col min="5124" max="5125" width="5.140625" style="47" bestFit="1" customWidth="1"/>
    <col min="5126" max="5126" width="2" style="47" bestFit="1" customWidth="1"/>
    <col min="5127" max="5127" width="25.140625" style="47" customWidth="1"/>
    <col min="5128" max="5132" width="0" style="47" hidden="1" customWidth="1"/>
    <col min="5133" max="5133" width="8.7109375" style="47" bestFit="1" customWidth="1"/>
    <col min="5134" max="5134" width="10.42578125" style="47" customWidth="1"/>
    <col min="5135" max="5139" width="8.7109375" style="47" bestFit="1" customWidth="1"/>
    <col min="5140" max="5140" width="3.42578125" style="47" customWidth="1"/>
    <col min="5141" max="5141" width="4" style="47" customWidth="1"/>
    <col min="5142" max="5376" width="9.140625" style="47"/>
    <col min="5377" max="5377" width="7.28515625" style="47" customWidth="1"/>
    <col min="5378" max="5378" width="4.7109375" style="47" bestFit="1" customWidth="1"/>
    <col min="5379" max="5379" width="9.140625" style="47"/>
    <col min="5380" max="5381" width="5.140625" style="47" bestFit="1" customWidth="1"/>
    <col min="5382" max="5382" width="2" style="47" bestFit="1" customWidth="1"/>
    <col min="5383" max="5383" width="25.140625" style="47" customWidth="1"/>
    <col min="5384" max="5388" width="0" style="47" hidden="1" customWidth="1"/>
    <col min="5389" max="5389" width="8.7109375" style="47" bestFit="1" customWidth="1"/>
    <col min="5390" max="5390" width="10.42578125" style="47" customWidth="1"/>
    <col min="5391" max="5395" width="8.7109375" style="47" bestFit="1" customWidth="1"/>
    <col min="5396" max="5396" width="3.42578125" style="47" customWidth="1"/>
    <col min="5397" max="5397" width="4" style="47" customWidth="1"/>
    <col min="5398" max="5632" width="9.140625" style="47"/>
    <col min="5633" max="5633" width="7.28515625" style="47" customWidth="1"/>
    <col min="5634" max="5634" width="4.7109375" style="47" bestFit="1" customWidth="1"/>
    <col min="5635" max="5635" width="9.140625" style="47"/>
    <col min="5636" max="5637" width="5.140625" style="47" bestFit="1" customWidth="1"/>
    <col min="5638" max="5638" width="2" style="47" bestFit="1" customWidth="1"/>
    <col min="5639" max="5639" width="25.140625" style="47" customWidth="1"/>
    <col min="5640" max="5644" width="0" style="47" hidden="1" customWidth="1"/>
    <col min="5645" max="5645" width="8.7109375" style="47" bestFit="1" customWidth="1"/>
    <col min="5646" max="5646" width="10.42578125" style="47" customWidth="1"/>
    <col min="5647" max="5651" width="8.7109375" style="47" bestFit="1" customWidth="1"/>
    <col min="5652" max="5652" width="3.42578125" style="47" customWidth="1"/>
    <col min="5653" max="5653" width="4" style="47" customWidth="1"/>
    <col min="5654" max="5888" width="9.140625" style="47"/>
    <col min="5889" max="5889" width="7.28515625" style="47" customWidth="1"/>
    <col min="5890" max="5890" width="4.7109375" style="47" bestFit="1" customWidth="1"/>
    <col min="5891" max="5891" width="9.140625" style="47"/>
    <col min="5892" max="5893" width="5.140625" style="47" bestFit="1" customWidth="1"/>
    <col min="5894" max="5894" width="2" style="47" bestFit="1" customWidth="1"/>
    <col min="5895" max="5895" width="25.140625" style="47" customWidth="1"/>
    <col min="5896" max="5900" width="0" style="47" hidden="1" customWidth="1"/>
    <col min="5901" max="5901" width="8.7109375" style="47" bestFit="1" customWidth="1"/>
    <col min="5902" max="5902" width="10.42578125" style="47" customWidth="1"/>
    <col min="5903" max="5907" width="8.7109375" style="47" bestFit="1" customWidth="1"/>
    <col min="5908" max="5908" width="3.42578125" style="47" customWidth="1"/>
    <col min="5909" max="5909" width="4" style="47" customWidth="1"/>
    <col min="5910" max="6144" width="9.140625" style="47"/>
    <col min="6145" max="6145" width="7.28515625" style="47" customWidth="1"/>
    <col min="6146" max="6146" width="4.7109375" style="47" bestFit="1" customWidth="1"/>
    <col min="6147" max="6147" width="9.140625" style="47"/>
    <col min="6148" max="6149" width="5.140625" style="47" bestFit="1" customWidth="1"/>
    <col min="6150" max="6150" width="2" style="47" bestFit="1" customWidth="1"/>
    <col min="6151" max="6151" width="25.140625" style="47" customWidth="1"/>
    <col min="6152" max="6156" width="0" style="47" hidden="1" customWidth="1"/>
    <col min="6157" max="6157" width="8.7109375" style="47" bestFit="1" customWidth="1"/>
    <col min="6158" max="6158" width="10.42578125" style="47" customWidth="1"/>
    <col min="6159" max="6163" width="8.7109375" style="47" bestFit="1" customWidth="1"/>
    <col min="6164" max="6164" width="3.42578125" style="47" customWidth="1"/>
    <col min="6165" max="6165" width="4" style="47" customWidth="1"/>
    <col min="6166" max="6400" width="9.140625" style="47"/>
    <col min="6401" max="6401" width="7.28515625" style="47" customWidth="1"/>
    <col min="6402" max="6402" width="4.7109375" style="47" bestFit="1" customWidth="1"/>
    <col min="6403" max="6403" width="9.140625" style="47"/>
    <col min="6404" max="6405" width="5.140625" style="47" bestFit="1" customWidth="1"/>
    <col min="6406" max="6406" width="2" style="47" bestFit="1" customWidth="1"/>
    <col min="6407" max="6407" width="25.140625" style="47" customWidth="1"/>
    <col min="6408" max="6412" width="0" style="47" hidden="1" customWidth="1"/>
    <col min="6413" max="6413" width="8.7109375" style="47" bestFit="1" customWidth="1"/>
    <col min="6414" max="6414" width="10.42578125" style="47" customWidth="1"/>
    <col min="6415" max="6419" width="8.7109375" style="47" bestFit="1" customWidth="1"/>
    <col min="6420" max="6420" width="3.42578125" style="47" customWidth="1"/>
    <col min="6421" max="6421" width="4" style="47" customWidth="1"/>
    <col min="6422" max="6656" width="9.140625" style="47"/>
    <col min="6657" max="6657" width="7.28515625" style="47" customWidth="1"/>
    <col min="6658" max="6658" width="4.7109375" style="47" bestFit="1" customWidth="1"/>
    <col min="6659" max="6659" width="9.140625" style="47"/>
    <col min="6660" max="6661" width="5.140625" style="47" bestFit="1" customWidth="1"/>
    <col min="6662" max="6662" width="2" style="47" bestFit="1" customWidth="1"/>
    <col min="6663" max="6663" width="25.140625" style="47" customWidth="1"/>
    <col min="6664" max="6668" width="0" style="47" hidden="1" customWidth="1"/>
    <col min="6669" max="6669" width="8.7109375" style="47" bestFit="1" customWidth="1"/>
    <col min="6670" max="6670" width="10.42578125" style="47" customWidth="1"/>
    <col min="6671" max="6675" width="8.7109375" style="47" bestFit="1" customWidth="1"/>
    <col min="6676" max="6676" width="3.42578125" style="47" customWidth="1"/>
    <col min="6677" max="6677" width="4" style="47" customWidth="1"/>
    <col min="6678" max="6912" width="9.140625" style="47"/>
    <col min="6913" max="6913" width="7.28515625" style="47" customWidth="1"/>
    <col min="6914" max="6914" width="4.7109375" style="47" bestFit="1" customWidth="1"/>
    <col min="6915" max="6915" width="9.140625" style="47"/>
    <col min="6916" max="6917" width="5.140625" style="47" bestFit="1" customWidth="1"/>
    <col min="6918" max="6918" width="2" style="47" bestFit="1" customWidth="1"/>
    <col min="6919" max="6919" width="25.140625" style="47" customWidth="1"/>
    <col min="6920" max="6924" width="0" style="47" hidden="1" customWidth="1"/>
    <col min="6925" max="6925" width="8.7109375" style="47" bestFit="1" customWidth="1"/>
    <col min="6926" max="6926" width="10.42578125" style="47" customWidth="1"/>
    <col min="6927" max="6931" width="8.7109375" style="47" bestFit="1" customWidth="1"/>
    <col min="6932" max="6932" width="3.42578125" style="47" customWidth="1"/>
    <col min="6933" max="6933" width="4" style="47" customWidth="1"/>
    <col min="6934" max="7168" width="9.140625" style="47"/>
    <col min="7169" max="7169" width="7.28515625" style="47" customWidth="1"/>
    <col min="7170" max="7170" width="4.7109375" style="47" bestFit="1" customWidth="1"/>
    <col min="7171" max="7171" width="9.140625" style="47"/>
    <col min="7172" max="7173" width="5.140625" style="47" bestFit="1" customWidth="1"/>
    <col min="7174" max="7174" width="2" style="47" bestFit="1" customWidth="1"/>
    <col min="7175" max="7175" width="25.140625" style="47" customWidth="1"/>
    <col min="7176" max="7180" width="0" style="47" hidden="1" customWidth="1"/>
    <col min="7181" max="7181" width="8.7109375" style="47" bestFit="1" customWidth="1"/>
    <col min="7182" max="7182" width="10.42578125" style="47" customWidth="1"/>
    <col min="7183" max="7187" width="8.7109375" style="47" bestFit="1" customWidth="1"/>
    <col min="7188" max="7188" width="3.42578125" style="47" customWidth="1"/>
    <col min="7189" max="7189" width="4" style="47" customWidth="1"/>
    <col min="7190" max="7424" width="9.140625" style="47"/>
    <col min="7425" max="7425" width="7.28515625" style="47" customWidth="1"/>
    <col min="7426" max="7426" width="4.7109375" style="47" bestFit="1" customWidth="1"/>
    <col min="7427" max="7427" width="9.140625" style="47"/>
    <col min="7428" max="7429" width="5.140625" style="47" bestFit="1" customWidth="1"/>
    <col min="7430" max="7430" width="2" style="47" bestFit="1" customWidth="1"/>
    <col min="7431" max="7431" width="25.140625" style="47" customWidth="1"/>
    <col min="7432" max="7436" width="0" style="47" hidden="1" customWidth="1"/>
    <col min="7437" max="7437" width="8.7109375" style="47" bestFit="1" customWidth="1"/>
    <col min="7438" max="7438" width="10.42578125" style="47" customWidth="1"/>
    <col min="7439" max="7443" width="8.7109375" style="47" bestFit="1" customWidth="1"/>
    <col min="7444" max="7444" width="3.42578125" style="47" customWidth="1"/>
    <col min="7445" max="7445" width="4" style="47" customWidth="1"/>
    <col min="7446" max="7680" width="9.140625" style="47"/>
    <col min="7681" max="7681" width="7.28515625" style="47" customWidth="1"/>
    <col min="7682" max="7682" width="4.7109375" style="47" bestFit="1" customWidth="1"/>
    <col min="7683" max="7683" width="9.140625" style="47"/>
    <col min="7684" max="7685" width="5.140625" style="47" bestFit="1" customWidth="1"/>
    <col min="7686" max="7686" width="2" style="47" bestFit="1" customWidth="1"/>
    <col min="7687" max="7687" width="25.140625" style="47" customWidth="1"/>
    <col min="7688" max="7692" width="0" style="47" hidden="1" customWidth="1"/>
    <col min="7693" max="7693" width="8.7109375" style="47" bestFit="1" customWidth="1"/>
    <col min="7694" max="7694" width="10.42578125" style="47" customWidth="1"/>
    <col min="7695" max="7699" width="8.7109375" style="47" bestFit="1" customWidth="1"/>
    <col min="7700" max="7700" width="3.42578125" style="47" customWidth="1"/>
    <col min="7701" max="7701" width="4" style="47" customWidth="1"/>
    <col min="7702" max="7936" width="9.140625" style="47"/>
    <col min="7937" max="7937" width="7.28515625" style="47" customWidth="1"/>
    <col min="7938" max="7938" width="4.7109375" style="47" bestFit="1" customWidth="1"/>
    <col min="7939" max="7939" width="9.140625" style="47"/>
    <col min="7940" max="7941" width="5.140625" style="47" bestFit="1" customWidth="1"/>
    <col min="7942" max="7942" width="2" style="47" bestFit="1" customWidth="1"/>
    <col min="7943" max="7943" width="25.140625" style="47" customWidth="1"/>
    <col min="7944" max="7948" width="0" style="47" hidden="1" customWidth="1"/>
    <col min="7949" max="7949" width="8.7109375" style="47" bestFit="1" customWidth="1"/>
    <col min="7950" max="7950" width="10.42578125" style="47" customWidth="1"/>
    <col min="7951" max="7955" width="8.7109375" style="47" bestFit="1" customWidth="1"/>
    <col min="7956" max="7956" width="3.42578125" style="47" customWidth="1"/>
    <col min="7957" max="7957" width="4" style="47" customWidth="1"/>
    <col min="7958" max="8192" width="9.140625" style="47"/>
    <col min="8193" max="8193" width="7.28515625" style="47" customWidth="1"/>
    <col min="8194" max="8194" width="4.7109375" style="47" bestFit="1" customWidth="1"/>
    <col min="8195" max="8195" width="9.140625" style="47"/>
    <col min="8196" max="8197" width="5.140625" style="47" bestFit="1" customWidth="1"/>
    <col min="8198" max="8198" width="2" style="47" bestFit="1" customWidth="1"/>
    <col min="8199" max="8199" width="25.140625" style="47" customWidth="1"/>
    <col min="8200" max="8204" width="0" style="47" hidden="1" customWidth="1"/>
    <col min="8205" max="8205" width="8.7109375" style="47" bestFit="1" customWidth="1"/>
    <col min="8206" max="8206" width="10.42578125" style="47" customWidth="1"/>
    <col min="8207" max="8211" width="8.7109375" style="47" bestFit="1" customWidth="1"/>
    <col min="8212" max="8212" width="3.42578125" style="47" customWidth="1"/>
    <col min="8213" max="8213" width="4" style="47" customWidth="1"/>
    <col min="8214" max="8448" width="9.140625" style="47"/>
    <col min="8449" max="8449" width="7.28515625" style="47" customWidth="1"/>
    <col min="8450" max="8450" width="4.7109375" style="47" bestFit="1" customWidth="1"/>
    <col min="8451" max="8451" width="9.140625" style="47"/>
    <col min="8452" max="8453" width="5.140625" style="47" bestFit="1" customWidth="1"/>
    <col min="8454" max="8454" width="2" style="47" bestFit="1" customWidth="1"/>
    <col min="8455" max="8455" width="25.140625" style="47" customWidth="1"/>
    <col min="8456" max="8460" width="0" style="47" hidden="1" customWidth="1"/>
    <col min="8461" max="8461" width="8.7109375" style="47" bestFit="1" customWidth="1"/>
    <col min="8462" max="8462" width="10.42578125" style="47" customWidth="1"/>
    <col min="8463" max="8467" width="8.7109375" style="47" bestFit="1" customWidth="1"/>
    <col min="8468" max="8468" width="3.42578125" style="47" customWidth="1"/>
    <col min="8469" max="8469" width="4" style="47" customWidth="1"/>
    <col min="8470" max="8704" width="9.140625" style="47"/>
    <col min="8705" max="8705" width="7.28515625" style="47" customWidth="1"/>
    <col min="8706" max="8706" width="4.7109375" style="47" bestFit="1" customWidth="1"/>
    <col min="8707" max="8707" width="9.140625" style="47"/>
    <col min="8708" max="8709" width="5.140625" style="47" bestFit="1" customWidth="1"/>
    <col min="8710" max="8710" width="2" style="47" bestFit="1" customWidth="1"/>
    <col min="8711" max="8711" width="25.140625" style="47" customWidth="1"/>
    <col min="8712" max="8716" width="0" style="47" hidden="1" customWidth="1"/>
    <col min="8717" max="8717" width="8.7109375" style="47" bestFit="1" customWidth="1"/>
    <col min="8718" max="8718" width="10.42578125" style="47" customWidth="1"/>
    <col min="8719" max="8723" width="8.7109375" style="47" bestFit="1" customWidth="1"/>
    <col min="8724" max="8724" width="3.42578125" style="47" customWidth="1"/>
    <col min="8725" max="8725" width="4" style="47" customWidth="1"/>
    <col min="8726" max="8960" width="9.140625" style="47"/>
    <col min="8961" max="8961" width="7.28515625" style="47" customWidth="1"/>
    <col min="8962" max="8962" width="4.7109375" style="47" bestFit="1" customWidth="1"/>
    <col min="8963" max="8963" width="9.140625" style="47"/>
    <col min="8964" max="8965" width="5.140625" style="47" bestFit="1" customWidth="1"/>
    <col min="8966" max="8966" width="2" style="47" bestFit="1" customWidth="1"/>
    <col min="8967" max="8967" width="25.140625" style="47" customWidth="1"/>
    <col min="8968" max="8972" width="0" style="47" hidden="1" customWidth="1"/>
    <col min="8973" max="8973" width="8.7109375" style="47" bestFit="1" customWidth="1"/>
    <col min="8974" max="8974" width="10.42578125" style="47" customWidth="1"/>
    <col min="8975" max="8979" width="8.7109375" style="47" bestFit="1" customWidth="1"/>
    <col min="8980" max="8980" width="3.42578125" style="47" customWidth="1"/>
    <col min="8981" max="8981" width="4" style="47" customWidth="1"/>
    <col min="8982" max="9216" width="9.140625" style="47"/>
    <col min="9217" max="9217" width="7.28515625" style="47" customWidth="1"/>
    <col min="9218" max="9218" width="4.7109375" style="47" bestFit="1" customWidth="1"/>
    <col min="9219" max="9219" width="9.140625" style="47"/>
    <col min="9220" max="9221" width="5.140625" style="47" bestFit="1" customWidth="1"/>
    <col min="9222" max="9222" width="2" style="47" bestFit="1" customWidth="1"/>
    <col min="9223" max="9223" width="25.140625" style="47" customWidth="1"/>
    <col min="9224" max="9228" width="0" style="47" hidden="1" customWidth="1"/>
    <col min="9229" max="9229" width="8.7109375" style="47" bestFit="1" customWidth="1"/>
    <col min="9230" max="9230" width="10.42578125" style="47" customWidth="1"/>
    <col min="9231" max="9235" width="8.7109375" style="47" bestFit="1" customWidth="1"/>
    <col min="9236" max="9236" width="3.42578125" style="47" customWidth="1"/>
    <col min="9237" max="9237" width="4" style="47" customWidth="1"/>
    <col min="9238" max="9472" width="9.140625" style="47"/>
    <col min="9473" max="9473" width="7.28515625" style="47" customWidth="1"/>
    <col min="9474" max="9474" width="4.7109375" style="47" bestFit="1" customWidth="1"/>
    <col min="9475" max="9475" width="9.140625" style="47"/>
    <col min="9476" max="9477" width="5.140625" style="47" bestFit="1" customWidth="1"/>
    <col min="9478" max="9478" width="2" style="47" bestFit="1" customWidth="1"/>
    <col min="9479" max="9479" width="25.140625" style="47" customWidth="1"/>
    <col min="9480" max="9484" width="0" style="47" hidden="1" customWidth="1"/>
    <col min="9485" max="9485" width="8.7109375" style="47" bestFit="1" customWidth="1"/>
    <col min="9486" max="9486" width="10.42578125" style="47" customWidth="1"/>
    <col min="9487" max="9491" width="8.7109375" style="47" bestFit="1" customWidth="1"/>
    <col min="9492" max="9492" width="3.42578125" style="47" customWidth="1"/>
    <col min="9493" max="9493" width="4" style="47" customWidth="1"/>
    <col min="9494" max="9728" width="9.140625" style="47"/>
    <col min="9729" max="9729" width="7.28515625" style="47" customWidth="1"/>
    <col min="9730" max="9730" width="4.7109375" style="47" bestFit="1" customWidth="1"/>
    <col min="9731" max="9731" width="9.140625" style="47"/>
    <col min="9732" max="9733" width="5.140625" style="47" bestFit="1" customWidth="1"/>
    <col min="9734" max="9734" width="2" style="47" bestFit="1" customWidth="1"/>
    <col min="9735" max="9735" width="25.140625" style="47" customWidth="1"/>
    <col min="9736" max="9740" width="0" style="47" hidden="1" customWidth="1"/>
    <col min="9741" max="9741" width="8.7109375" style="47" bestFit="1" customWidth="1"/>
    <col min="9742" max="9742" width="10.42578125" style="47" customWidth="1"/>
    <col min="9743" max="9747" width="8.7109375" style="47" bestFit="1" customWidth="1"/>
    <col min="9748" max="9748" width="3.42578125" style="47" customWidth="1"/>
    <col min="9749" max="9749" width="4" style="47" customWidth="1"/>
    <col min="9750" max="9984" width="9.140625" style="47"/>
    <col min="9985" max="9985" width="7.28515625" style="47" customWidth="1"/>
    <col min="9986" max="9986" width="4.7109375" style="47" bestFit="1" customWidth="1"/>
    <col min="9987" max="9987" width="9.140625" style="47"/>
    <col min="9988" max="9989" width="5.140625" style="47" bestFit="1" customWidth="1"/>
    <col min="9990" max="9990" width="2" style="47" bestFit="1" customWidth="1"/>
    <col min="9991" max="9991" width="25.140625" style="47" customWidth="1"/>
    <col min="9992" max="9996" width="0" style="47" hidden="1" customWidth="1"/>
    <col min="9997" max="9997" width="8.7109375" style="47" bestFit="1" customWidth="1"/>
    <col min="9998" max="9998" width="10.42578125" style="47" customWidth="1"/>
    <col min="9999" max="10003" width="8.7109375" style="47" bestFit="1" customWidth="1"/>
    <col min="10004" max="10004" width="3.42578125" style="47" customWidth="1"/>
    <col min="10005" max="10005" width="4" style="47" customWidth="1"/>
    <col min="10006" max="10240" width="9.140625" style="47"/>
    <col min="10241" max="10241" width="7.28515625" style="47" customWidth="1"/>
    <col min="10242" max="10242" width="4.7109375" style="47" bestFit="1" customWidth="1"/>
    <col min="10243" max="10243" width="9.140625" style="47"/>
    <col min="10244" max="10245" width="5.140625" style="47" bestFit="1" customWidth="1"/>
    <col min="10246" max="10246" width="2" style="47" bestFit="1" customWidth="1"/>
    <col min="10247" max="10247" width="25.140625" style="47" customWidth="1"/>
    <col min="10248" max="10252" width="0" style="47" hidden="1" customWidth="1"/>
    <col min="10253" max="10253" width="8.7109375" style="47" bestFit="1" customWidth="1"/>
    <col min="10254" max="10254" width="10.42578125" style="47" customWidth="1"/>
    <col min="10255" max="10259" width="8.7109375" style="47" bestFit="1" customWidth="1"/>
    <col min="10260" max="10260" width="3.42578125" style="47" customWidth="1"/>
    <col min="10261" max="10261" width="4" style="47" customWidth="1"/>
    <col min="10262" max="10496" width="9.140625" style="47"/>
    <col min="10497" max="10497" width="7.28515625" style="47" customWidth="1"/>
    <col min="10498" max="10498" width="4.7109375" style="47" bestFit="1" customWidth="1"/>
    <col min="10499" max="10499" width="9.140625" style="47"/>
    <col min="10500" max="10501" width="5.140625" style="47" bestFit="1" customWidth="1"/>
    <col min="10502" max="10502" width="2" style="47" bestFit="1" customWidth="1"/>
    <col min="10503" max="10503" width="25.140625" style="47" customWidth="1"/>
    <col min="10504" max="10508" width="0" style="47" hidden="1" customWidth="1"/>
    <col min="10509" max="10509" width="8.7109375" style="47" bestFit="1" customWidth="1"/>
    <col min="10510" max="10510" width="10.42578125" style="47" customWidth="1"/>
    <col min="10511" max="10515" width="8.7109375" style="47" bestFit="1" customWidth="1"/>
    <col min="10516" max="10516" width="3.42578125" style="47" customWidth="1"/>
    <col min="10517" max="10517" width="4" style="47" customWidth="1"/>
    <col min="10518" max="10752" width="9.140625" style="47"/>
    <col min="10753" max="10753" width="7.28515625" style="47" customWidth="1"/>
    <col min="10754" max="10754" width="4.7109375" style="47" bestFit="1" customWidth="1"/>
    <col min="10755" max="10755" width="9.140625" style="47"/>
    <col min="10756" max="10757" width="5.140625" style="47" bestFit="1" customWidth="1"/>
    <col min="10758" max="10758" width="2" style="47" bestFit="1" customWidth="1"/>
    <col min="10759" max="10759" width="25.140625" style="47" customWidth="1"/>
    <col min="10760" max="10764" width="0" style="47" hidden="1" customWidth="1"/>
    <col min="10765" max="10765" width="8.7109375" style="47" bestFit="1" customWidth="1"/>
    <col min="10766" max="10766" width="10.42578125" style="47" customWidth="1"/>
    <col min="10767" max="10771" width="8.7109375" style="47" bestFit="1" customWidth="1"/>
    <col min="10772" max="10772" width="3.42578125" style="47" customWidth="1"/>
    <col min="10773" max="10773" width="4" style="47" customWidth="1"/>
    <col min="10774" max="11008" width="9.140625" style="47"/>
    <col min="11009" max="11009" width="7.28515625" style="47" customWidth="1"/>
    <col min="11010" max="11010" width="4.7109375" style="47" bestFit="1" customWidth="1"/>
    <col min="11011" max="11011" width="9.140625" style="47"/>
    <col min="11012" max="11013" width="5.140625" style="47" bestFit="1" customWidth="1"/>
    <col min="11014" max="11014" width="2" style="47" bestFit="1" customWidth="1"/>
    <col min="11015" max="11015" width="25.140625" style="47" customWidth="1"/>
    <col min="11016" max="11020" width="0" style="47" hidden="1" customWidth="1"/>
    <col min="11021" max="11021" width="8.7109375" style="47" bestFit="1" customWidth="1"/>
    <col min="11022" max="11022" width="10.42578125" style="47" customWidth="1"/>
    <col min="11023" max="11027" width="8.7109375" style="47" bestFit="1" customWidth="1"/>
    <col min="11028" max="11028" width="3.42578125" style="47" customWidth="1"/>
    <col min="11029" max="11029" width="4" style="47" customWidth="1"/>
    <col min="11030" max="11264" width="9.140625" style="47"/>
    <col min="11265" max="11265" width="7.28515625" style="47" customWidth="1"/>
    <col min="11266" max="11266" width="4.7109375" style="47" bestFit="1" customWidth="1"/>
    <col min="11267" max="11267" width="9.140625" style="47"/>
    <col min="11268" max="11269" width="5.140625" style="47" bestFit="1" customWidth="1"/>
    <col min="11270" max="11270" width="2" style="47" bestFit="1" customWidth="1"/>
    <col min="11271" max="11271" width="25.140625" style="47" customWidth="1"/>
    <col min="11272" max="11276" width="0" style="47" hidden="1" customWidth="1"/>
    <col min="11277" max="11277" width="8.7109375" style="47" bestFit="1" customWidth="1"/>
    <col min="11278" max="11278" width="10.42578125" style="47" customWidth="1"/>
    <col min="11279" max="11283" width="8.7109375" style="47" bestFit="1" customWidth="1"/>
    <col min="11284" max="11284" width="3.42578125" style="47" customWidth="1"/>
    <col min="11285" max="11285" width="4" style="47" customWidth="1"/>
    <col min="11286" max="11520" width="9.140625" style="47"/>
    <col min="11521" max="11521" width="7.28515625" style="47" customWidth="1"/>
    <col min="11522" max="11522" width="4.7109375" style="47" bestFit="1" customWidth="1"/>
    <col min="11523" max="11523" width="9.140625" style="47"/>
    <col min="11524" max="11525" width="5.140625" style="47" bestFit="1" customWidth="1"/>
    <col min="11526" max="11526" width="2" style="47" bestFit="1" customWidth="1"/>
    <col min="11527" max="11527" width="25.140625" style="47" customWidth="1"/>
    <col min="11528" max="11532" width="0" style="47" hidden="1" customWidth="1"/>
    <col min="11533" max="11533" width="8.7109375" style="47" bestFit="1" customWidth="1"/>
    <col min="11534" max="11534" width="10.42578125" style="47" customWidth="1"/>
    <col min="11535" max="11539" width="8.7109375" style="47" bestFit="1" customWidth="1"/>
    <col min="11540" max="11540" width="3.42578125" style="47" customWidth="1"/>
    <col min="11541" max="11541" width="4" style="47" customWidth="1"/>
    <col min="11542" max="11776" width="9.140625" style="47"/>
    <col min="11777" max="11777" width="7.28515625" style="47" customWidth="1"/>
    <col min="11778" max="11778" width="4.7109375" style="47" bestFit="1" customWidth="1"/>
    <col min="11779" max="11779" width="9.140625" style="47"/>
    <col min="11780" max="11781" width="5.140625" style="47" bestFit="1" customWidth="1"/>
    <col min="11782" max="11782" width="2" style="47" bestFit="1" customWidth="1"/>
    <col min="11783" max="11783" width="25.140625" style="47" customWidth="1"/>
    <col min="11784" max="11788" width="0" style="47" hidden="1" customWidth="1"/>
    <col min="11789" max="11789" width="8.7109375" style="47" bestFit="1" customWidth="1"/>
    <col min="11790" max="11790" width="10.42578125" style="47" customWidth="1"/>
    <col min="11791" max="11795" width="8.7109375" style="47" bestFit="1" customWidth="1"/>
    <col min="11796" max="11796" width="3.42578125" style="47" customWidth="1"/>
    <col min="11797" max="11797" width="4" style="47" customWidth="1"/>
    <col min="11798" max="12032" width="9.140625" style="47"/>
    <col min="12033" max="12033" width="7.28515625" style="47" customWidth="1"/>
    <col min="12034" max="12034" width="4.7109375" style="47" bestFit="1" customWidth="1"/>
    <col min="12035" max="12035" width="9.140625" style="47"/>
    <col min="12036" max="12037" width="5.140625" style="47" bestFit="1" customWidth="1"/>
    <col min="12038" max="12038" width="2" style="47" bestFit="1" customWidth="1"/>
    <col min="12039" max="12039" width="25.140625" style="47" customWidth="1"/>
    <col min="12040" max="12044" width="0" style="47" hidden="1" customWidth="1"/>
    <col min="12045" max="12045" width="8.7109375" style="47" bestFit="1" customWidth="1"/>
    <col min="12046" max="12046" width="10.42578125" style="47" customWidth="1"/>
    <col min="12047" max="12051" width="8.7109375" style="47" bestFit="1" customWidth="1"/>
    <col min="12052" max="12052" width="3.42578125" style="47" customWidth="1"/>
    <col min="12053" max="12053" width="4" style="47" customWidth="1"/>
    <col min="12054" max="12288" width="9.140625" style="47"/>
    <col min="12289" max="12289" width="7.28515625" style="47" customWidth="1"/>
    <col min="12290" max="12290" width="4.7109375" style="47" bestFit="1" customWidth="1"/>
    <col min="12291" max="12291" width="9.140625" style="47"/>
    <col min="12292" max="12293" width="5.140625" style="47" bestFit="1" customWidth="1"/>
    <col min="12294" max="12294" width="2" style="47" bestFit="1" customWidth="1"/>
    <col min="12295" max="12295" width="25.140625" style="47" customWidth="1"/>
    <col min="12296" max="12300" width="0" style="47" hidden="1" customWidth="1"/>
    <col min="12301" max="12301" width="8.7109375" style="47" bestFit="1" customWidth="1"/>
    <col min="12302" max="12302" width="10.42578125" style="47" customWidth="1"/>
    <col min="12303" max="12307" width="8.7109375" style="47" bestFit="1" customWidth="1"/>
    <col min="12308" max="12308" width="3.42578125" style="47" customWidth="1"/>
    <col min="12309" max="12309" width="4" style="47" customWidth="1"/>
    <col min="12310" max="12544" width="9.140625" style="47"/>
    <col min="12545" max="12545" width="7.28515625" style="47" customWidth="1"/>
    <col min="12546" max="12546" width="4.7109375" style="47" bestFit="1" customWidth="1"/>
    <col min="12547" max="12547" width="9.140625" style="47"/>
    <col min="12548" max="12549" width="5.140625" style="47" bestFit="1" customWidth="1"/>
    <col min="12550" max="12550" width="2" style="47" bestFit="1" customWidth="1"/>
    <col min="12551" max="12551" width="25.140625" style="47" customWidth="1"/>
    <col min="12552" max="12556" width="0" style="47" hidden="1" customWidth="1"/>
    <col min="12557" max="12557" width="8.7109375" style="47" bestFit="1" customWidth="1"/>
    <col min="12558" max="12558" width="10.42578125" style="47" customWidth="1"/>
    <col min="12559" max="12563" width="8.7109375" style="47" bestFit="1" customWidth="1"/>
    <col min="12564" max="12564" width="3.42578125" style="47" customWidth="1"/>
    <col min="12565" max="12565" width="4" style="47" customWidth="1"/>
    <col min="12566" max="12800" width="9.140625" style="47"/>
    <col min="12801" max="12801" width="7.28515625" style="47" customWidth="1"/>
    <col min="12802" max="12802" width="4.7109375" style="47" bestFit="1" customWidth="1"/>
    <col min="12803" max="12803" width="9.140625" style="47"/>
    <col min="12804" max="12805" width="5.140625" style="47" bestFit="1" customWidth="1"/>
    <col min="12806" max="12806" width="2" style="47" bestFit="1" customWidth="1"/>
    <col min="12807" max="12807" width="25.140625" style="47" customWidth="1"/>
    <col min="12808" max="12812" width="0" style="47" hidden="1" customWidth="1"/>
    <col min="12813" max="12813" width="8.7109375" style="47" bestFit="1" customWidth="1"/>
    <col min="12814" max="12814" width="10.42578125" style="47" customWidth="1"/>
    <col min="12815" max="12819" width="8.7109375" style="47" bestFit="1" customWidth="1"/>
    <col min="12820" max="12820" width="3.42578125" style="47" customWidth="1"/>
    <col min="12821" max="12821" width="4" style="47" customWidth="1"/>
    <col min="12822" max="13056" width="9.140625" style="47"/>
    <col min="13057" max="13057" width="7.28515625" style="47" customWidth="1"/>
    <col min="13058" max="13058" width="4.7109375" style="47" bestFit="1" customWidth="1"/>
    <col min="13059" max="13059" width="9.140625" style="47"/>
    <col min="13060" max="13061" width="5.140625" style="47" bestFit="1" customWidth="1"/>
    <col min="13062" max="13062" width="2" style="47" bestFit="1" customWidth="1"/>
    <col min="13063" max="13063" width="25.140625" style="47" customWidth="1"/>
    <col min="13064" max="13068" width="0" style="47" hidden="1" customWidth="1"/>
    <col min="13069" max="13069" width="8.7109375" style="47" bestFit="1" customWidth="1"/>
    <col min="13070" max="13070" width="10.42578125" style="47" customWidth="1"/>
    <col min="13071" max="13075" width="8.7109375" style="47" bestFit="1" customWidth="1"/>
    <col min="13076" max="13076" width="3.42578125" style="47" customWidth="1"/>
    <col min="13077" max="13077" width="4" style="47" customWidth="1"/>
    <col min="13078" max="13312" width="9.140625" style="47"/>
    <col min="13313" max="13313" width="7.28515625" style="47" customWidth="1"/>
    <col min="13314" max="13314" width="4.7109375" style="47" bestFit="1" customWidth="1"/>
    <col min="13315" max="13315" width="9.140625" style="47"/>
    <col min="13316" max="13317" width="5.140625" style="47" bestFit="1" customWidth="1"/>
    <col min="13318" max="13318" width="2" style="47" bestFit="1" customWidth="1"/>
    <col min="13319" max="13319" width="25.140625" style="47" customWidth="1"/>
    <col min="13320" max="13324" width="0" style="47" hidden="1" customWidth="1"/>
    <col min="13325" max="13325" width="8.7109375" style="47" bestFit="1" customWidth="1"/>
    <col min="13326" max="13326" width="10.42578125" style="47" customWidth="1"/>
    <col min="13327" max="13331" width="8.7109375" style="47" bestFit="1" customWidth="1"/>
    <col min="13332" max="13332" width="3.42578125" style="47" customWidth="1"/>
    <col min="13333" max="13333" width="4" style="47" customWidth="1"/>
    <col min="13334" max="13568" width="9.140625" style="47"/>
    <col min="13569" max="13569" width="7.28515625" style="47" customWidth="1"/>
    <col min="13570" max="13570" width="4.7109375" style="47" bestFit="1" customWidth="1"/>
    <col min="13571" max="13571" width="9.140625" style="47"/>
    <col min="13572" max="13573" width="5.140625" style="47" bestFit="1" customWidth="1"/>
    <col min="13574" max="13574" width="2" style="47" bestFit="1" customWidth="1"/>
    <col min="13575" max="13575" width="25.140625" style="47" customWidth="1"/>
    <col min="13576" max="13580" width="0" style="47" hidden="1" customWidth="1"/>
    <col min="13581" max="13581" width="8.7109375" style="47" bestFit="1" customWidth="1"/>
    <col min="13582" max="13582" width="10.42578125" style="47" customWidth="1"/>
    <col min="13583" max="13587" width="8.7109375" style="47" bestFit="1" customWidth="1"/>
    <col min="13588" max="13588" width="3.42578125" style="47" customWidth="1"/>
    <col min="13589" max="13589" width="4" style="47" customWidth="1"/>
    <col min="13590" max="13824" width="9.140625" style="47"/>
    <col min="13825" max="13825" width="7.28515625" style="47" customWidth="1"/>
    <col min="13826" max="13826" width="4.7109375" style="47" bestFit="1" customWidth="1"/>
    <col min="13827" max="13827" width="9.140625" style="47"/>
    <col min="13828" max="13829" width="5.140625" style="47" bestFit="1" customWidth="1"/>
    <col min="13830" max="13830" width="2" style="47" bestFit="1" customWidth="1"/>
    <col min="13831" max="13831" width="25.140625" style="47" customWidth="1"/>
    <col min="13832" max="13836" width="0" style="47" hidden="1" customWidth="1"/>
    <col min="13837" max="13837" width="8.7109375" style="47" bestFit="1" customWidth="1"/>
    <col min="13838" max="13838" width="10.42578125" style="47" customWidth="1"/>
    <col min="13839" max="13843" width="8.7109375" style="47" bestFit="1" customWidth="1"/>
    <col min="13844" max="13844" width="3.42578125" style="47" customWidth="1"/>
    <col min="13845" max="13845" width="4" style="47" customWidth="1"/>
    <col min="13846" max="14080" width="9.140625" style="47"/>
    <col min="14081" max="14081" width="7.28515625" style="47" customWidth="1"/>
    <col min="14082" max="14082" width="4.7109375" style="47" bestFit="1" customWidth="1"/>
    <col min="14083" max="14083" width="9.140625" style="47"/>
    <col min="14084" max="14085" width="5.140625" style="47" bestFit="1" customWidth="1"/>
    <col min="14086" max="14086" width="2" style="47" bestFit="1" customWidth="1"/>
    <col min="14087" max="14087" width="25.140625" style="47" customWidth="1"/>
    <col min="14088" max="14092" width="0" style="47" hidden="1" customWidth="1"/>
    <col min="14093" max="14093" width="8.7109375" style="47" bestFit="1" customWidth="1"/>
    <col min="14094" max="14094" width="10.42578125" style="47" customWidth="1"/>
    <col min="14095" max="14099" width="8.7109375" style="47" bestFit="1" customWidth="1"/>
    <col min="14100" max="14100" width="3.42578125" style="47" customWidth="1"/>
    <col min="14101" max="14101" width="4" style="47" customWidth="1"/>
    <col min="14102" max="14336" width="9.140625" style="47"/>
    <col min="14337" max="14337" width="7.28515625" style="47" customWidth="1"/>
    <col min="14338" max="14338" width="4.7109375" style="47" bestFit="1" customWidth="1"/>
    <col min="14339" max="14339" width="9.140625" style="47"/>
    <col min="14340" max="14341" width="5.140625" style="47" bestFit="1" customWidth="1"/>
    <col min="14342" max="14342" width="2" style="47" bestFit="1" customWidth="1"/>
    <col min="14343" max="14343" width="25.140625" style="47" customWidth="1"/>
    <col min="14344" max="14348" width="0" style="47" hidden="1" customWidth="1"/>
    <col min="14349" max="14349" width="8.7109375" style="47" bestFit="1" customWidth="1"/>
    <col min="14350" max="14350" width="10.42578125" style="47" customWidth="1"/>
    <col min="14351" max="14355" width="8.7109375" style="47" bestFit="1" customWidth="1"/>
    <col min="14356" max="14356" width="3.42578125" style="47" customWidth="1"/>
    <col min="14357" max="14357" width="4" style="47" customWidth="1"/>
    <col min="14358" max="14592" width="9.140625" style="47"/>
    <col min="14593" max="14593" width="7.28515625" style="47" customWidth="1"/>
    <col min="14594" max="14594" width="4.7109375" style="47" bestFit="1" customWidth="1"/>
    <col min="14595" max="14595" width="9.140625" style="47"/>
    <col min="14596" max="14597" width="5.140625" style="47" bestFit="1" customWidth="1"/>
    <col min="14598" max="14598" width="2" style="47" bestFit="1" customWidth="1"/>
    <col min="14599" max="14599" width="25.140625" style="47" customWidth="1"/>
    <col min="14600" max="14604" width="0" style="47" hidden="1" customWidth="1"/>
    <col min="14605" max="14605" width="8.7109375" style="47" bestFit="1" customWidth="1"/>
    <col min="14606" max="14606" width="10.42578125" style="47" customWidth="1"/>
    <col min="14607" max="14611" width="8.7109375" style="47" bestFit="1" customWidth="1"/>
    <col min="14612" max="14612" width="3.42578125" style="47" customWidth="1"/>
    <col min="14613" max="14613" width="4" style="47" customWidth="1"/>
    <col min="14614" max="14848" width="9.140625" style="47"/>
    <col min="14849" max="14849" width="7.28515625" style="47" customWidth="1"/>
    <col min="14850" max="14850" width="4.7109375" style="47" bestFit="1" customWidth="1"/>
    <col min="14851" max="14851" width="9.140625" style="47"/>
    <col min="14852" max="14853" width="5.140625" style="47" bestFit="1" customWidth="1"/>
    <col min="14854" max="14854" width="2" style="47" bestFit="1" customWidth="1"/>
    <col min="14855" max="14855" width="25.140625" style="47" customWidth="1"/>
    <col min="14856" max="14860" width="0" style="47" hidden="1" customWidth="1"/>
    <col min="14861" max="14861" width="8.7109375" style="47" bestFit="1" customWidth="1"/>
    <col min="14862" max="14862" width="10.42578125" style="47" customWidth="1"/>
    <col min="14863" max="14867" width="8.7109375" style="47" bestFit="1" customWidth="1"/>
    <col min="14868" max="14868" width="3.42578125" style="47" customWidth="1"/>
    <col min="14869" max="14869" width="4" style="47" customWidth="1"/>
    <col min="14870" max="15104" width="9.140625" style="47"/>
    <col min="15105" max="15105" width="7.28515625" style="47" customWidth="1"/>
    <col min="15106" max="15106" width="4.7109375" style="47" bestFit="1" customWidth="1"/>
    <col min="15107" max="15107" width="9.140625" style="47"/>
    <col min="15108" max="15109" width="5.140625" style="47" bestFit="1" customWidth="1"/>
    <col min="15110" max="15110" width="2" style="47" bestFit="1" customWidth="1"/>
    <col min="15111" max="15111" width="25.140625" style="47" customWidth="1"/>
    <col min="15112" max="15116" width="0" style="47" hidden="1" customWidth="1"/>
    <col min="15117" max="15117" width="8.7109375" style="47" bestFit="1" customWidth="1"/>
    <col min="15118" max="15118" width="10.42578125" style="47" customWidth="1"/>
    <col min="15119" max="15123" width="8.7109375" style="47" bestFit="1" customWidth="1"/>
    <col min="15124" max="15124" width="3.42578125" style="47" customWidth="1"/>
    <col min="15125" max="15125" width="4" style="47" customWidth="1"/>
    <col min="15126" max="15360" width="9.140625" style="47"/>
    <col min="15361" max="15361" width="7.28515625" style="47" customWidth="1"/>
    <col min="15362" max="15362" width="4.7109375" style="47" bestFit="1" customWidth="1"/>
    <col min="15363" max="15363" width="9.140625" style="47"/>
    <col min="15364" max="15365" width="5.140625" style="47" bestFit="1" customWidth="1"/>
    <col min="15366" max="15366" width="2" style="47" bestFit="1" customWidth="1"/>
    <col min="15367" max="15367" width="25.140625" style="47" customWidth="1"/>
    <col min="15368" max="15372" width="0" style="47" hidden="1" customWidth="1"/>
    <col min="15373" max="15373" width="8.7109375" style="47" bestFit="1" customWidth="1"/>
    <col min="15374" max="15374" width="10.42578125" style="47" customWidth="1"/>
    <col min="15375" max="15379" width="8.7109375" style="47" bestFit="1" customWidth="1"/>
    <col min="15380" max="15380" width="3.42578125" style="47" customWidth="1"/>
    <col min="15381" max="15381" width="4" style="47" customWidth="1"/>
    <col min="15382" max="15616" width="9.140625" style="47"/>
    <col min="15617" max="15617" width="7.28515625" style="47" customWidth="1"/>
    <col min="15618" max="15618" width="4.7109375" style="47" bestFit="1" customWidth="1"/>
    <col min="15619" max="15619" width="9.140625" style="47"/>
    <col min="15620" max="15621" width="5.140625" style="47" bestFit="1" customWidth="1"/>
    <col min="15622" max="15622" width="2" style="47" bestFit="1" customWidth="1"/>
    <col min="15623" max="15623" width="25.140625" style="47" customWidth="1"/>
    <col min="15624" max="15628" width="0" style="47" hidden="1" customWidth="1"/>
    <col min="15629" max="15629" width="8.7109375" style="47" bestFit="1" customWidth="1"/>
    <col min="15630" max="15630" width="10.42578125" style="47" customWidth="1"/>
    <col min="15631" max="15635" width="8.7109375" style="47" bestFit="1" customWidth="1"/>
    <col min="15636" max="15636" width="3.42578125" style="47" customWidth="1"/>
    <col min="15637" max="15637" width="4" style="47" customWidth="1"/>
    <col min="15638" max="15872" width="9.140625" style="47"/>
    <col min="15873" max="15873" width="7.28515625" style="47" customWidth="1"/>
    <col min="15874" max="15874" width="4.7109375" style="47" bestFit="1" customWidth="1"/>
    <col min="15875" max="15875" width="9.140625" style="47"/>
    <col min="15876" max="15877" width="5.140625" style="47" bestFit="1" customWidth="1"/>
    <col min="15878" max="15878" width="2" style="47" bestFit="1" customWidth="1"/>
    <col min="15879" max="15879" width="25.140625" style="47" customWidth="1"/>
    <col min="15880" max="15884" width="0" style="47" hidden="1" customWidth="1"/>
    <col min="15885" max="15885" width="8.7109375" style="47" bestFit="1" customWidth="1"/>
    <col min="15886" max="15886" width="10.42578125" style="47" customWidth="1"/>
    <col min="15887" max="15891" width="8.7109375" style="47" bestFit="1" customWidth="1"/>
    <col min="15892" max="15892" width="3.42578125" style="47" customWidth="1"/>
    <col min="15893" max="15893" width="4" style="47" customWidth="1"/>
    <col min="15894" max="16128" width="9.140625" style="47"/>
    <col min="16129" max="16129" width="7.28515625" style="47" customWidth="1"/>
    <col min="16130" max="16130" width="4.7109375" style="47" bestFit="1" customWidth="1"/>
    <col min="16131" max="16131" width="9.140625" style="47"/>
    <col min="16132" max="16133" width="5.140625" style="47" bestFit="1" customWidth="1"/>
    <col min="16134" max="16134" width="2" style="47" bestFit="1" customWidth="1"/>
    <col min="16135" max="16135" width="25.140625" style="47" customWidth="1"/>
    <col min="16136" max="16140" width="0" style="47" hidden="1" customWidth="1"/>
    <col min="16141" max="16141" width="8.7109375" style="47" bestFit="1" customWidth="1"/>
    <col min="16142" max="16142" width="10.42578125" style="47" customWidth="1"/>
    <col min="16143" max="16147" width="8.7109375" style="47" bestFit="1" customWidth="1"/>
    <col min="16148" max="16148" width="3.42578125" style="47" customWidth="1"/>
    <col min="16149" max="16149" width="4" style="47" customWidth="1"/>
    <col min="16150" max="16384" width="9.140625" style="47"/>
  </cols>
  <sheetData>
    <row r="1" spans="1:19" x14ac:dyDescent="0.2">
      <c r="A1" s="1"/>
      <c r="B1" s="2"/>
      <c r="C1" s="3"/>
      <c r="D1" s="3"/>
      <c r="E1" s="1"/>
      <c r="F1" s="1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</row>
    <row r="2" spans="1:19" x14ac:dyDescent="0.2">
      <c r="A2" s="3" t="s">
        <v>0</v>
      </c>
      <c r="B2" s="5" t="s">
        <v>1</v>
      </c>
      <c r="C2" s="3" t="s">
        <v>2</v>
      </c>
      <c r="D2" s="3"/>
      <c r="E2" s="1" t="s">
        <v>3</v>
      </c>
      <c r="F2" s="1"/>
      <c r="G2" s="185" t="s">
        <v>569</v>
      </c>
      <c r="H2" s="50"/>
      <c r="I2" s="51"/>
      <c r="J2" s="51"/>
      <c r="K2" s="50"/>
      <c r="L2" s="52"/>
      <c r="M2" s="71" t="s">
        <v>366</v>
      </c>
      <c r="N2" s="122" t="s">
        <v>570</v>
      </c>
      <c r="O2" s="72"/>
      <c r="P2" s="72"/>
      <c r="Q2" s="72"/>
      <c r="R2" s="73"/>
    </row>
    <row r="3" spans="1:19" x14ac:dyDescent="0.2">
      <c r="A3" s="1"/>
      <c r="B3" s="6"/>
      <c r="C3" s="3"/>
      <c r="D3" s="3"/>
      <c r="E3" s="1"/>
      <c r="F3" s="1"/>
      <c r="G3" s="53" t="s">
        <v>4</v>
      </c>
      <c r="H3" s="602">
        <v>40908</v>
      </c>
      <c r="I3" s="602">
        <v>41274</v>
      </c>
      <c r="J3" s="602">
        <v>41639</v>
      </c>
      <c r="K3" s="602">
        <v>42004</v>
      </c>
      <c r="L3" s="54">
        <v>42369</v>
      </c>
      <c r="M3" s="54">
        <v>42735</v>
      </c>
      <c r="N3" s="54">
        <v>43100</v>
      </c>
      <c r="O3" s="54">
        <v>43465</v>
      </c>
      <c r="P3" s="54">
        <v>43830</v>
      </c>
      <c r="Q3" s="54">
        <v>44196</v>
      </c>
      <c r="R3" s="54">
        <v>44561</v>
      </c>
      <c r="S3" s="54">
        <v>44926</v>
      </c>
    </row>
    <row r="4" spans="1:19" x14ac:dyDescent="0.2">
      <c r="A4" s="7"/>
      <c r="B4" s="2" t="s">
        <v>5</v>
      </c>
      <c r="C4" s="3">
        <v>1</v>
      </c>
      <c r="D4" s="3"/>
      <c r="E4" s="5"/>
      <c r="F4" s="7"/>
      <c r="G4" s="55" t="s">
        <v>6</v>
      </c>
      <c r="H4" s="75">
        <f t="shared" ref="H4:S4" si="0">H5+H10</f>
        <v>0</v>
      </c>
      <c r="I4" s="75">
        <f t="shared" si="0"/>
        <v>0</v>
      </c>
      <c r="J4" s="75">
        <f t="shared" si="0"/>
        <v>0</v>
      </c>
      <c r="K4" s="75">
        <f t="shared" si="0"/>
        <v>0</v>
      </c>
      <c r="L4" s="56">
        <f t="shared" si="0"/>
        <v>246.47499999999999</v>
      </c>
      <c r="M4" s="56">
        <f t="shared" si="0"/>
        <v>167.024</v>
      </c>
      <c r="N4" s="56">
        <f t="shared" si="0"/>
        <v>152.238</v>
      </c>
      <c r="O4" s="56">
        <f t="shared" si="0"/>
        <v>148</v>
      </c>
      <c r="P4" s="56">
        <f t="shared" si="0"/>
        <v>146</v>
      </c>
      <c r="Q4" s="56">
        <f t="shared" si="0"/>
        <v>150</v>
      </c>
      <c r="R4" s="56">
        <f t="shared" si="0"/>
        <v>153</v>
      </c>
      <c r="S4" s="56">
        <f t="shared" si="0"/>
        <v>156</v>
      </c>
    </row>
    <row r="5" spans="1:19" x14ac:dyDescent="0.2">
      <c r="A5" s="8"/>
      <c r="B5" s="2" t="s">
        <v>7</v>
      </c>
      <c r="C5" s="3">
        <v>10</v>
      </c>
      <c r="D5" s="3"/>
      <c r="E5" s="9"/>
      <c r="G5" s="57" t="s">
        <v>8</v>
      </c>
      <c r="H5" s="75">
        <f t="shared" ref="H5:R5" si="1">SUM(H6:H9)</f>
        <v>0</v>
      </c>
      <c r="I5" s="75">
        <f t="shared" si="1"/>
        <v>0</v>
      </c>
      <c r="J5" s="75">
        <f t="shared" si="1"/>
        <v>0</v>
      </c>
      <c r="K5" s="75">
        <f t="shared" si="1"/>
        <v>0</v>
      </c>
      <c r="L5" s="56">
        <f t="shared" si="1"/>
        <v>65.94</v>
      </c>
      <c r="M5" s="56">
        <f t="shared" si="1"/>
        <v>84.242999999999995</v>
      </c>
      <c r="N5" s="56">
        <f t="shared" si="1"/>
        <v>84.641000000000005</v>
      </c>
      <c r="O5" s="56">
        <f t="shared" si="1"/>
        <v>84</v>
      </c>
      <c r="P5" s="56">
        <f t="shared" si="1"/>
        <v>86</v>
      </c>
      <c r="Q5" s="56">
        <f t="shared" si="1"/>
        <v>94</v>
      </c>
      <c r="R5" s="56">
        <f t="shared" si="1"/>
        <v>101</v>
      </c>
      <c r="S5" s="56">
        <f>SUM(S6:S9)</f>
        <v>103</v>
      </c>
    </row>
    <row r="6" spans="1:19" ht="12" x14ac:dyDescent="0.2">
      <c r="A6" s="8"/>
      <c r="B6" s="2" t="s">
        <v>9</v>
      </c>
      <c r="C6" s="10" t="s">
        <v>10</v>
      </c>
      <c r="D6" s="10"/>
      <c r="E6" s="11" t="s">
        <v>11</v>
      </c>
      <c r="G6" s="57" t="s">
        <v>12</v>
      </c>
      <c r="H6" s="75">
        <v>0</v>
      </c>
      <c r="I6" s="75">
        <v>0</v>
      </c>
      <c r="J6" s="75">
        <v>0</v>
      </c>
      <c r="K6" s="75">
        <v>0</v>
      </c>
      <c r="L6" s="58">
        <v>44.189</v>
      </c>
      <c r="M6" s="58">
        <v>66.673000000000002</v>
      </c>
      <c r="N6" s="76">
        <v>58.935000000000002</v>
      </c>
      <c r="O6" s="76">
        <v>61</v>
      </c>
      <c r="P6" s="76">
        <v>63</v>
      </c>
      <c r="Q6" s="76">
        <v>65</v>
      </c>
      <c r="R6" s="76">
        <v>67</v>
      </c>
      <c r="S6" s="58">
        <v>69</v>
      </c>
    </row>
    <row r="7" spans="1:19" ht="12" x14ac:dyDescent="0.2">
      <c r="A7" s="8"/>
      <c r="B7" s="2" t="s">
        <v>13</v>
      </c>
      <c r="C7" s="10" t="s">
        <v>14</v>
      </c>
      <c r="D7" s="10"/>
      <c r="E7" s="11" t="s">
        <v>11</v>
      </c>
      <c r="G7" s="57" t="s">
        <v>15</v>
      </c>
      <c r="H7" s="75">
        <v>0</v>
      </c>
      <c r="I7" s="75">
        <v>0</v>
      </c>
      <c r="J7" s="75">
        <v>0</v>
      </c>
      <c r="K7" s="75">
        <v>0</v>
      </c>
      <c r="L7" s="58">
        <v>17.798999999999999</v>
      </c>
      <c r="M7" s="58">
        <v>14.791</v>
      </c>
      <c r="N7" s="76">
        <v>21.765000000000001</v>
      </c>
      <c r="O7" s="76">
        <v>20</v>
      </c>
      <c r="P7" s="76">
        <v>20</v>
      </c>
      <c r="Q7" s="76">
        <v>25</v>
      </c>
      <c r="R7" s="76">
        <v>30</v>
      </c>
      <c r="S7" s="58">
        <v>30</v>
      </c>
    </row>
    <row r="8" spans="1:19" ht="12" x14ac:dyDescent="0.2">
      <c r="A8" s="8"/>
      <c r="B8" s="2" t="s">
        <v>16</v>
      </c>
      <c r="C8" s="10" t="s">
        <v>17</v>
      </c>
      <c r="D8" s="10"/>
      <c r="E8" s="11" t="s">
        <v>11</v>
      </c>
      <c r="G8" s="57" t="s">
        <v>18</v>
      </c>
      <c r="H8" s="75">
        <v>0</v>
      </c>
      <c r="I8" s="75">
        <v>0</v>
      </c>
      <c r="J8" s="75">
        <v>0</v>
      </c>
      <c r="K8" s="75">
        <v>0</v>
      </c>
      <c r="L8" s="58">
        <v>0</v>
      </c>
      <c r="M8" s="58">
        <v>0</v>
      </c>
      <c r="N8" s="76">
        <v>0</v>
      </c>
      <c r="O8" s="76">
        <v>0</v>
      </c>
      <c r="P8" s="76">
        <v>0</v>
      </c>
      <c r="Q8" s="76">
        <v>0</v>
      </c>
      <c r="R8" s="76">
        <v>0</v>
      </c>
      <c r="S8" s="58">
        <v>0</v>
      </c>
    </row>
    <row r="9" spans="1:19" x14ac:dyDescent="0.2">
      <c r="A9" s="8"/>
      <c r="B9" s="2" t="s">
        <v>19</v>
      </c>
      <c r="C9" s="10">
        <v>108</v>
      </c>
      <c r="D9" s="10"/>
      <c r="E9" s="12"/>
      <c r="G9" s="57" t="s">
        <v>20</v>
      </c>
      <c r="H9" s="75">
        <v>0</v>
      </c>
      <c r="I9" s="75">
        <v>0</v>
      </c>
      <c r="J9" s="75">
        <v>0</v>
      </c>
      <c r="K9" s="75">
        <v>0</v>
      </c>
      <c r="L9" s="58">
        <v>3.952</v>
      </c>
      <c r="M9" s="58">
        <v>2.7789999999999999</v>
      </c>
      <c r="N9" s="76">
        <v>3.9409999999999998</v>
      </c>
      <c r="O9" s="76">
        <v>3</v>
      </c>
      <c r="P9" s="76">
        <v>3</v>
      </c>
      <c r="Q9" s="76">
        <v>4</v>
      </c>
      <c r="R9" s="76">
        <v>4</v>
      </c>
      <c r="S9" s="58">
        <v>4</v>
      </c>
    </row>
    <row r="10" spans="1:19" x14ac:dyDescent="0.2">
      <c r="A10" s="13"/>
      <c r="B10" s="2" t="s">
        <v>21</v>
      </c>
      <c r="C10" s="14">
        <v>15</v>
      </c>
      <c r="D10" s="14"/>
      <c r="E10" s="12"/>
      <c r="F10" s="13"/>
      <c r="G10" s="57" t="s">
        <v>22</v>
      </c>
      <c r="H10" s="75">
        <f t="shared" ref="H10:S10" si="2">SUM(H11:H16)</f>
        <v>0</v>
      </c>
      <c r="I10" s="75">
        <f t="shared" si="2"/>
        <v>0</v>
      </c>
      <c r="J10" s="75">
        <f t="shared" si="2"/>
        <v>0</v>
      </c>
      <c r="K10" s="75">
        <f t="shared" si="2"/>
        <v>0</v>
      </c>
      <c r="L10" s="56">
        <f t="shared" si="2"/>
        <v>180.535</v>
      </c>
      <c r="M10" s="56">
        <f t="shared" si="2"/>
        <v>82.781000000000006</v>
      </c>
      <c r="N10" s="77">
        <f t="shared" si="2"/>
        <v>67.596999999999994</v>
      </c>
      <c r="O10" s="77">
        <f t="shared" si="2"/>
        <v>64</v>
      </c>
      <c r="P10" s="77">
        <f t="shared" si="2"/>
        <v>60</v>
      </c>
      <c r="Q10" s="77">
        <f t="shared" si="2"/>
        <v>56</v>
      </c>
      <c r="R10" s="77">
        <f t="shared" si="2"/>
        <v>52</v>
      </c>
      <c r="S10" s="56">
        <f t="shared" si="2"/>
        <v>53</v>
      </c>
    </row>
    <row r="11" spans="1:19" ht="12" x14ac:dyDescent="0.2">
      <c r="A11" s="13"/>
      <c r="B11" s="2" t="s">
        <v>23</v>
      </c>
      <c r="C11" s="14">
        <v>150</v>
      </c>
      <c r="D11" s="14"/>
      <c r="E11" s="11" t="s">
        <v>11</v>
      </c>
      <c r="F11" s="13"/>
      <c r="G11" s="57" t="s">
        <v>24</v>
      </c>
      <c r="H11" s="75">
        <v>0</v>
      </c>
      <c r="I11" s="75">
        <v>0</v>
      </c>
      <c r="J11" s="75">
        <v>0</v>
      </c>
      <c r="K11" s="75">
        <v>0</v>
      </c>
      <c r="L11" s="58">
        <v>0</v>
      </c>
      <c r="M11" s="58">
        <v>0</v>
      </c>
      <c r="N11" s="76">
        <v>0</v>
      </c>
      <c r="O11" s="76">
        <v>0</v>
      </c>
      <c r="P11" s="76">
        <v>0</v>
      </c>
      <c r="Q11" s="76">
        <v>0</v>
      </c>
      <c r="R11" s="76">
        <v>0</v>
      </c>
      <c r="S11" s="58">
        <v>0</v>
      </c>
    </row>
    <row r="12" spans="1:19" ht="12" x14ac:dyDescent="0.2">
      <c r="A12" s="13"/>
      <c r="B12" s="2" t="s">
        <v>25</v>
      </c>
      <c r="C12" s="14">
        <v>151</v>
      </c>
      <c r="D12" s="14"/>
      <c r="E12" s="11" t="s">
        <v>11</v>
      </c>
      <c r="F12" s="13"/>
      <c r="G12" s="57" t="s">
        <v>26</v>
      </c>
      <c r="H12" s="75">
        <v>0</v>
      </c>
      <c r="I12" s="75">
        <v>0</v>
      </c>
      <c r="J12" s="75">
        <v>0</v>
      </c>
      <c r="K12" s="75">
        <v>0</v>
      </c>
      <c r="L12" s="58">
        <v>0</v>
      </c>
      <c r="M12" s="58">
        <v>0</v>
      </c>
      <c r="N12" s="76">
        <v>0</v>
      </c>
      <c r="O12" s="76">
        <v>0</v>
      </c>
      <c r="P12" s="76">
        <v>0</v>
      </c>
      <c r="Q12" s="76">
        <v>0</v>
      </c>
      <c r="R12" s="76">
        <v>0</v>
      </c>
      <c r="S12" s="58">
        <v>0</v>
      </c>
    </row>
    <row r="13" spans="1:19" ht="12" x14ac:dyDescent="0.2">
      <c r="A13" s="8"/>
      <c r="B13" s="2" t="s">
        <v>27</v>
      </c>
      <c r="C13" s="10" t="s">
        <v>28</v>
      </c>
      <c r="D13" s="10"/>
      <c r="E13" s="11" t="s">
        <v>11</v>
      </c>
      <c r="G13" s="57" t="s">
        <v>29</v>
      </c>
      <c r="H13" s="75">
        <v>0</v>
      </c>
      <c r="I13" s="75">
        <v>0</v>
      </c>
      <c r="J13" s="75">
        <v>0</v>
      </c>
      <c r="K13" s="75">
        <v>0</v>
      </c>
      <c r="L13" s="58">
        <v>0</v>
      </c>
      <c r="M13" s="58">
        <v>0</v>
      </c>
      <c r="N13" s="76">
        <v>0</v>
      </c>
      <c r="O13" s="76">
        <v>0</v>
      </c>
      <c r="P13" s="76">
        <v>0</v>
      </c>
      <c r="Q13" s="76">
        <v>0</v>
      </c>
      <c r="R13" s="76">
        <v>0</v>
      </c>
      <c r="S13" s="58">
        <v>0</v>
      </c>
    </row>
    <row r="14" spans="1:19" ht="12" x14ac:dyDescent="0.2">
      <c r="A14" s="8"/>
      <c r="B14" s="2" t="s">
        <v>30</v>
      </c>
      <c r="C14" s="10">
        <v>154</v>
      </c>
      <c r="D14" s="10"/>
      <c r="E14" s="11" t="s">
        <v>11</v>
      </c>
      <c r="G14" s="57" t="s">
        <v>31</v>
      </c>
      <c r="H14" s="75">
        <v>0</v>
      </c>
      <c r="I14" s="75">
        <v>0</v>
      </c>
      <c r="J14" s="75">
        <v>0</v>
      </c>
      <c r="K14" s="75">
        <v>0</v>
      </c>
      <c r="L14" s="58">
        <v>0</v>
      </c>
      <c r="M14" s="58">
        <v>0</v>
      </c>
      <c r="N14" s="76">
        <v>0</v>
      </c>
      <c r="O14" s="76">
        <v>0</v>
      </c>
      <c r="P14" s="76">
        <v>0</v>
      </c>
      <c r="Q14" s="76">
        <v>0</v>
      </c>
      <c r="R14" s="76">
        <v>0</v>
      </c>
      <c r="S14" s="58">
        <v>0</v>
      </c>
    </row>
    <row r="15" spans="1:19" ht="12" x14ac:dyDescent="0.2">
      <c r="A15" s="8"/>
      <c r="B15" s="2" t="s">
        <v>32</v>
      </c>
      <c r="C15" s="10" t="s">
        <v>33</v>
      </c>
      <c r="D15" s="10"/>
      <c r="E15" s="11" t="s">
        <v>11</v>
      </c>
      <c r="G15" s="57" t="s">
        <v>34</v>
      </c>
      <c r="H15" s="75">
        <v>0</v>
      </c>
      <c r="I15" s="75">
        <v>0</v>
      </c>
      <c r="J15" s="75">
        <v>0</v>
      </c>
      <c r="K15" s="75">
        <v>0</v>
      </c>
      <c r="L15" s="58">
        <v>180.535</v>
      </c>
      <c r="M15" s="58">
        <v>82.781000000000006</v>
      </c>
      <c r="N15" s="76">
        <v>67.596999999999994</v>
      </c>
      <c r="O15" s="76">
        <v>64</v>
      </c>
      <c r="P15" s="76">
        <v>60</v>
      </c>
      <c r="Q15" s="76">
        <v>56</v>
      </c>
      <c r="R15" s="76">
        <v>52</v>
      </c>
      <c r="S15" s="58">
        <v>53</v>
      </c>
    </row>
    <row r="16" spans="1:19" ht="12" x14ac:dyDescent="0.2">
      <c r="A16" s="8"/>
      <c r="B16" s="2" t="s">
        <v>35</v>
      </c>
      <c r="C16" s="10">
        <v>157</v>
      </c>
      <c r="D16" s="10"/>
      <c r="E16" s="11" t="s">
        <v>11</v>
      </c>
      <c r="G16" s="57" t="s">
        <v>36</v>
      </c>
      <c r="H16" s="75">
        <v>0</v>
      </c>
      <c r="I16" s="75">
        <v>0</v>
      </c>
      <c r="J16" s="75">
        <v>0</v>
      </c>
      <c r="K16" s="75">
        <v>0</v>
      </c>
      <c r="L16" s="58">
        <v>0</v>
      </c>
      <c r="M16" s="58">
        <v>0</v>
      </c>
      <c r="N16" s="76">
        <v>0</v>
      </c>
      <c r="O16" s="76">
        <v>0</v>
      </c>
      <c r="P16" s="76">
        <v>0</v>
      </c>
      <c r="Q16" s="76">
        <v>0</v>
      </c>
      <c r="R16" s="76">
        <v>0</v>
      </c>
      <c r="S16" s="58">
        <v>0</v>
      </c>
    </row>
    <row r="17" spans="1:19" ht="12" x14ac:dyDescent="0.2">
      <c r="A17" s="15"/>
      <c r="B17" s="2" t="s">
        <v>37</v>
      </c>
      <c r="C17" s="78" t="s">
        <v>38</v>
      </c>
      <c r="D17" s="15"/>
      <c r="E17" s="11" t="s">
        <v>11</v>
      </c>
      <c r="F17" s="16"/>
      <c r="G17" s="59" t="s">
        <v>39</v>
      </c>
      <c r="H17" s="79">
        <v>0</v>
      </c>
      <c r="I17" s="79">
        <v>0</v>
      </c>
      <c r="J17" s="79">
        <v>0</v>
      </c>
      <c r="K17" s="79">
        <v>0</v>
      </c>
      <c r="L17" s="60">
        <v>0</v>
      </c>
      <c r="M17" s="60">
        <v>0</v>
      </c>
      <c r="N17" s="80">
        <v>0</v>
      </c>
      <c r="O17" s="80">
        <v>0</v>
      </c>
      <c r="P17" s="80">
        <v>0</v>
      </c>
      <c r="Q17" s="80">
        <v>0</v>
      </c>
      <c r="R17" s="80">
        <v>0</v>
      </c>
      <c r="S17" s="60">
        <v>0</v>
      </c>
    </row>
    <row r="18" spans="1:19" x14ac:dyDescent="0.2">
      <c r="A18" s="8"/>
      <c r="B18" s="2" t="s">
        <v>40</v>
      </c>
      <c r="C18" s="10">
        <v>2</v>
      </c>
      <c r="D18" s="10"/>
      <c r="E18" s="12"/>
      <c r="G18" s="57" t="s">
        <v>41</v>
      </c>
      <c r="H18" s="75">
        <f t="shared" ref="H18:S18" si="3">H19+H27</f>
        <v>0</v>
      </c>
      <c r="I18" s="75">
        <f t="shared" si="3"/>
        <v>0</v>
      </c>
      <c r="J18" s="75">
        <f t="shared" si="3"/>
        <v>0</v>
      </c>
      <c r="K18" s="75">
        <f t="shared" si="3"/>
        <v>0</v>
      </c>
      <c r="L18" s="56">
        <f t="shared" si="3"/>
        <v>246.47400000000002</v>
      </c>
      <c r="M18" s="56">
        <f t="shared" si="3"/>
        <v>167.024</v>
      </c>
      <c r="N18" s="77">
        <f t="shared" si="3"/>
        <v>152.239</v>
      </c>
      <c r="O18" s="77">
        <f t="shared" si="3"/>
        <v>147.72</v>
      </c>
      <c r="P18" s="77">
        <f t="shared" si="3"/>
        <v>146</v>
      </c>
      <c r="Q18" s="77">
        <f t="shared" si="3"/>
        <v>150</v>
      </c>
      <c r="R18" s="77">
        <f t="shared" si="3"/>
        <v>153</v>
      </c>
      <c r="S18" s="56">
        <f t="shared" si="3"/>
        <v>156</v>
      </c>
    </row>
    <row r="19" spans="1:19" x14ac:dyDescent="0.2">
      <c r="A19" s="8"/>
      <c r="B19" s="2" t="s">
        <v>42</v>
      </c>
      <c r="C19" s="10" t="s">
        <v>43</v>
      </c>
      <c r="D19" s="10"/>
      <c r="E19" s="12"/>
      <c r="G19" s="57" t="s">
        <v>44</v>
      </c>
      <c r="H19" s="75">
        <f t="shared" ref="H19:S19" si="4">SUM(H21:H26)</f>
        <v>0</v>
      </c>
      <c r="I19" s="75">
        <f t="shared" si="4"/>
        <v>0</v>
      </c>
      <c r="J19" s="75">
        <f t="shared" si="4"/>
        <v>0</v>
      </c>
      <c r="K19" s="75">
        <f t="shared" si="4"/>
        <v>0</v>
      </c>
      <c r="L19" s="56">
        <f t="shared" si="4"/>
        <v>24.25</v>
      </c>
      <c r="M19" s="56">
        <f t="shared" si="4"/>
        <v>41.45</v>
      </c>
      <c r="N19" s="77">
        <f t="shared" si="4"/>
        <v>41.058</v>
      </c>
      <c r="O19" s="77">
        <f t="shared" si="4"/>
        <v>28</v>
      </c>
      <c r="P19" s="77">
        <f t="shared" si="4"/>
        <v>20</v>
      </c>
      <c r="Q19" s="77">
        <f t="shared" si="4"/>
        <v>19</v>
      </c>
      <c r="R19" s="77">
        <f t="shared" si="4"/>
        <v>19</v>
      </c>
      <c r="S19" s="56">
        <f t="shared" si="4"/>
        <v>19</v>
      </c>
    </row>
    <row r="20" spans="1:19" ht="12" x14ac:dyDescent="0.2">
      <c r="A20" s="17"/>
      <c r="B20" s="2" t="s">
        <v>45</v>
      </c>
      <c r="C20" s="78" t="s">
        <v>46</v>
      </c>
      <c r="D20" s="15"/>
      <c r="E20" s="11" t="s">
        <v>11</v>
      </c>
      <c r="F20" s="17"/>
      <c r="G20" s="59" t="s">
        <v>47</v>
      </c>
      <c r="H20" s="81">
        <v>0</v>
      </c>
      <c r="I20" s="81">
        <v>0</v>
      </c>
      <c r="J20" s="81">
        <v>0</v>
      </c>
      <c r="K20" s="81">
        <v>0</v>
      </c>
      <c r="L20" s="61">
        <v>24.25</v>
      </c>
      <c r="M20" s="61">
        <v>41.45</v>
      </c>
      <c r="N20" s="82">
        <v>38.576999999999998</v>
      </c>
      <c r="O20" s="82">
        <v>28</v>
      </c>
      <c r="P20" s="82">
        <v>20</v>
      </c>
      <c r="Q20" s="82">
        <v>19</v>
      </c>
      <c r="R20" s="82">
        <v>19</v>
      </c>
      <c r="S20" s="61">
        <v>19</v>
      </c>
    </row>
    <row r="21" spans="1:19" ht="12" x14ac:dyDescent="0.2">
      <c r="A21" s="8"/>
      <c r="B21" s="2" t="s">
        <v>48</v>
      </c>
      <c r="C21" s="18" t="s">
        <v>49</v>
      </c>
      <c r="D21" s="18"/>
      <c r="E21" s="11" t="s">
        <v>11</v>
      </c>
      <c r="G21" s="57" t="s">
        <v>50</v>
      </c>
      <c r="H21" s="75">
        <v>0</v>
      </c>
      <c r="I21" s="75">
        <v>0</v>
      </c>
      <c r="J21" s="75">
        <v>0</v>
      </c>
      <c r="K21" s="75">
        <v>0</v>
      </c>
      <c r="L21" s="58">
        <v>24.25</v>
      </c>
      <c r="M21" s="58">
        <v>41.45</v>
      </c>
      <c r="N21" s="76">
        <v>41.058</v>
      </c>
      <c r="O21" s="76">
        <v>28</v>
      </c>
      <c r="P21" s="76">
        <v>20</v>
      </c>
      <c r="Q21" s="76">
        <v>19</v>
      </c>
      <c r="R21" s="76">
        <v>19</v>
      </c>
      <c r="S21" s="58">
        <v>19</v>
      </c>
    </row>
    <row r="22" spans="1:19" ht="12" x14ac:dyDescent="0.2">
      <c r="A22" s="8"/>
      <c r="B22" s="2" t="s">
        <v>51</v>
      </c>
      <c r="C22" s="10" t="s">
        <v>52</v>
      </c>
      <c r="D22" s="10"/>
      <c r="E22" s="11" t="s">
        <v>11</v>
      </c>
      <c r="G22" s="57" t="s">
        <v>53</v>
      </c>
      <c r="H22" s="75">
        <v>0</v>
      </c>
      <c r="I22" s="75">
        <v>0</v>
      </c>
      <c r="J22" s="75">
        <v>0</v>
      </c>
      <c r="K22" s="75">
        <v>0</v>
      </c>
      <c r="L22" s="58">
        <v>0</v>
      </c>
      <c r="M22" s="58">
        <v>0</v>
      </c>
      <c r="N22" s="76">
        <v>0</v>
      </c>
      <c r="O22" s="76">
        <v>0</v>
      </c>
      <c r="P22" s="76">
        <v>0</v>
      </c>
      <c r="Q22" s="76">
        <v>0</v>
      </c>
      <c r="R22" s="76">
        <v>0</v>
      </c>
      <c r="S22" s="58">
        <v>0</v>
      </c>
    </row>
    <row r="23" spans="1:19" ht="12" x14ac:dyDescent="0.2">
      <c r="A23" s="8"/>
      <c r="B23" s="2" t="s">
        <v>54</v>
      </c>
      <c r="C23" s="10">
        <v>257</v>
      </c>
      <c r="D23" s="10"/>
      <c r="E23" s="11" t="s">
        <v>11</v>
      </c>
      <c r="G23" s="57" t="s">
        <v>55</v>
      </c>
      <c r="H23" s="75">
        <v>0</v>
      </c>
      <c r="I23" s="75">
        <v>0</v>
      </c>
      <c r="J23" s="75">
        <v>0</v>
      </c>
      <c r="K23" s="75">
        <v>0</v>
      </c>
      <c r="L23" s="58">
        <v>0</v>
      </c>
      <c r="M23" s="58">
        <v>0</v>
      </c>
      <c r="N23" s="76">
        <v>0</v>
      </c>
      <c r="O23" s="76">
        <v>0</v>
      </c>
      <c r="P23" s="76">
        <v>0</v>
      </c>
      <c r="Q23" s="76">
        <v>0</v>
      </c>
      <c r="R23" s="76">
        <v>0</v>
      </c>
      <c r="S23" s="58">
        <v>0</v>
      </c>
    </row>
    <row r="24" spans="1:19" ht="12" x14ac:dyDescent="0.2">
      <c r="A24" s="19"/>
      <c r="B24" s="2" t="s">
        <v>56</v>
      </c>
      <c r="C24" s="10" t="s">
        <v>57</v>
      </c>
      <c r="D24" s="10"/>
      <c r="E24" s="11" t="s">
        <v>11</v>
      </c>
      <c r="F24" s="19"/>
      <c r="G24" s="57" t="s">
        <v>58</v>
      </c>
      <c r="H24" s="75">
        <v>0</v>
      </c>
      <c r="I24" s="75">
        <v>0</v>
      </c>
      <c r="J24" s="75">
        <v>0</v>
      </c>
      <c r="K24" s="75">
        <v>0</v>
      </c>
      <c r="L24" s="58">
        <v>0</v>
      </c>
      <c r="M24" s="58">
        <v>0</v>
      </c>
      <c r="N24" s="76">
        <v>0</v>
      </c>
      <c r="O24" s="76">
        <v>0</v>
      </c>
      <c r="P24" s="76">
        <v>0</v>
      </c>
      <c r="Q24" s="76">
        <v>0</v>
      </c>
      <c r="R24" s="76">
        <v>0</v>
      </c>
      <c r="S24" s="58">
        <v>0</v>
      </c>
    </row>
    <row r="25" spans="1:19" ht="12" x14ac:dyDescent="0.2">
      <c r="A25" s="19"/>
      <c r="B25" s="2" t="s">
        <v>59</v>
      </c>
      <c r="C25" s="10" t="s">
        <v>60</v>
      </c>
      <c r="D25" s="10"/>
      <c r="E25" s="11" t="s">
        <v>11</v>
      </c>
      <c r="F25" s="19"/>
      <c r="G25" s="57" t="s">
        <v>61</v>
      </c>
      <c r="H25" s="75">
        <v>0</v>
      </c>
      <c r="I25" s="75">
        <v>0</v>
      </c>
      <c r="J25" s="75">
        <v>0</v>
      </c>
      <c r="K25" s="75">
        <v>0</v>
      </c>
      <c r="L25" s="58">
        <v>0</v>
      </c>
      <c r="M25" s="58">
        <v>0</v>
      </c>
      <c r="N25" s="76">
        <v>0</v>
      </c>
      <c r="O25" s="76">
        <v>0</v>
      </c>
      <c r="P25" s="76">
        <v>0</v>
      </c>
      <c r="Q25" s="76">
        <v>0</v>
      </c>
      <c r="R25" s="76">
        <v>0</v>
      </c>
      <c r="S25" s="58">
        <v>0</v>
      </c>
    </row>
    <row r="26" spans="1:19" ht="12" x14ac:dyDescent="0.2">
      <c r="A26" s="8"/>
      <c r="B26" s="2" t="s">
        <v>62</v>
      </c>
      <c r="C26" s="10">
        <v>28</v>
      </c>
      <c r="D26" s="10"/>
      <c r="E26" s="11" t="s">
        <v>11</v>
      </c>
      <c r="G26" s="57" t="s">
        <v>63</v>
      </c>
      <c r="H26" s="75">
        <v>0</v>
      </c>
      <c r="I26" s="75">
        <v>0</v>
      </c>
      <c r="J26" s="75">
        <v>0</v>
      </c>
      <c r="K26" s="75">
        <v>0</v>
      </c>
      <c r="L26" s="58">
        <v>0</v>
      </c>
      <c r="M26" s="58">
        <v>0</v>
      </c>
      <c r="N26" s="76">
        <v>0</v>
      </c>
      <c r="O26" s="76">
        <v>0</v>
      </c>
      <c r="P26" s="76">
        <v>0</v>
      </c>
      <c r="Q26" s="76">
        <v>0</v>
      </c>
      <c r="R26" s="76">
        <v>0</v>
      </c>
      <c r="S26" s="58">
        <v>0</v>
      </c>
    </row>
    <row r="27" spans="1:19" x14ac:dyDescent="0.2">
      <c r="A27" s="8"/>
      <c r="B27" s="2" t="s">
        <v>64</v>
      </c>
      <c r="C27" s="10">
        <v>29</v>
      </c>
      <c r="D27" s="10"/>
      <c r="E27" s="12"/>
      <c r="G27" s="57" t="s">
        <v>65</v>
      </c>
      <c r="H27" s="75">
        <f t="shared" ref="H27:S27" si="5">SUM(H28:H30)</f>
        <v>0</v>
      </c>
      <c r="I27" s="75">
        <f t="shared" si="5"/>
        <v>0</v>
      </c>
      <c r="J27" s="75">
        <f t="shared" si="5"/>
        <v>0</v>
      </c>
      <c r="K27" s="75">
        <f t="shared" si="5"/>
        <v>0</v>
      </c>
      <c r="L27" s="56">
        <f t="shared" si="5"/>
        <v>222.22400000000002</v>
      </c>
      <c r="M27" s="56">
        <f t="shared" si="5"/>
        <v>125.57400000000001</v>
      </c>
      <c r="N27" s="77">
        <f t="shared" si="5"/>
        <v>111.18100000000001</v>
      </c>
      <c r="O27" s="77">
        <f t="shared" si="5"/>
        <v>119.72</v>
      </c>
      <c r="P27" s="77">
        <f t="shared" si="5"/>
        <v>126</v>
      </c>
      <c r="Q27" s="77">
        <f t="shared" si="5"/>
        <v>131</v>
      </c>
      <c r="R27" s="77">
        <f t="shared" si="5"/>
        <v>134</v>
      </c>
      <c r="S27" s="56">
        <f t="shared" si="5"/>
        <v>137</v>
      </c>
    </row>
    <row r="28" spans="1:19" ht="12" x14ac:dyDescent="0.2">
      <c r="A28" s="8"/>
      <c r="B28" s="2" t="s">
        <v>66</v>
      </c>
      <c r="C28" s="8" t="s">
        <v>67</v>
      </c>
      <c r="D28" s="8"/>
      <c r="E28" s="11" t="s">
        <v>11</v>
      </c>
      <c r="G28" s="57" t="s">
        <v>68</v>
      </c>
      <c r="H28" s="75">
        <v>0</v>
      </c>
      <c r="I28" s="75">
        <v>0</v>
      </c>
      <c r="J28" s="75">
        <v>0</v>
      </c>
      <c r="K28" s="75">
        <v>0</v>
      </c>
      <c r="L28" s="58">
        <v>253.96100000000001</v>
      </c>
      <c r="M28" s="58">
        <v>253.96100000000001</v>
      </c>
      <c r="N28" s="76">
        <v>253.96100000000001</v>
      </c>
      <c r="O28" s="76">
        <v>254</v>
      </c>
      <c r="P28" s="76">
        <v>254</v>
      </c>
      <c r="Q28" s="76">
        <v>254</v>
      </c>
      <c r="R28" s="76">
        <v>254</v>
      </c>
      <c r="S28" s="58">
        <v>254</v>
      </c>
    </row>
    <row r="29" spans="1:19" ht="12" x14ac:dyDescent="0.2">
      <c r="A29" s="8"/>
      <c r="B29" s="2" t="s">
        <v>69</v>
      </c>
      <c r="C29" s="10">
        <v>298</v>
      </c>
      <c r="D29" s="10"/>
      <c r="E29" s="11" t="s">
        <v>11</v>
      </c>
      <c r="G29" s="57" t="s">
        <v>70</v>
      </c>
      <c r="H29" s="75">
        <v>0</v>
      </c>
      <c r="I29" s="75">
        <v>0</v>
      </c>
      <c r="J29" s="75">
        <v>0</v>
      </c>
      <c r="K29" s="75">
        <v>0</v>
      </c>
      <c r="L29" s="58">
        <v>0</v>
      </c>
      <c r="M29" s="58">
        <v>-31.736999999999998</v>
      </c>
      <c r="N29" s="76">
        <v>-128.386</v>
      </c>
      <c r="O29" s="76">
        <v>-142.78</v>
      </c>
      <c r="P29" s="76">
        <v>-134</v>
      </c>
      <c r="Q29" s="76">
        <v>-128</v>
      </c>
      <c r="R29" s="76">
        <v>-123</v>
      </c>
      <c r="S29" s="58">
        <v>-120</v>
      </c>
    </row>
    <row r="30" spans="1:19" ht="12" x14ac:dyDescent="0.2">
      <c r="A30" s="8"/>
      <c r="B30" s="2" t="s">
        <v>71</v>
      </c>
      <c r="C30" s="10">
        <v>299</v>
      </c>
      <c r="D30" s="10"/>
      <c r="E30" s="11" t="s">
        <v>72</v>
      </c>
      <c r="G30" s="57" t="s">
        <v>73</v>
      </c>
      <c r="H30" s="75">
        <v>0</v>
      </c>
      <c r="I30" s="75">
        <v>0</v>
      </c>
      <c r="J30" s="75">
        <v>0</v>
      </c>
      <c r="K30" s="75">
        <v>0</v>
      </c>
      <c r="L30" s="58">
        <v>-31.736999999999998</v>
      </c>
      <c r="M30" s="58">
        <v>-96.65</v>
      </c>
      <c r="N30" s="76">
        <v>-14.394</v>
      </c>
      <c r="O30" s="76">
        <v>8.5</v>
      </c>
      <c r="P30" s="76">
        <v>6</v>
      </c>
      <c r="Q30" s="76">
        <v>5</v>
      </c>
      <c r="R30" s="76">
        <v>3</v>
      </c>
      <c r="S30" s="58">
        <v>3</v>
      </c>
    </row>
    <row r="31" spans="1:19" x14ac:dyDescent="0.2">
      <c r="A31" s="20"/>
      <c r="B31" s="2" t="s">
        <v>368</v>
      </c>
      <c r="C31" s="83" t="s">
        <v>369</v>
      </c>
      <c r="D31" s="21"/>
      <c r="E31" s="22"/>
      <c r="F31" s="20"/>
      <c r="G31" s="62" t="s">
        <v>74</v>
      </c>
      <c r="H31" s="84">
        <f t="shared" ref="H31:S31" si="6">H4-H18</f>
        <v>0</v>
      </c>
      <c r="I31" s="84">
        <f t="shared" si="6"/>
        <v>0</v>
      </c>
      <c r="J31" s="84">
        <f t="shared" si="6"/>
        <v>0</v>
      </c>
      <c r="K31" s="84">
        <f t="shared" si="6"/>
        <v>0</v>
      </c>
      <c r="L31" s="63">
        <f t="shared" si="6"/>
        <v>9.9999999997635314E-4</v>
      </c>
      <c r="M31" s="63">
        <f t="shared" si="6"/>
        <v>0</v>
      </c>
      <c r="N31" s="85">
        <f t="shared" si="6"/>
        <v>-1.0000000000047748E-3</v>
      </c>
      <c r="O31" s="85">
        <f t="shared" si="6"/>
        <v>0.28000000000000114</v>
      </c>
      <c r="P31" s="85">
        <f t="shared" si="6"/>
        <v>0</v>
      </c>
      <c r="Q31" s="85">
        <f t="shared" si="6"/>
        <v>0</v>
      </c>
      <c r="R31" s="85">
        <f t="shared" si="6"/>
        <v>0</v>
      </c>
      <c r="S31" s="63">
        <f t="shared" si="6"/>
        <v>0</v>
      </c>
    </row>
    <row r="32" spans="1:19" x14ac:dyDescent="0.2">
      <c r="A32" s="8"/>
      <c r="B32" s="2"/>
      <c r="C32" s="10"/>
      <c r="D32" s="10"/>
      <c r="E32" s="9"/>
      <c r="G32" s="53" t="s">
        <v>75</v>
      </c>
      <c r="H32" s="86">
        <v>2011</v>
      </c>
      <c r="I32" s="86">
        <f t="shared" ref="I32:S32" si="7">H32+1</f>
        <v>2012</v>
      </c>
      <c r="J32" s="86">
        <f t="shared" si="7"/>
        <v>2013</v>
      </c>
      <c r="K32" s="86">
        <f t="shared" si="7"/>
        <v>2014</v>
      </c>
      <c r="L32" s="64">
        <f t="shared" si="7"/>
        <v>2015</v>
      </c>
      <c r="M32" s="64">
        <f t="shared" si="7"/>
        <v>2016</v>
      </c>
      <c r="N32" s="87">
        <f t="shared" si="7"/>
        <v>2017</v>
      </c>
      <c r="O32" s="87">
        <f t="shared" si="7"/>
        <v>2018</v>
      </c>
      <c r="P32" s="87">
        <f t="shared" si="7"/>
        <v>2019</v>
      </c>
      <c r="Q32" s="87">
        <f t="shared" si="7"/>
        <v>2020</v>
      </c>
      <c r="R32" s="87">
        <f t="shared" si="7"/>
        <v>2021</v>
      </c>
      <c r="S32" s="64">
        <f t="shared" si="7"/>
        <v>2022</v>
      </c>
    </row>
    <row r="33" spans="1:19" x14ac:dyDescent="0.2">
      <c r="A33" s="8"/>
      <c r="B33" s="2" t="s">
        <v>76</v>
      </c>
      <c r="C33" s="10">
        <v>3</v>
      </c>
      <c r="D33" s="10"/>
      <c r="E33" s="9"/>
      <c r="G33" s="55" t="s">
        <v>77</v>
      </c>
      <c r="H33" s="75">
        <f t="shared" ref="H33:S33" si="8">SUM(H34:H37)</f>
        <v>4.5999999999999999E-2</v>
      </c>
      <c r="I33" s="75">
        <f t="shared" si="8"/>
        <v>8.1000000000000003E-2</v>
      </c>
      <c r="J33" s="75">
        <f t="shared" si="8"/>
        <v>0</v>
      </c>
      <c r="K33" s="75">
        <f t="shared" si="8"/>
        <v>0</v>
      </c>
      <c r="L33" s="56">
        <f t="shared" si="8"/>
        <v>235.87299999999999</v>
      </c>
      <c r="M33" s="56">
        <f t="shared" si="8"/>
        <v>820.67600000000004</v>
      </c>
      <c r="N33" s="77">
        <f t="shared" si="8"/>
        <v>775.17549999999994</v>
      </c>
      <c r="O33" s="77">
        <f t="shared" si="8"/>
        <v>837.5</v>
      </c>
      <c r="P33" s="77">
        <f t="shared" si="8"/>
        <v>817</v>
      </c>
      <c r="Q33" s="77">
        <f t="shared" si="8"/>
        <v>821</v>
      </c>
      <c r="R33" s="77">
        <f t="shared" si="8"/>
        <v>819</v>
      </c>
      <c r="S33" s="56">
        <f t="shared" si="8"/>
        <v>819</v>
      </c>
    </row>
    <row r="34" spans="1:19" ht="12" x14ac:dyDescent="0.2">
      <c r="A34" s="8"/>
      <c r="B34" s="2" t="s">
        <v>78</v>
      </c>
      <c r="C34" s="10">
        <v>30</v>
      </c>
      <c r="D34" s="10"/>
      <c r="E34" s="11" t="s">
        <v>11</v>
      </c>
      <c r="G34" s="57" t="s">
        <v>79</v>
      </c>
      <c r="H34" s="75">
        <v>0</v>
      </c>
      <c r="I34" s="75">
        <v>0</v>
      </c>
      <c r="J34" s="75">
        <v>0</v>
      </c>
      <c r="K34" s="75">
        <v>0</v>
      </c>
      <c r="L34" s="58">
        <v>0</v>
      </c>
      <c r="M34" s="58">
        <v>0</v>
      </c>
      <c r="N34" s="76">
        <v>9.7500000000000003E-2</v>
      </c>
      <c r="O34" s="76">
        <v>0</v>
      </c>
      <c r="P34" s="76">
        <v>0</v>
      </c>
      <c r="Q34" s="76">
        <v>0</v>
      </c>
      <c r="R34" s="76">
        <v>0</v>
      </c>
      <c r="S34" s="58">
        <v>0</v>
      </c>
    </row>
    <row r="35" spans="1:19" ht="12" x14ac:dyDescent="0.2">
      <c r="A35" s="8"/>
      <c r="B35" s="2" t="s">
        <v>80</v>
      </c>
      <c r="C35" s="10">
        <v>32</v>
      </c>
      <c r="D35" s="10"/>
      <c r="E35" s="11" t="s">
        <v>11</v>
      </c>
      <c r="G35" s="57" t="s">
        <v>81</v>
      </c>
      <c r="H35" s="75">
        <v>0</v>
      </c>
      <c r="I35" s="75">
        <v>0</v>
      </c>
      <c r="J35" s="75">
        <v>0</v>
      </c>
      <c r="K35" s="75">
        <v>0</v>
      </c>
      <c r="L35" s="58">
        <v>44.136000000000003</v>
      </c>
      <c r="M35" s="58">
        <v>111.88</v>
      </c>
      <c r="N35" s="76">
        <v>55.624000000000002</v>
      </c>
      <c r="O35" s="76">
        <v>50</v>
      </c>
      <c r="P35" s="76">
        <v>55</v>
      </c>
      <c r="Q35" s="76">
        <v>60</v>
      </c>
      <c r="R35" s="76">
        <v>60</v>
      </c>
      <c r="S35" s="58">
        <v>60</v>
      </c>
    </row>
    <row r="36" spans="1:19" ht="12" x14ac:dyDescent="0.2">
      <c r="A36" s="13"/>
      <c r="B36" s="2" t="s">
        <v>82</v>
      </c>
      <c r="C36" s="10">
        <v>35</v>
      </c>
      <c r="D36" s="10"/>
      <c r="E36" s="11" t="s">
        <v>11</v>
      </c>
      <c r="F36" s="13"/>
      <c r="G36" s="57" t="s">
        <v>83</v>
      </c>
      <c r="H36" s="75">
        <v>0</v>
      </c>
      <c r="I36" s="75">
        <v>0</v>
      </c>
      <c r="J36" s="75">
        <v>0</v>
      </c>
      <c r="K36" s="75">
        <v>0</v>
      </c>
      <c r="L36" s="58">
        <v>191.03399999999999</v>
      </c>
      <c r="M36" s="58">
        <v>708.79600000000005</v>
      </c>
      <c r="N36" s="76">
        <v>719.35599999999999</v>
      </c>
      <c r="O36" s="76">
        <v>787.5</v>
      </c>
      <c r="P36" s="76">
        <v>762</v>
      </c>
      <c r="Q36" s="76">
        <v>761</v>
      </c>
      <c r="R36" s="76">
        <v>759</v>
      </c>
      <c r="S36" s="58">
        <v>759</v>
      </c>
    </row>
    <row r="37" spans="1:19" ht="12" x14ac:dyDescent="0.2">
      <c r="A37" s="8"/>
      <c r="B37" s="2" t="s">
        <v>84</v>
      </c>
      <c r="C37" s="10">
        <v>38</v>
      </c>
      <c r="D37" s="10"/>
      <c r="E37" s="11" t="s">
        <v>72</v>
      </c>
      <c r="G37" s="57" t="s">
        <v>85</v>
      </c>
      <c r="H37" s="75">
        <v>4.5999999999999999E-2</v>
      </c>
      <c r="I37" s="75">
        <v>8.1000000000000003E-2</v>
      </c>
      <c r="J37" s="75">
        <v>0</v>
      </c>
      <c r="K37" s="75">
        <v>0</v>
      </c>
      <c r="L37" s="58">
        <v>0.70299999999999996</v>
      </c>
      <c r="M37" s="58">
        <v>0</v>
      </c>
      <c r="N37" s="76">
        <v>9.8000000000000004E-2</v>
      </c>
      <c r="O37" s="76">
        <v>0</v>
      </c>
      <c r="P37" s="76">
        <v>0</v>
      </c>
      <c r="Q37" s="76">
        <v>0</v>
      </c>
      <c r="R37" s="76">
        <v>0</v>
      </c>
      <c r="S37" s="58">
        <v>0</v>
      </c>
    </row>
    <row r="38" spans="1:19" x14ac:dyDescent="0.2">
      <c r="A38" s="8"/>
      <c r="B38" s="2" t="s">
        <v>86</v>
      </c>
      <c r="C38" s="10">
        <v>4</v>
      </c>
      <c r="D38" s="10"/>
      <c r="E38" s="23"/>
      <c r="G38" s="57" t="s">
        <v>87</v>
      </c>
      <c r="H38" s="75">
        <f t="shared" ref="H38:S38" si="9">H39+H40</f>
        <v>0</v>
      </c>
      <c r="I38" s="75">
        <f t="shared" si="9"/>
        <v>0</v>
      </c>
      <c r="J38" s="75">
        <f t="shared" si="9"/>
        <v>0</v>
      </c>
      <c r="K38" s="75">
        <f t="shared" si="9"/>
        <v>0</v>
      </c>
      <c r="L38" s="56">
        <f t="shared" si="9"/>
        <v>0</v>
      </c>
      <c r="M38" s="56">
        <f t="shared" si="9"/>
        <v>0</v>
      </c>
      <c r="N38" s="77">
        <f t="shared" si="9"/>
        <v>0</v>
      </c>
      <c r="O38" s="77">
        <f t="shared" si="9"/>
        <v>0</v>
      </c>
      <c r="P38" s="77">
        <f t="shared" si="9"/>
        <v>0</v>
      </c>
      <c r="Q38" s="77">
        <f t="shared" si="9"/>
        <v>0</v>
      </c>
      <c r="R38" s="77">
        <f t="shared" si="9"/>
        <v>0</v>
      </c>
      <c r="S38" s="56">
        <f t="shared" si="9"/>
        <v>0</v>
      </c>
    </row>
    <row r="39" spans="1:19" ht="12" x14ac:dyDescent="0.2">
      <c r="A39" s="8"/>
      <c r="B39" s="2" t="s">
        <v>88</v>
      </c>
      <c r="C39" s="10">
        <v>41</v>
      </c>
      <c r="D39" s="10"/>
      <c r="E39" s="11" t="s">
        <v>89</v>
      </c>
      <c r="G39" s="57" t="s">
        <v>90</v>
      </c>
      <c r="H39" s="75">
        <v>0</v>
      </c>
      <c r="I39" s="75">
        <v>0</v>
      </c>
      <c r="J39" s="75">
        <v>0</v>
      </c>
      <c r="K39" s="75">
        <v>0</v>
      </c>
      <c r="L39" s="58">
        <v>0</v>
      </c>
      <c r="M39" s="58">
        <v>0</v>
      </c>
      <c r="N39" s="76">
        <v>0</v>
      </c>
      <c r="O39" s="76">
        <v>0</v>
      </c>
      <c r="P39" s="76">
        <v>0</v>
      </c>
      <c r="Q39" s="76">
        <v>0</v>
      </c>
      <c r="R39" s="76">
        <v>0</v>
      </c>
      <c r="S39" s="58">
        <v>0</v>
      </c>
    </row>
    <row r="40" spans="1:19" ht="12" x14ac:dyDescent="0.2">
      <c r="A40" s="8"/>
      <c r="B40" s="2" t="s">
        <v>91</v>
      </c>
      <c r="C40" s="10">
        <v>45</v>
      </c>
      <c r="D40" s="10"/>
      <c r="E40" s="11" t="s">
        <v>89</v>
      </c>
      <c r="G40" s="57" t="s">
        <v>92</v>
      </c>
      <c r="H40" s="75">
        <v>0</v>
      </c>
      <c r="I40" s="75">
        <v>0</v>
      </c>
      <c r="J40" s="75">
        <v>0</v>
      </c>
      <c r="K40" s="75">
        <v>0</v>
      </c>
      <c r="L40" s="58">
        <v>0</v>
      </c>
      <c r="M40" s="58">
        <v>0</v>
      </c>
      <c r="N40" s="76">
        <v>0</v>
      </c>
      <c r="O40" s="76">
        <v>0</v>
      </c>
      <c r="P40" s="76">
        <v>0</v>
      </c>
      <c r="Q40" s="76">
        <v>0</v>
      </c>
      <c r="R40" s="76">
        <v>0</v>
      </c>
      <c r="S40" s="58">
        <v>0</v>
      </c>
    </row>
    <row r="41" spans="1:19" x14ac:dyDescent="0.2">
      <c r="A41" s="13"/>
      <c r="B41" s="2" t="s">
        <v>93</v>
      </c>
      <c r="C41" s="10" t="s">
        <v>94</v>
      </c>
      <c r="D41" s="10"/>
      <c r="E41" s="23"/>
      <c r="F41" s="13"/>
      <c r="G41" s="57" t="s">
        <v>95</v>
      </c>
      <c r="H41" s="75">
        <f t="shared" ref="H41:S41" si="10">SUM(H42:H45)</f>
        <v>0</v>
      </c>
      <c r="I41" s="75">
        <f t="shared" si="10"/>
        <v>0</v>
      </c>
      <c r="J41" s="75">
        <f t="shared" si="10"/>
        <v>0</v>
      </c>
      <c r="K41" s="75">
        <f t="shared" si="10"/>
        <v>0</v>
      </c>
      <c r="L41" s="56">
        <f t="shared" si="10"/>
        <v>-267.64800000000002</v>
      </c>
      <c r="M41" s="56">
        <f t="shared" si="10"/>
        <v>-917.70099999999991</v>
      </c>
      <c r="N41" s="77">
        <f t="shared" si="10"/>
        <v>-789.47199999999998</v>
      </c>
      <c r="O41" s="77">
        <f t="shared" si="10"/>
        <v>-829</v>
      </c>
      <c r="P41" s="77">
        <f t="shared" si="10"/>
        <v>-811</v>
      </c>
      <c r="Q41" s="77">
        <f t="shared" si="10"/>
        <v>-816</v>
      </c>
      <c r="R41" s="77">
        <f t="shared" si="10"/>
        <v>-816</v>
      </c>
      <c r="S41" s="56">
        <f t="shared" si="10"/>
        <v>-816</v>
      </c>
    </row>
    <row r="42" spans="1:19" ht="12" x14ac:dyDescent="0.2">
      <c r="A42" s="8"/>
      <c r="B42" s="2" t="s">
        <v>96</v>
      </c>
      <c r="C42" s="10">
        <v>50</v>
      </c>
      <c r="D42" s="10"/>
      <c r="E42" s="11" t="s">
        <v>89</v>
      </c>
      <c r="G42" s="57" t="s">
        <v>97</v>
      </c>
      <c r="H42" s="75">
        <v>0</v>
      </c>
      <c r="I42" s="75">
        <v>0</v>
      </c>
      <c r="J42" s="75">
        <v>0</v>
      </c>
      <c r="K42" s="75">
        <v>0</v>
      </c>
      <c r="L42" s="58">
        <v>-103.496</v>
      </c>
      <c r="M42" s="58">
        <v>-304.44600000000003</v>
      </c>
      <c r="N42" s="76">
        <v>-302.43299999999999</v>
      </c>
      <c r="O42" s="76">
        <v>-328</v>
      </c>
      <c r="P42" s="76">
        <v>-331</v>
      </c>
      <c r="Q42" s="76">
        <v>-334</v>
      </c>
      <c r="R42" s="76">
        <v>-334</v>
      </c>
      <c r="S42" s="58">
        <v>-334</v>
      </c>
    </row>
    <row r="43" spans="1:19" ht="12" x14ac:dyDescent="0.2">
      <c r="A43" s="8"/>
      <c r="B43" s="2" t="s">
        <v>98</v>
      </c>
      <c r="C43" s="10">
        <v>55</v>
      </c>
      <c r="D43" s="10"/>
      <c r="E43" s="11" t="s">
        <v>89</v>
      </c>
      <c r="G43" s="57" t="s">
        <v>99</v>
      </c>
      <c r="H43" s="75">
        <v>0</v>
      </c>
      <c r="I43" s="75">
        <v>0</v>
      </c>
      <c r="J43" s="75">
        <v>0</v>
      </c>
      <c r="K43" s="75">
        <v>0</v>
      </c>
      <c r="L43" s="58">
        <v>-111.253</v>
      </c>
      <c r="M43" s="58">
        <v>-432.67099999999999</v>
      </c>
      <c r="N43" s="76">
        <v>-395.88499999999999</v>
      </c>
      <c r="O43" s="76">
        <v>-432</v>
      </c>
      <c r="P43" s="76">
        <v>-411</v>
      </c>
      <c r="Q43" s="76">
        <v>-413</v>
      </c>
      <c r="R43" s="76">
        <v>-413</v>
      </c>
      <c r="S43" s="58">
        <v>-413</v>
      </c>
    </row>
    <row r="44" spans="1:19" ht="12" x14ac:dyDescent="0.2">
      <c r="A44" s="13"/>
      <c r="B44" s="2" t="s">
        <v>100</v>
      </c>
      <c r="C44" s="10">
        <v>60</v>
      </c>
      <c r="D44" s="10"/>
      <c r="E44" s="11" t="s">
        <v>89</v>
      </c>
      <c r="F44" s="13"/>
      <c r="G44" s="57" t="s">
        <v>101</v>
      </c>
      <c r="H44" s="75">
        <v>0</v>
      </c>
      <c r="I44" s="75">
        <v>0</v>
      </c>
      <c r="J44" s="75">
        <v>0</v>
      </c>
      <c r="K44" s="75">
        <v>0</v>
      </c>
      <c r="L44" s="58">
        <v>-18.274000000000001</v>
      </c>
      <c r="M44" s="58">
        <v>-75.14</v>
      </c>
      <c r="N44" s="76">
        <v>-72.593000000000004</v>
      </c>
      <c r="O44" s="76">
        <v>-65</v>
      </c>
      <c r="P44" s="76">
        <v>-65</v>
      </c>
      <c r="Q44" s="76">
        <v>-65</v>
      </c>
      <c r="R44" s="76">
        <v>-65</v>
      </c>
      <c r="S44" s="58">
        <v>-65</v>
      </c>
    </row>
    <row r="45" spans="1:19" ht="12" x14ac:dyDescent="0.2">
      <c r="A45" s="8"/>
      <c r="B45" s="2" t="s">
        <v>102</v>
      </c>
      <c r="C45" s="10">
        <v>61</v>
      </c>
      <c r="D45" s="10"/>
      <c r="E45" s="11" t="s">
        <v>89</v>
      </c>
      <c r="G45" s="57" t="s">
        <v>103</v>
      </c>
      <c r="H45" s="75">
        <v>0</v>
      </c>
      <c r="I45" s="75">
        <v>0</v>
      </c>
      <c r="J45" s="75">
        <v>0</v>
      </c>
      <c r="K45" s="75">
        <v>0</v>
      </c>
      <c r="L45" s="58">
        <v>-34.625</v>
      </c>
      <c r="M45" s="58">
        <v>-105.444</v>
      </c>
      <c r="N45" s="76">
        <v>-18.561</v>
      </c>
      <c r="O45" s="76">
        <v>-4</v>
      </c>
      <c r="P45" s="76">
        <v>-4</v>
      </c>
      <c r="Q45" s="76">
        <v>-4</v>
      </c>
      <c r="R45" s="76">
        <v>-4</v>
      </c>
      <c r="S45" s="58">
        <v>-4</v>
      </c>
    </row>
    <row r="46" spans="1:19" x14ac:dyDescent="0.2">
      <c r="A46" s="8"/>
      <c r="B46" s="2" t="s">
        <v>104</v>
      </c>
      <c r="C46" s="10"/>
      <c r="D46" s="10"/>
      <c r="E46" s="9"/>
      <c r="G46" s="57" t="s">
        <v>105</v>
      </c>
      <c r="H46" s="75">
        <f t="shared" ref="H46:S46" si="11">H33+H38+H41</f>
        <v>4.5999999999999999E-2</v>
      </c>
      <c r="I46" s="75">
        <f t="shared" si="11"/>
        <v>8.1000000000000003E-2</v>
      </c>
      <c r="J46" s="75">
        <f t="shared" si="11"/>
        <v>0</v>
      </c>
      <c r="K46" s="75">
        <f t="shared" si="11"/>
        <v>0</v>
      </c>
      <c r="L46" s="56">
        <f t="shared" si="11"/>
        <v>-31.775000000000034</v>
      </c>
      <c r="M46" s="56">
        <f t="shared" si="11"/>
        <v>-97.024999999999864</v>
      </c>
      <c r="N46" s="77">
        <f t="shared" si="11"/>
        <v>-14.296500000000037</v>
      </c>
      <c r="O46" s="77">
        <f t="shared" si="11"/>
        <v>8.5</v>
      </c>
      <c r="P46" s="77">
        <f t="shared" si="11"/>
        <v>6</v>
      </c>
      <c r="Q46" s="77">
        <f t="shared" si="11"/>
        <v>5</v>
      </c>
      <c r="R46" s="77">
        <f t="shared" si="11"/>
        <v>3</v>
      </c>
      <c r="S46" s="56">
        <f t="shared" si="11"/>
        <v>3</v>
      </c>
    </row>
    <row r="47" spans="1:19" ht="12" x14ac:dyDescent="0.2">
      <c r="A47" s="8"/>
      <c r="B47" s="2" t="s">
        <v>106</v>
      </c>
      <c r="C47" s="10">
        <v>65</v>
      </c>
      <c r="D47" s="10"/>
      <c r="E47" s="11" t="s">
        <v>72</v>
      </c>
      <c r="G47" s="57" t="s">
        <v>107</v>
      </c>
      <c r="H47" s="75">
        <v>2E-3</v>
      </c>
      <c r="I47" s="75">
        <v>0</v>
      </c>
      <c r="J47" s="75">
        <v>0</v>
      </c>
      <c r="K47" s="75">
        <v>0</v>
      </c>
      <c r="L47" s="58">
        <v>3.7999999999999999E-2</v>
      </c>
      <c r="M47" s="58">
        <v>0.374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</row>
    <row r="48" spans="1:19" x14ac:dyDescent="0.2">
      <c r="A48" s="8"/>
      <c r="B48" s="2" t="s">
        <v>108</v>
      </c>
      <c r="C48" s="10"/>
      <c r="D48" s="10"/>
      <c r="E48" s="9"/>
      <c r="G48" s="57" t="s">
        <v>109</v>
      </c>
      <c r="H48" s="75">
        <f t="shared" ref="H48:S48" si="12">H46+H47</f>
        <v>4.8000000000000001E-2</v>
      </c>
      <c r="I48" s="75">
        <f t="shared" si="12"/>
        <v>8.1000000000000003E-2</v>
      </c>
      <c r="J48" s="75">
        <f t="shared" si="12"/>
        <v>0</v>
      </c>
      <c r="K48" s="75">
        <f t="shared" si="12"/>
        <v>0</v>
      </c>
      <c r="L48" s="56">
        <f t="shared" si="12"/>
        <v>-31.737000000000034</v>
      </c>
      <c r="M48" s="56">
        <f t="shared" si="12"/>
        <v>-96.650999999999868</v>
      </c>
      <c r="N48" s="77">
        <f t="shared" si="12"/>
        <v>-14.296500000000037</v>
      </c>
      <c r="O48" s="77">
        <f t="shared" si="12"/>
        <v>8.5</v>
      </c>
      <c r="P48" s="77">
        <f t="shared" si="12"/>
        <v>6</v>
      </c>
      <c r="Q48" s="77">
        <f t="shared" si="12"/>
        <v>5</v>
      </c>
      <c r="R48" s="77">
        <f t="shared" si="12"/>
        <v>3</v>
      </c>
      <c r="S48" s="56">
        <f t="shared" si="12"/>
        <v>3</v>
      </c>
    </row>
    <row r="49" spans="1:19" ht="12" x14ac:dyDescent="0.2">
      <c r="A49" s="8"/>
      <c r="B49" s="2" t="s">
        <v>110</v>
      </c>
      <c r="C49" s="10">
        <v>68</v>
      </c>
      <c r="D49" s="10"/>
      <c r="E49" s="11" t="s">
        <v>89</v>
      </c>
      <c r="G49" s="57" t="s">
        <v>111</v>
      </c>
      <c r="H49" s="75">
        <v>0</v>
      </c>
      <c r="I49" s="75">
        <v>0</v>
      </c>
      <c r="J49" s="75">
        <v>0</v>
      </c>
      <c r="K49" s="75">
        <v>0</v>
      </c>
      <c r="L49" s="58">
        <v>0</v>
      </c>
      <c r="M49" s="58">
        <v>0</v>
      </c>
      <c r="N49" s="76">
        <v>0</v>
      </c>
      <c r="O49" s="76">
        <v>0</v>
      </c>
      <c r="P49" s="76">
        <v>0</v>
      </c>
      <c r="Q49" s="76">
        <v>0</v>
      </c>
      <c r="R49" s="76">
        <v>0</v>
      </c>
      <c r="S49" s="58">
        <v>0</v>
      </c>
    </row>
    <row r="50" spans="1:19" ht="12" x14ac:dyDescent="0.2">
      <c r="A50" s="8"/>
      <c r="B50" s="2" t="s">
        <v>112</v>
      </c>
      <c r="C50" s="10">
        <v>69</v>
      </c>
      <c r="D50" s="10"/>
      <c r="E50" s="11" t="s">
        <v>11</v>
      </c>
      <c r="G50" s="57" t="s">
        <v>113</v>
      </c>
      <c r="H50" s="75">
        <v>0</v>
      </c>
      <c r="I50" s="75">
        <v>0</v>
      </c>
      <c r="J50" s="75">
        <v>0</v>
      </c>
      <c r="K50" s="75">
        <v>0</v>
      </c>
      <c r="L50" s="58">
        <v>0</v>
      </c>
      <c r="M50" s="58">
        <v>0</v>
      </c>
      <c r="N50" s="76">
        <v>0</v>
      </c>
      <c r="O50" s="76">
        <v>0</v>
      </c>
      <c r="P50" s="76">
        <v>0</v>
      </c>
      <c r="Q50" s="76">
        <v>0</v>
      </c>
      <c r="R50" s="76">
        <v>0</v>
      </c>
      <c r="S50" s="58">
        <v>0</v>
      </c>
    </row>
    <row r="51" spans="1:19" x14ac:dyDescent="0.2">
      <c r="A51" s="8"/>
      <c r="B51" s="2" t="s">
        <v>114</v>
      </c>
      <c r="C51" s="10"/>
      <c r="D51" s="10"/>
      <c r="E51" s="9"/>
      <c r="G51" s="57" t="s">
        <v>115</v>
      </c>
      <c r="H51" s="75">
        <f t="shared" ref="H51:S51" si="13">H48+H49+H50</f>
        <v>4.8000000000000001E-2</v>
      </c>
      <c r="I51" s="75">
        <f t="shared" si="13"/>
        <v>8.1000000000000003E-2</v>
      </c>
      <c r="J51" s="75">
        <f t="shared" si="13"/>
        <v>0</v>
      </c>
      <c r="K51" s="75">
        <f t="shared" si="13"/>
        <v>0</v>
      </c>
      <c r="L51" s="56">
        <f t="shared" si="13"/>
        <v>-31.737000000000034</v>
      </c>
      <c r="M51" s="56">
        <f t="shared" si="13"/>
        <v>-96.650999999999868</v>
      </c>
      <c r="N51" s="77">
        <f t="shared" si="13"/>
        <v>-14.296500000000037</v>
      </c>
      <c r="O51" s="77">
        <f t="shared" si="13"/>
        <v>8.5</v>
      </c>
      <c r="P51" s="77">
        <f t="shared" si="13"/>
        <v>6</v>
      </c>
      <c r="Q51" s="77">
        <f t="shared" si="13"/>
        <v>5</v>
      </c>
      <c r="R51" s="77">
        <f t="shared" si="13"/>
        <v>3</v>
      </c>
      <c r="S51" s="77">
        <f t="shared" si="13"/>
        <v>3</v>
      </c>
    </row>
    <row r="52" spans="1:19" x14ac:dyDescent="0.2">
      <c r="A52" s="24"/>
      <c r="B52" s="2" t="s">
        <v>370</v>
      </c>
      <c r="C52" s="83" t="s">
        <v>371</v>
      </c>
      <c r="D52" s="25"/>
      <c r="E52" s="26"/>
      <c r="F52" s="24"/>
      <c r="G52" s="62" t="s">
        <v>116</v>
      </c>
      <c r="H52" s="84">
        <f t="shared" ref="H52:R52" si="14">H30-H51</f>
        <v>-4.8000000000000001E-2</v>
      </c>
      <c r="I52" s="84">
        <f t="shared" si="14"/>
        <v>-8.1000000000000003E-2</v>
      </c>
      <c r="J52" s="84">
        <f t="shared" si="14"/>
        <v>0</v>
      </c>
      <c r="K52" s="84">
        <f t="shared" si="14"/>
        <v>0</v>
      </c>
      <c r="L52" s="63">
        <f t="shared" si="14"/>
        <v>3.5527136788005009E-14</v>
      </c>
      <c r="M52" s="63">
        <f t="shared" si="14"/>
        <v>9.999999998626663E-4</v>
      </c>
      <c r="N52" s="85">
        <f t="shared" si="14"/>
        <v>-9.7499999999962839E-2</v>
      </c>
      <c r="O52" s="85">
        <f>O30-O51</f>
        <v>0</v>
      </c>
      <c r="P52" s="85">
        <f t="shared" si="14"/>
        <v>0</v>
      </c>
      <c r="Q52" s="85">
        <f t="shared" si="14"/>
        <v>0</v>
      </c>
      <c r="R52" s="85">
        <f t="shared" si="14"/>
        <v>0</v>
      </c>
      <c r="S52" s="63">
        <f>S30-S51</f>
        <v>0</v>
      </c>
    </row>
    <row r="53" spans="1:19" x14ac:dyDescent="0.2">
      <c r="A53" s="8"/>
      <c r="B53" s="2"/>
      <c r="C53" s="10"/>
      <c r="D53" s="10"/>
      <c r="E53" s="9"/>
      <c r="G53" s="65" t="s">
        <v>117</v>
      </c>
      <c r="H53" s="48"/>
      <c r="I53" s="48"/>
      <c r="J53" s="48"/>
      <c r="K53" s="48"/>
      <c r="L53" s="48"/>
      <c r="M53" s="48"/>
      <c r="N53" s="4"/>
      <c r="O53" s="4"/>
      <c r="P53" s="4"/>
      <c r="Q53" s="4"/>
      <c r="R53" s="4"/>
      <c r="S53" s="48"/>
    </row>
    <row r="54" spans="1:19" ht="12" x14ac:dyDescent="0.2">
      <c r="A54" s="8"/>
      <c r="B54" s="2"/>
      <c r="C54" s="10">
        <v>90</v>
      </c>
      <c r="D54" s="10"/>
      <c r="E54" s="11" t="s">
        <v>11</v>
      </c>
      <c r="G54" s="65" t="s">
        <v>118</v>
      </c>
      <c r="H54" s="75">
        <v>0</v>
      </c>
      <c r="I54" s="75">
        <v>0</v>
      </c>
      <c r="J54" s="75">
        <v>0</v>
      </c>
      <c r="K54" s="75">
        <v>0</v>
      </c>
      <c r="L54" s="58">
        <v>22.05</v>
      </c>
      <c r="M54" s="58">
        <v>21.61</v>
      </c>
      <c r="N54" s="76">
        <v>22</v>
      </c>
      <c r="O54" s="76">
        <v>22</v>
      </c>
      <c r="P54" s="76">
        <v>22</v>
      </c>
      <c r="Q54" s="76">
        <v>22</v>
      </c>
      <c r="R54" s="76">
        <v>22</v>
      </c>
      <c r="S54" s="58">
        <v>22</v>
      </c>
    </row>
    <row r="55" spans="1:19" ht="12" x14ac:dyDescent="0.2">
      <c r="A55" s="8"/>
      <c r="B55" s="2"/>
      <c r="C55" s="10"/>
      <c r="D55" s="10"/>
      <c r="E55" s="11" t="s">
        <v>11</v>
      </c>
      <c r="G55" s="65" t="s">
        <v>119</v>
      </c>
      <c r="H55" s="75"/>
      <c r="I55" s="75"/>
      <c r="J55" s="75"/>
      <c r="K55" s="75"/>
      <c r="L55" s="66"/>
      <c r="M55" s="66"/>
      <c r="N55" s="88"/>
      <c r="O55" s="88"/>
      <c r="P55" s="88"/>
      <c r="Q55" s="88"/>
      <c r="R55" s="88"/>
      <c r="S55" s="66"/>
    </row>
    <row r="56" spans="1:19" x14ac:dyDescent="0.2">
      <c r="A56" s="8"/>
      <c r="B56" s="2"/>
      <c r="C56" s="10"/>
      <c r="D56" s="10"/>
      <c r="E56" s="9"/>
      <c r="G56" s="67"/>
      <c r="H56" s="48"/>
      <c r="I56" s="48"/>
      <c r="J56" s="48"/>
      <c r="K56" s="48"/>
      <c r="L56" s="48"/>
      <c r="M56" s="48"/>
      <c r="N56" s="4"/>
      <c r="O56" s="4"/>
      <c r="P56" s="4"/>
      <c r="Q56" s="4"/>
      <c r="R56" s="4"/>
      <c r="S56" s="48"/>
    </row>
    <row r="57" spans="1:19" x14ac:dyDescent="0.2">
      <c r="A57" s="8"/>
      <c r="B57" s="2"/>
      <c r="C57" s="10"/>
      <c r="D57" s="29" t="s">
        <v>120</v>
      </c>
      <c r="E57" s="30" t="s">
        <v>3</v>
      </c>
      <c r="F57" s="9"/>
      <c r="G57" s="53" t="s">
        <v>121</v>
      </c>
      <c r="H57" s="86">
        <f t="shared" ref="H57:S57" si="15">H32</f>
        <v>2011</v>
      </c>
      <c r="I57" s="86">
        <f t="shared" si="15"/>
        <v>2012</v>
      </c>
      <c r="J57" s="86">
        <f t="shared" si="15"/>
        <v>2013</v>
      </c>
      <c r="K57" s="86">
        <f t="shared" si="15"/>
        <v>2014</v>
      </c>
      <c r="L57" s="64">
        <f t="shared" si="15"/>
        <v>2015</v>
      </c>
      <c r="M57" s="64">
        <f t="shared" si="15"/>
        <v>2016</v>
      </c>
      <c r="N57" s="87">
        <f t="shared" si="15"/>
        <v>2017</v>
      </c>
      <c r="O57" s="87">
        <f t="shared" si="15"/>
        <v>2018</v>
      </c>
      <c r="P57" s="87">
        <f t="shared" si="15"/>
        <v>2019</v>
      </c>
      <c r="Q57" s="87">
        <f t="shared" si="15"/>
        <v>2020</v>
      </c>
      <c r="R57" s="87">
        <f t="shared" si="15"/>
        <v>2021</v>
      </c>
      <c r="S57" s="64">
        <f t="shared" si="15"/>
        <v>2022</v>
      </c>
    </row>
    <row r="58" spans="1:19" ht="12" x14ac:dyDescent="0.2">
      <c r="A58" s="8"/>
      <c r="B58" s="31" t="s">
        <v>122</v>
      </c>
      <c r="C58" s="8" t="s">
        <v>123</v>
      </c>
      <c r="D58" s="32" t="s">
        <v>124</v>
      </c>
      <c r="E58" s="11" t="s">
        <v>89</v>
      </c>
      <c r="F58" s="12"/>
      <c r="G58" s="55" t="s">
        <v>125</v>
      </c>
      <c r="H58" s="75">
        <v>0</v>
      </c>
      <c r="I58" s="75">
        <v>0</v>
      </c>
      <c r="J58" s="75">
        <v>0</v>
      </c>
      <c r="K58" s="75">
        <v>0</v>
      </c>
      <c r="L58" s="58">
        <v>0</v>
      </c>
      <c r="M58" s="58">
        <v>-7.69</v>
      </c>
      <c r="N58" s="76">
        <v>-3.3769999999999998</v>
      </c>
      <c r="O58" s="76">
        <v>0</v>
      </c>
      <c r="P58" s="76">
        <v>0</v>
      </c>
      <c r="Q58" s="76">
        <v>0</v>
      </c>
      <c r="R58" s="76">
        <v>0</v>
      </c>
      <c r="S58" s="58">
        <v>-5</v>
      </c>
    </row>
    <row r="59" spans="1:19" ht="12" x14ac:dyDescent="0.2">
      <c r="A59" s="8"/>
      <c r="B59" s="31" t="s">
        <v>126</v>
      </c>
      <c r="C59" s="33" t="s">
        <v>127</v>
      </c>
      <c r="D59" s="32" t="s">
        <v>128</v>
      </c>
      <c r="E59" s="11" t="s">
        <v>11</v>
      </c>
      <c r="F59" s="12"/>
      <c r="G59" s="68" t="s">
        <v>129</v>
      </c>
      <c r="H59" s="75">
        <v>0</v>
      </c>
      <c r="I59" s="75">
        <v>0</v>
      </c>
      <c r="J59" s="75">
        <v>0</v>
      </c>
      <c r="K59" s="75">
        <v>0</v>
      </c>
      <c r="L59" s="58">
        <v>0</v>
      </c>
      <c r="M59" s="58">
        <v>0</v>
      </c>
      <c r="N59" s="76">
        <v>0</v>
      </c>
      <c r="O59" s="76">
        <v>0</v>
      </c>
      <c r="P59" s="76">
        <v>0</v>
      </c>
      <c r="Q59" s="76">
        <v>0</v>
      </c>
      <c r="R59" s="76">
        <v>0</v>
      </c>
      <c r="S59" s="58">
        <v>0</v>
      </c>
    </row>
    <row r="60" spans="1:19" ht="12" x14ac:dyDescent="0.2">
      <c r="A60" s="8"/>
      <c r="B60" s="31" t="s">
        <v>130</v>
      </c>
      <c r="C60" s="34" t="s">
        <v>372</v>
      </c>
      <c r="D60" s="32" t="s">
        <v>131</v>
      </c>
      <c r="E60" s="11" t="s">
        <v>11</v>
      </c>
      <c r="F60" s="12"/>
      <c r="G60" s="57" t="s">
        <v>132</v>
      </c>
      <c r="H60" s="75">
        <v>0</v>
      </c>
      <c r="I60" s="75">
        <v>0</v>
      </c>
      <c r="J60" s="75">
        <v>0</v>
      </c>
      <c r="K60" s="75">
        <v>0</v>
      </c>
      <c r="L60" s="58">
        <v>0</v>
      </c>
      <c r="M60" s="58">
        <v>0</v>
      </c>
      <c r="N60" s="76">
        <v>0</v>
      </c>
      <c r="O60" s="76">
        <v>0</v>
      </c>
      <c r="P60" s="76">
        <v>0</v>
      </c>
      <c r="Q60" s="76">
        <v>0</v>
      </c>
      <c r="R60" s="76">
        <v>0</v>
      </c>
      <c r="S60" s="58">
        <v>0</v>
      </c>
    </row>
    <row r="61" spans="1:19" ht="12" x14ac:dyDescent="0.2">
      <c r="A61" s="8"/>
      <c r="B61" s="31" t="s">
        <v>133</v>
      </c>
      <c r="C61" s="34" t="s">
        <v>134</v>
      </c>
      <c r="D61" s="34" t="s">
        <v>135</v>
      </c>
      <c r="E61" s="11" t="s">
        <v>89</v>
      </c>
      <c r="F61" s="12"/>
      <c r="G61" s="57" t="s">
        <v>136</v>
      </c>
      <c r="H61" s="75">
        <v>0</v>
      </c>
      <c r="I61" s="75">
        <v>0</v>
      </c>
      <c r="J61" s="75">
        <v>0</v>
      </c>
      <c r="K61" s="75">
        <v>0</v>
      </c>
      <c r="L61" s="58">
        <v>0</v>
      </c>
      <c r="M61" s="58">
        <v>0</v>
      </c>
      <c r="N61" s="76">
        <v>0</v>
      </c>
      <c r="O61" s="76">
        <v>0</v>
      </c>
      <c r="P61" s="76">
        <v>0</v>
      </c>
      <c r="Q61" s="76">
        <v>0</v>
      </c>
      <c r="R61" s="76">
        <v>0</v>
      </c>
      <c r="S61" s="58">
        <v>0</v>
      </c>
    </row>
    <row r="62" spans="1:19" ht="12" x14ac:dyDescent="0.2">
      <c r="A62" s="8"/>
      <c r="B62" s="31" t="s">
        <v>137</v>
      </c>
      <c r="C62" s="10">
        <v>253800</v>
      </c>
      <c r="D62" s="34" t="s">
        <v>131</v>
      </c>
      <c r="E62" s="11" t="s">
        <v>11</v>
      </c>
      <c r="F62" s="12"/>
      <c r="G62" s="57" t="s">
        <v>138</v>
      </c>
      <c r="H62" s="75">
        <v>0</v>
      </c>
      <c r="I62" s="75">
        <v>0</v>
      </c>
      <c r="J62" s="75">
        <v>0</v>
      </c>
      <c r="K62" s="75">
        <v>0</v>
      </c>
      <c r="L62" s="58">
        <v>0</v>
      </c>
      <c r="M62" s="58">
        <v>0</v>
      </c>
      <c r="N62" s="76">
        <v>0</v>
      </c>
      <c r="O62" s="76">
        <v>0</v>
      </c>
      <c r="P62" s="76">
        <v>0</v>
      </c>
      <c r="Q62" s="76">
        <v>0</v>
      </c>
      <c r="R62" s="76">
        <v>0</v>
      </c>
      <c r="S62" s="58">
        <v>0</v>
      </c>
    </row>
    <row r="63" spans="1:19" ht="12" x14ac:dyDescent="0.2">
      <c r="A63" s="8"/>
      <c r="B63" s="31" t="s">
        <v>139</v>
      </c>
      <c r="C63" s="10">
        <v>150</v>
      </c>
      <c r="D63" s="34" t="s">
        <v>135</v>
      </c>
      <c r="E63" s="11" t="s">
        <v>89</v>
      </c>
      <c r="F63" s="12"/>
      <c r="G63" s="57" t="s">
        <v>140</v>
      </c>
      <c r="H63" s="75">
        <v>0</v>
      </c>
      <c r="I63" s="75">
        <v>0</v>
      </c>
      <c r="J63" s="75">
        <v>0</v>
      </c>
      <c r="K63" s="75">
        <v>0</v>
      </c>
      <c r="L63" s="58">
        <v>0</v>
      </c>
      <c r="M63" s="58">
        <v>0</v>
      </c>
      <c r="N63" s="76">
        <v>0</v>
      </c>
      <c r="O63" s="76">
        <v>0</v>
      </c>
      <c r="P63" s="76">
        <v>0</v>
      </c>
      <c r="Q63" s="76">
        <v>0</v>
      </c>
      <c r="R63" s="76">
        <v>0</v>
      </c>
      <c r="S63" s="58">
        <v>0</v>
      </c>
    </row>
    <row r="64" spans="1:19" ht="12" x14ac:dyDescent="0.2">
      <c r="A64" s="8"/>
      <c r="B64" s="31" t="s">
        <v>141</v>
      </c>
      <c r="C64" s="34" t="s">
        <v>142</v>
      </c>
      <c r="D64" s="34" t="s">
        <v>131</v>
      </c>
      <c r="E64" s="11" t="s">
        <v>11</v>
      </c>
      <c r="F64" s="12"/>
      <c r="G64" s="57" t="s">
        <v>143</v>
      </c>
      <c r="H64" s="75">
        <v>0</v>
      </c>
      <c r="I64" s="75">
        <v>0</v>
      </c>
      <c r="J64" s="75">
        <v>0</v>
      </c>
      <c r="K64" s="75">
        <v>0</v>
      </c>
      <c r="L64" s="58">
        <v>0</v>
      </c>
      <c r="M64" s="58">
        <v>0</v>
      </c>
      <c r="N64" s="76">
        <v>0</v>
      </c>
      <c r="O64" s="76">
        <v>0</v>
      </c>
      <c r="P64" s="76">
        <v>0</v>
      </c>
      <c r="Q64" s="76">
        <v>0</v>
      </c>
      <c r="R64" s="76">
        <v>0</v>
      </c>
      <c r="S64" s="58">
        <v>0</v>
      </c>
    </row>
    <row r="65" spans="1:19" ht="12" x14ac:dyDescent="0.2">
      <c r="A65" s="8"/>
      <c r="B65" s="31" t="s">
        <v>144</v>
      </c>
      <c r="C65" s="8" t="s">
        <v>373</v>
      </c>
      <c r="D65" s="34" t="s">
        <v>135</v>
      </c>
      <c r="E65" s="11" t="s">
        <v>89</v>
      </c>
      <c r="F65" s="12"/>
      <c r="G65" s="57" t="s">
        <v>145</v>
      </c>
      <c r="H65" s="75">
        <v>0</v>
      </c>
      <c r="I65" s="75">
        <v>0</v>
      </c>
      <c r="J65" s="75">
        <v>0</v>
      </c>
      <c r="K65" s="75">
        <v>0</v>
      </c>
      <c r="L65" s="58">
        <v>0</v>
      </c>
      <c r="M65" s="58">
        <v>0</v>
      </c>
      <c r="N65" s="76">
        <v>0</v>
      </c>
      <c r="O65" s="76">
        <v>0</v>
      </c>
      <c r="P65" s="76">
        <v>0</v>
      </c>
      <c r="Q65" s="76">
        <v>0</v>
      </c>
      <c r="R65" s="76">
        <v>0</v>
      </c>
      <c r="S65" s="58">
        <v>0</v>
      </c>
    </row>
    <row r="66" spans="1:19" ht="12" x14ac:dyDescent="0.2">
      <c r="A66" s="8"/>
      <c r="B66" s="31" t="s">
        <v>146</v>
      </c>
      <c r="C66" s="8" t="s">
        <v>373</v>
      </c>
      <c r="D66" s="34" t="s">
        <v>131</v>
      </c>
      <c r="E66" s="11" t="s">
        <v>11</v>
      </c>
      <c r="F66" s="12"/>
      <c r="G66" s="57" t="s">
        <v>147</v>
      </c>
      <c r="H66" s="75">
        <v>0</v>
      </c>
      <c r="I66" s="75">
        <v>0</v>
      </c>
      <c r="J66" s="75">
        <v>0</v>
      </c>
      <c r="K66" s="75">
        <v>0</v>
      </c>
      <c r="L66" s="58">
        <v>0</v>
      </c>
      <c r="M66" s="58">
        <v>0</v>
      </c>
      <c r="N66" s="76">
        <v>0</v>
      </c>
      <c r="O66" s="76">
        <v>0</v>
      </c>
      <c r="P66" s="76">
        <v>0</v>
      </c>
      <c r="Q66" s="76">
        <v>0</v>
      </c>
      <c r="R66" s="76">
        <v>0</v>
      </c>
      <c r="S66" s="58">
        <v>0</v>
      </c>
    </row>
    <row r="67" spans="1:19" ht="12" x14ac:dyDescent="0.2">
      <c r="A67" s="8"/>
      <c r="B67" s="31" t="s">
        <v>148</v>
      </c>
      <c r="C67" s="8" t="s">
        <v>149</v>
      </c>
      <c r="D67" s="34" t="s">
        <v>135</v>
      </c>
      <c r="E67" s="11" t="s">
        <v>89</v>
      </c>
      <c r="F67" s="12"/>
      <c r="G67" s="57" t="s">
        <v>150</v>
      </c>
      <c r="H67" s="75">
        <v>0</v>
      </c>
      <c r="I67" s="75">
        <v>0</v>
      </c>
      <c r="J67" s="75">
        <v>0</v>
      </c>
      <c r="K67" s="75">
        <v>0</v>
      </c>
      <c r="L67" s="58">
        <v>0</v>
      </c>
      <c r="M67" s="58">
        <v>0</v>
      </c>
      <c r="N67" s="76">
        <v>0</v>
      </c>
      <c r="O67" s="76">
        <v>0</v>
      </c>
      <c r="P67" s="76">
        <v>0</v>
      </c>
      <c r="Q67" s="76">
        <v>0</v>
      </c>
      <c r="R67" s="76">
        <v>0</v>
      </c>
      <c r="S67" s="58">
        <v>0</v>
      </c>
    </row>
    <row r="68" spans="1:19" ht="12" x14ac:dyDescent="0.2">
      <c r="A68" s="8"/>
      <c r="B68" s="31" t="s">
        <v>151</v>
      </c>
      <c r="C68" s="8" t="s">
        <v>149</v>
      </c>
      <c r="D68" s="34" t="s">
        <v>131</v>
      </c>
      <c r="E68" s="11" t="s">
        <v>11</v>
      </c>
      <c r="F68" s="12"/>
      <c r="G68" s="57" t="s">
        <v>152</v>
      </c>
      <c r="H68" s="75">
        <v>0</v>
      </c>
      <c r="I68" s="75">
        <v>0</v>
      </c>
      <c r="J68" s="75">
        <v>0</v>
      </c>
      <c r="K68" s="75">
        <v>0</v>
      </c>
      <c r="L68" s="58">
        <v>0</v>
      </c>
      <c r="M68" s="58">
        <v>0</v>
      </c>
      <c r="N68" s="76">
        <v>0</v>
      </c>
      <c r="O68" s="76">
        <v>0</v>
      </c>
      <c r="P68" s="76">
        <v>0</v>
      </c>
      <c r="Q68" s="76">
        <v>0</v>
      </c>
      <c r="R68" s="76">
        <v>0</v>
      </c>
      <c r="S68" s="58">
        <v>0</v>
      </c>
    </row>
    <row r="69" spans="1:19" ht="12" x14ac:dyDescent="0.2">
      <c r="A69" s="8"/>
      <c r="B69" s="31" t="s">
        <v>153</v>
      </c>
      <c r="C69" s="34" t="s">
        <v>142</v>
      </c>
      <c r="D69" s="34" t="s">
        <v>131</v>
      </c>
      <c r="E69" s="11" t="s">
        <v>11</v>
      </c>
      <c r="F69" s="12"/>
      <c r="G69" s="57" t="s">
        <v>154</v>
      </c>
      <c r="H69" s="75">
        <v>0</v>
      </c>
      <c r="I69" s="75">
        <v>0</v>
      </c>
      <c r="J69" s="75">
        <v>0</v>
      </c>
      <c r="K69" s="75">
        <v>0</v>
      </c>
      <c r="L69" s="58">
        <v>0</v>
      </c>
      <c r="M69" s="58">
        <v>0</v>
      </c>
      <c r="N69" s="76">
        <v>0</v>
      </c>
      <c r="O69" s="76">
        <v>0</v>
      </c>
      <c r="P69" s="76">
        <v>0</v>
      </c>
      <c r="Q69" s="76">
        <v>0</v>
      </c>
      <c r="R69" s="76">
        <v>0</v>
      </c>
      <c r="S69" s="58">
        <v>0</v>
      </c>
    </row>
    <row r="70" spans="1:19" ht="12" x14ac:dyDescent="0.2">
      <c r="A70" s="8"/>
      <c r="B70" s="31" t="s">
        <v>155</v>
      </c>
      <c r="C70" s="35" t="s">
        <v>156</v>
      </c>
      <c r="D70" s="8"/>
      <c r="E70" s="11" t="s">
        <v>72</v>
      </c>
      <c r="F70" s="12"/>
      <c r="G70" s="57" t="s">
        <v>107</v>
      </c>
      <c r="H70" s="75">
        <v>0</v>
      </c>
      <c r="I70" s="75">
        <v>0</v>
      </c>
      <c r="J70" s="75">
        <v>0</v>
      </c>
      <c r="K70" s="75">
        <v>0</v>
      </c>
      <c r="L70" s="58">
        <v>0</v>
      </c>
      <c r="M70" s="58">
        <v>0.28000000000000003</v>
      </c>
      <c r="N70" s="76">
        <v>0</v>
      </c>
      <c r="O70" s="76">
        <v>0</v>
      </c>
      <c r="P70" s="76">
        <v>0</v>
      </c>
      <c r="Q70" s="76">
        <v>0</v>
      </c>
      <c r="R70" s="76">
        <v>0</v>
      </c>
      <c r="S70" s="58">
        <v>0</v>
      </c>
    </row>
    <row r="71" spans="1:19" x14ac:dyDescent="0.2">
      <c r="A71" s="8"/>
      <c r="B71" s="31" t="s">
        <v>157</v>
      </c>
      <c r="C71" s="10"/>
      <c r="D71" s="8"/>
      <c r="E71" s="12"/>
      <c r="F71" s="12"/>
      <c r="G71" s="69" t="s">
        <v>158</v>
      </c>
      <c r="H71" s="75">
        <f t="shared" ref="H71:S71" si="16">SUM(H58:H70)</f>
        <v>0</v>
      </c>
      <c r="I71" s="75">
        <f t="shared" si="16"/>
        <v>0</v>
      </c>
      <c r="J71" s="75">
        <f t="shared" si="16"/>
        <v>0</v>
      </c>
      <c r="K71" s="75">
        <f t="shared" si="16"/>
        <v>0</v>
      </c>
      <c r="L71" s="56">
        <f t="shared" si="16"/>
        <v>0</v>
      </c>
      <c r="M71" s="56">
        <f t="shared" si="16"/>
        <v>-7.41</v>
      </c>
      <c r="N71" s="77">
        <f t="shared" si="16"/>
        <v>-3.3769999999999998</v>
      </c>
      <c r="O71" s="77">
        <f t="shared" si="16"/>
        <v>0</v>
      </c>
      <c r="P71" s="77">
        <f t="shared" si="16"/>
        <v>0</v>
      </c>
      <c r="Q71" s="77">
        <f t="shared" si="16"/>
        <v>0</v>
      </c>
      <c r="R71" s="77">
        <f t="shared" si="16"/>
        <v>0</v>
      </c>
      <c r="S71" s="56">
        <f t="shared" si="16"/>
        <v>-5</v>
      </c>
    </row>
    <row r="72" spans="1:19" x14ac:dyDescent="0.2">
      <c r="A72" s="8"/>
      <c r="B72" s="2"/>
      <c r="C72" s="10"/>
      <c r="D72" s="8"/>
      <c r="E72" s="9"/>
      <c r="G72" s="67"/>
      <c r="H72" s="48"/>
      <c r="I72" s="48"/>
      <c r="J72" s="48"/>
      <c r="K72" s="48"/>
      <c r="L72" s="48"/>
      <c r="M72" s="48"/>
      <c r="N72" s="4"/>
      <c r="O72" s="4"/>
      <c r="P72" s="4"/>
      <c r="Q72" s="4"/>
      <c r="R72" s="4"/>
      <c r="S72" s="48"/>
    </row>
    <row r="73" spans="1:19" x14ac:dyDescent="0.2">
      <c r="A73" s="8"/>
      <c r="B73" s="2"/>
      <c r="C73" s="10"/>
      <c r="D73" s="29" t="s">
        <v>120</v>
      </c>
      <c r="E73" s="30" t="s">
        <v>3</v>
      </c>
      <c r="F73" s="9"/>
      <c r="G73" s="53" t="s">
        <v>159</v>
      </c>
      <c r="H73" s="86">
        <f t="shared" ref="H73:S73" si="17">H57</f>
        <v>2011</v>
      </c>
      <c r="I73" s="86">
        <f t="shared" si="17"/>
        <v>2012</v>
      </c>
      <c r="J73" s="86">
        <f t="shared" si="17"/>
        <v>2013</v>
      </c>
      <c r="K73" s="86">
        <f t="shared" si="17"/>
        <v>2014</v>
      </c>
      <c r="L73" s="64">
        <f t="shared" si="17"/>
        <v>2015</v>
      </c>
      <c r="M73" s="64">
        <f t="shared" si="17"/>
        <v>2016</v>
      </c>
      <c r="N73" s="87">
        <f t="shared" si="17"/>
        <v>2017</v>
      </c>
      <c r="O73" s="87">
        <f t="shared" si="17"/>
        <v>2018</v>
      </c>
      <c r="P73" s="87">
        <f t="shared" si="17"/>
        <v>2019</v>
      </c>
      <c r="Q73" s="87">
        <f t="shared" si="17"/>
        <v>2020</v>
      </c>
      <c r="R73" s="87">
        <f t="shared" si="17"/>
        <v>2021</v>
      </c>
      <c r="S73" s="64">
        <f t="shared" si="17"/>
        <v>2022</v>
      </c>
    </row>
    <row r="74" spans="1:19" ht="12" x14ac:dyDescent="0.2">
      <c r="A74" s="8"/>
      <c r="B74" s="2" t="s">
        <v>160</v>
      </c>
      <c r="C74" s="34" t="s">
        <v>161</v>
      </c>
      <c r="D74" s="34" t="s">
        <v>128</v>
      </c>
      <c r="E74" s="11" t="s">
        <v>11</v>
      </c>
      <c r="G74" s="55" t="s">
        <v>162</v>
      </c>
      <c r="H74" s="75">
        <v>0</v>
      </c>
      <c r="I74" s="75">
        <v>0</v>
      </c>
      <c r="J74" s="75">
        <v>0</v>
      </c>
      <c r="K74" s="75">
        <v>0</v>
      </c>
      <c r="L74" s="58">
        <v>0</v>
      </c>
      <c r="M74" s="58">
        <v>0</v>
      </c>
      <c r="N74" s="76">
        <v>0</v>
      </c>
      <c r="O74" s="76">
        <v>0</v>
      </c>
      <c r="P74" s="76">
        <v>0</v>
      </c>
      <c r="Q74" s="76">
        <v>0</v>
      </c>
      <c r="R74" s="76">
        <v>0</v>
      </c>
      <c r="S74" s="58">
        <v>0</v>
      </c>
    </row>
    <row r="75" spans="1:19" ht="12" x14ac:dyDescent="0.2">
      <c r="A75" s="8"/>
      <c r="B75" s="2" t="s">
        <v>163</v>
      </c>
      <c r="C75" s="34" t="s">
        <v>161</v>
      </c>
      <c r="D75" s="34" t="s">
        <v>124</v>
      </c>
      <c r="E75" s="11" t="s">
        <v>89</v>
      </c>
      <c r="F75" s="12"/>
      <c r="G75" s="57" t="s">
        <v>164</v>
      </c>
      <c r="H75" s="75">
        <v>0</v>
      </c>
      <c r="I75" s="75">
        <v>0</v>
      </c>
      <c r="J75" s="75">
        <v>0</v>
      </c>
      <c r="K75" s="75">
        <v>0</v>
      </c>
      <c r="L75" s="58">
        <v>0</v>
      </c>
      <c r="M75" s="58">
        <v>0</v>
      </c>
      <c r="N75" s="76">
        <v>0</v>
      </c>
      <c r="O75" s="76">
        <v>0</v>
      </c>
      <c r="P75" s="76">
        <v>0</v>
      </c>
      <c r="Q75" s="76">
        <v>0</v>
      </c>
      <c r="R75" s="76">
        <v>0</v>
      </c>
      <c r="S75" s="58">
        <v>0</v>
      </c>
    </row>
    <row r="76" spans="1:19" ht="12" x14ac:dyDescent="0.2">
      <c r="A76" s="8"/>
      <c r="B76" s="2" t="s">
        <v>165</v>
      </c>
      <c r="C76" s="34" t="s">
        <v>166</v>
      </c>
      <c r="D76" s="34" t="s">
        <v>131</v>
      </c>
      <c r="E76" s="11" t="s">
        <v>11</v>
      </c>
      <c r="G76" s="57" t="s">
        <v>167</v>
      </c>
      <c r="H76" s="75">
        <v>0</v>
      </c>
      <c r="I76" s="75">
        <v>0</v>
      </c>
      <c r="J76" s="75">
        <v>0</v>
      </c>
      <c r="K76" s="75">
        <v>0</v>
      </c>
      <c r="L76" s="58">
        <v>0</v>
      </c>
      <c r="M76" s="58">
        <v>0</v>
      </c>
      <c r="N76" s="76">
        <v>0</v>
      </c>
      <c r="O76" s="76">
        <v>0</v>
      </c>
      <c r="P76" s="76">
        <v>0</v>
      </c>
      <c r="Q76" s="76">
        <v>0</v>
      </c>
      <c r="R76" s="76">
        <v>0</v>
      </c>
      <c r="S76" s="58">
        <v>0</v>
      </c>
    </row>
    <row r="77" spans="1:19" ht="12" x14ac:dyDescent="0.2">
      <c r="A77" s="8"/>
      <c r="B77" s="2" t="s">
        <v>168</v>
      </c>
      <c r="C77" s="34" t="s">
        <v>166</v>
      </c>
      <c r="D77" s="34" t="s">
        <v>135</v>
      </c>
      <c r="E77" s="11" t="s">
        <v>89</v>
      </c>
      <c r="F77" s="12"/>
      <c r="G77" s="57" t="s">
        <v>169</v>
      </c>
      <c r="H77" s="75">
        <v>0</v>
      </c>
      <c r="I77" s="75">
        <v>0</v>
      </c>
      <c r="J77" s="75">
        <v>0</v>
      </c>
      <c r="K77" s="75">
        <v>0</v>
      </c>
      <c r="L77" s="58">
        <v>0</v>
      </c>
      <c r="M77" s="58">
        <v>0</v>
      </c>
      <c r="N77" s="76">
        <v>0</v>
      </c>
      <c r="O77" s="76">
        <v>0</v>
      </c>
      <c r="P77" s="76">
        <v>0</v>
      </c>
      <c r="Q77" s="76">
        <v>0</v>
      </c>
      <c r="R77" s="76">
        <v>0</v>
      </c>
      <c r="S77" s="58">
        <v>0</v>
      </c>
    </row>
    <row r="78" spans="1:19" ht="12" x14ac:dyDescent="0.2">
      <c r="A78" s="8"/>
      <c r="B78" s="2" t="s">
        <v>170</v>
      </c>
      <c r="C78" s="34" t="s">
        <v>171</v>
      </c>
      <c r="D78" s="34" t="s">
        <v>135</v>
      </c>
      <c r="E78" s="11" t="s">
        <v>89</v>
      </c>
      <c r="F78" s="12"/>
      <c r="G78" s="57" t="s">
        <v>172</v>
      </c>
      <c r="H78" s="75">
        <v>0</v>
      </c>
      <c r="I78" s="75">
        <v>0</v>
      </c>
      <c r="J78" s="75">
        <v>0</v>
      </c>
      <c r="K78" s="75">
        <v>0</v>
      </c>
      <c r="L78" s="58">
        <v>0</v>
      </c>
      <c r="M78" s="58">
        <v>0</v>
      </c>
      <c r="N78" s="76">
        <v>0</v>
      </c>
      <c r="O78" s="76">
        <v>0</v>
      </c>
      <c r="P78" s="76">
        <v>0</v>
      </c>
      <c r="Q78" s="76">
        <v>0</v>
      </c>
      <c r="R78" s="76">
        <v>0</v>
      </c>
      <c r="S78" s="58">
        <v>0</v>
      </c>
    </row>
    <row r="79" spans="1:19" ht="12" x14ac:dyDescent="0.2">
      <c r="A79" s="8"/>
      <c r="B79" s="2" t="s">
        <v>173</v>
      </c>
      <c r="C79" s="34" t="s">
        <v>174</v>
      </c>
      <c r="D79" s="34" t="s">
        <v>135</v>
      </c>
      <c r="E79" s="11" t="s">
        <v>89</v>
      </c>
      <c r="F79" s="12"/>
      <c r="G79" s="57" t="s">
        <v>175</v>
      </c>
      <c r="H79" s="75">
        <v>0</v>
      </c>
      <c r="I79" s="75">
        <v>-0.311</v>
      </c>
      <c r="J79" s="75">
        <v>0</v>
      </c>
      <c r="K79" s="75">
        <v>0</v>
      </c>
      <c r="L79" s="58">
        <v>0</v>
      </c>
      <c r="M79" s="58">
        <v>0</v>
      </c>
      <c r="N79" s="76">
        <v>0</v>
      </c>
      <c r="O79" s="76">
        <v>0</v>
      </c>
      <c r="P79" s="76">
        <v>0</v>
      </c>
      <c r="Q79" s="76">
        <v>0</v>
      </c>
      <c r="R79" s="76">
        <v>0</v>
      </c>
      <c r="S79" s="58">
        <v>0</v>
      </c>
    </row>
    <row r="80" spans="1:19" ht="12" x14ac:dyDescent="0.2">
      <c r="A80" s="8"/>
      <c r="B80" s="2" t="s">
        <v>176</v>
      </c>
      <c r="C80" s="34" t="s">
        <v>177</v>
      </c>
      <c r="D80" s="34" t="s">
        <v>135</v>
      </c>
      <c r="E80" s="11" t="s">
        <v>89</v>
      </c>
      <c r="F80" s="12"/>
      <c r="G80" s="57" t="s">
        <v>178</v>
      </c>
      <c r="H80" s="75">
        <v>0</v>
      </c>
      <c r="I80" s="75">
        <v>0</v>
      </c>
      <c r="J80" s="75">
        <v>0</v>
      </c>
      <c r="K80" s="75">
        <v>0</v>
      </c>
      <c r="L80" s="58">
        <v>0</v>
      </c>
      <c r="M80" s="58">
        <v>0</v>
      </c>
      <c r="N80" s="76">
        <v>0</v>
      </c>
      <c r="O80" s="76">
        <v>0</v>
      </c>
      <c r="P80" s="76">
        <v>0</v>
      </c>
      <c r="Q80" s="76">
        <v>0</v>
      </c>
      <c r="R80" s="76">
        <v>0</v>
      </c>
      <c r="S80" s="58">
        <v>0</v>
      </c>
    </row>
    <row r="81" spans="1:19" ht="12" x14ac:dyDescent="0.2">
      <c r="A81" s="8"/>
      <c r="B81" s="2" t="s">
        <v>179</v>
      </c>
      <c r="C81" s="34" t="s">
        <v>52</v>
      </c>
      <c r="D81" s="34" t="s">
        <v>135</v>
      </c>
      <c r="E81" s="11" t="s">
        <v>89</v>
      </c>
      <c r="F81" s="12"/>
      <c r="G81" s="57" t="s">
        <v>180</v>
      </c>
      <c r="H81" s="75">
        <v>0</v>
      </c>
      <c r="I81" s="75">
        <v>0</v>
      </c>
      <c r="J81" s="75">
        <v>0</v>
      </c>
      <c r="K81" s="75">
        <v>0</v>
      </c>
      <c r="L81" s="58">
        <v>0</v>
      </c>
      <c r="M81" s="58">
        <v>0</v>
      </c>
      <c r="N81" s="76">
        <v>0</v>
      </c>
      <c r="O81" s="76">
        <v>0</v>
      </c>
      <c r="P81" s="76">
        <v>0</v>
      </c>
      <c r="Q81" s="76">
        <v>0</v>
      </c>
      <c r="R81" s="76">
        <v>0</v>
      </c>
      <c r="S81" s="58">
        <v>0</v>
      </c>
    </row>
    <row r="82" spans="1:19" ht="12" x14ac:dyDescent="0.2">
      <c r="A82" s="8"/>
      <c r="B82" s="2" t="s">
        <v>181</v>
      </c>
      <c r="C82" s="34" t="s">
        <v>182</v>
      </c>
      <c r="D82" s="34" t="s">
        <v>131</v>
      </c>
      <c r="E82" s="11" t="s">
        <v>11</v>
      </c>
      <c r="G82" s="57" t="s">
        <v>183</v>
      </c>
      <c r="H82" s="75">
        <v>0</v>
      </c>
      <c r="I82" s="75">
        <v>0</v>
      </c>
      <c r="J82" s="75">
        <v>0</v>
      </c>
      <c r="K82" s="75">
        <v>0</v>
      </c>
      <c r="L82" s="58">
        <v>0</v>
      </c>
      <c r="M82" s="58">
        <v>0</v>
      </c>
      <c r="N82" s="76">
        <v>0</v>
      </c>
      <c r="O82" s="76">
        <v>0</v>
      </c>
      <c r="P82" s="76">
        <v>0</v>
      </c>
      <c r="Q82" s="76">
        <v>0</v>
      </c>
      <c r="R82" s="76">
        <v>0</v>
      </c>
      <c r="S82" s="58">
        <v>0</v>
      </c>
    </row>
    <row r="83" spans="1:19" ht="12" x14ac:dyDescent="0.2">
      <c r="A83" s="8"/>
      <c r="B83" s="2" t="s">
        <v>184</v>
      </c>
      <c r="C83" s="34" t="s">
        <v>182</v>
      </c>
      <c r="D83" s="34" t="s">
        <v>135</v>
      </c>
      <c r="E83" s="11" t="s">
        <v>89</v>
      </c>
      <c r="F83" s="12"/>
      <c r="G83" s="57" t="s">
        <v>374</v>
      </c>
      <c r="H83" s="75">
        <v>0</v>
      </c>
      <c r="I83" s="75">
        <v>0</v>
      </c>
      <c r="J83" s="75">
        <v>0</v>
      </c>
      <c r="K83" s="75">
        <v>0</v>
      </c>
      <c r="L83" s="58">
        <v>0</v>
      </c>
      <c r="M83" s="58">
        <v>0</v>
      </c>
      <c r="N83" s="76">
        <v>0</v>
      </c>
      <c r="O83" s="76">
        <v>0</v>
      </c>
      <c r="P83" s="76">
        <v>0</v>
      </c>
      <c r="Q83" s="76">
        <v>0</v>
      </c>
      <c r="R83" s="76">
        <v>0</v>
      </c>
      <c r="S83" s="58">
        <v>0</v>
      </c>
    </row>
    <row r="84" spans="1:19" ht="12" x14ac:dyDescent="0.2">
      <c r="A84" s="8"/>
      <c r="B84" s="2" t="s">
        <v>185</v>
      </c>
      <c r="C84" s="34" t="s">
        <v>375</v>
      </c>
      <c r="D84" s="34" t="s">
        <v>135</v>
      </c>
      <c r="E84" s="11" t="s">
        <v>89</v>
      </c>
      <c r="F84" s="12"/>
      <c r="G84" s="57" t="s">
        <v>376</v>
      </c>
      <c r="H84" s="75">
        <v>0</v>
      </c>
      <c r="I84" s="75">
        <v>0</v>
      </c>
      <c r="J84" s="75">
        <v>0</v>
      </c>
      <c r="K84" s="75">
        <v>0</v>
      </c>
      <c r="L84" s="58">
        <v>0</v>
      </c>
      <c r="M84" s="58">
        <v>0</v>
      </c>
      <c r="N84" s="76">
        <v>0</v>
      </c>
      <c r="O84" s="76">
        <v>0</v>
      </c>
      <c r="P84" s="76">
        <v>0</v>
      </c>
      <c r="Q84" s="76">
        <v>0</v>
      </c>
      <c r="R84" s="76">
        <v>0</v>
      </c>
      <c r="S84" s="58">
        <v>0</v>
      </c>
    </row>
    <row r="85" spans="1:19" ht="12" x14ac:dyDescent="0.2">
      <c r="A85" s="8"/>
      <c r="B85" s="2" t="s">
        <v>186</v>
      </c>
      <c r="C85" s="36">
        <v>68</v>
      </c>
      <c r="D85" s="34" t="s">
        <v>135</v>
      </c>
      <c r="E85" s="11" t="s">
        <v>89</v>
      </c>
      <c r="F85" s="12"/>
      <c r="G85" s="70" t="s">
        <v>111</v>
      </c>
      <c r="H85" s="75">
        <v>0</v>
      </c>
      <c r="I85" s="75">
        <v>0</v>
      </c>
      <c r="J85" s="75">
        <v>0</v>
      </c>
      <c r="K85" s="75">
        <v>0</v>
      </c>
      <c r="L85" s="58">
        <v>0</v>
      </c>
      <c r="M85" s="58">
        <v>0</v>
      </c>
      <c r="N85" s="76">
        <v>0</v>
      </c>
      <c r="O85" s="76">
        <v>0</v>
      </c>
      <c r="P85" s="76">
        <v>0</v>
      </c>
      <c r="Q85" s="76">
        <v>0</v>
      </c>
      <c r="R85" s="76">
        <v>0</v>
      </c>
      <c r="S85" s="58">
        <v>0</v>
      </c>
    </row>
    <row r="86" spans="1:19" x14ac:dyDescent="0.2">
      <c r="A86" s="8"/>
      <c r="B86" s="2" t="s">
        <v>377</v>
      </c>
      <c r="C86" s="10"/>
      <c r="D86" s="10"/>
      <c r="E86" s="9"/>
      <c r="G86" s="70" t="s">
        <v>158</v>
      </c>
      <c r="H86" s="75">
        <f t="shared" ref="H86:S86" si="18">SUM(H74:H85)</f>
        <v>0</v>
      </c>
      <c r="I86" s="75">
        <f t="shared" si="18"/>
        <v>-0.311</v>
      </c>
      <c r="J86" s="75">
        <f t="shared" si="18"/>
        <v>0</v>
      </c>
      <c r="K86" s="75">
        <f t="shared" si="18"/>
        <v>0</v>
      </c>
      <c r="L86" s="56">
        <f t="shared" si="18"/>
        <v>0</v>
      </c>
      <c r="M86" s="56">
        <f t="shared" si="18"/>
        <v>0</v>
      </c>
      <c r="N86" s="56">
        <f t="shared" si="18"/>
        <v>0</v>
      </c>
      <c r="O86" s="56">
        <f t="shared" si="18"/>
        <v>0</v>
      </c>
      <c r="P86" s="56">
        <f t="shared" si="18"/>
        <v>0</v>
      </c>
      <c r="Q86" s="56">
        <f t="shared" si="18"/>
        <v>0</v>
      </c>
      <c r="R86" s="56">
        <f t="shared" si="18"/>
        <v>0</v>
      </c>
      <c r="S86" s="56">
        <f t="shared" si="18"/>
        <v>0</v>
      </c>
    </row>
    <row r="87" spans="1:19" s="4" customFormat="1" x14ac:dyDescent="0.2">
      <c r="A87" s="8"/>
      <c r="B87" s="2" t="s">
        <v>378</v>
      </c>
      <c r="C87" s="10"/>
      <c r="D87" s="10"/>
      <c r="E87" s="9"/>
      <c r="F87" s="8"/>
      <c r="G87" s="89" t="s">
        <v>379</v>
      </c>
      <c r="H87" s="90"/>
      <c r="I87" s="91">
        <f t="shared" ref="I87:S87" si="19">(I14+I15)-(H14+H15-I58-I59+I45)</f>
        <v>0</v>
      </c>
      <c r="J87" s="91">
        <f t="shared" si="19"/>
        <v>0</v>
      </c>
      <c r="K87" s="91">
        <f t="shared" si="19"/>
        <v>0</v>
      </c>
      <c r="L87" s="85">
        <f t="shared" si="19"/>
        <v>215.16</v>
      </c>
      <c r="M87" s="85">
        <f t="shared" si="19"/>
        <v>0</v>
      </c>
      <c r="N87" s="85">
        <f>(N14+N15)-(M14+M15-N58-N59+N45)</f>
        <v>0</v>
      </c>
      <c r="O87" s="85">
        <f t="shared" si="19"/>
        <v>0.4030000000000058</v>
      </c>
      <c r="P87" s="85">
        <f t="shared" si="19"/>
        <v>0</v>
      </c>
      <c r="Q87" s="85">
        <f t="shared" si="19"/>
        <v>0</v>
      </c>
      <c r="R87" s="85">
        <f t="shared" si="19"/>
        <v>0</v>
      </c>
      <c r="S87" s="85">
        <f t="shared" si="19"/>
        <v>0</v>
      </c>
    </row>
    <row r="88" spans="1:19" s="4" customFormat="1" x14ac:dyDescent="0.2">
      <c r="A88" s="8"/>
      <c r="B88" s="2" t="s">
        <v>380</v>
      </c>
      <c r="C88" s="10"/>
      <c r="D88" s="10"/>
      <c r="E88" s="9"/>
      <c r="F88" s="8"/>
      <c r="G88" s="89" t="s">
        <v>381</v>
      </c>
      <c r="H88" s="90"/>
      <c r="I88" s="91">
        <f>I24-(H24+(I74+I76)+(I75+I77)+(I78))</f>
        <v>0</v>
      </c>
      <c r="J88" s="91">
        <f>J24-(I24+(J74+J76)+(J75+J77)+(J78))</f>
        <v>0</v>
      </c>
      <c r="K88" s="91">
        <f>K24-(J24+(K74+K76)+(K75+K77)+(K78))</f>
        <v>0</v>
      </c>
      <c r="L88" s="85">
        <f>L24-(K24+(L74+L76)+(L75+L77)+(L78))</f>
        <v>0</v>
      </c>
      <c r="M88" s="85">
        <f>M24-(L24+(M74+M76)+(M75+M77)+(M78))</f>
        <v>0</v>
      </c>
      <c r="N88" s="85">
        <f t="shared" ref="N88:S88" si="20">N24-(M24+(N74+N76)+(N75+N77)+(N78))</f>
        <v>0</v>
      </c>
      <c r="O88" s="85">
        <f t="shared" si="20"/>
        <v>0</v>
      </c>
      <c r="P88" s="85">
        <f t="shared" si="20"/>
        <v>0</v>
      </c>
      <c r="Q88" s="85">
        <f t="shared" si="20"/>
        <v>0</v>
      </c>
      <c r="R88" s="85">
        <f t="shared" si="20"/>
        <v>0</v>
      </c>
      <c r="S88" s="85">
        <f t="shared" si="20"/>
        <v>0</v>
      </c>
    </row>
    <row r="89" spans="1:19" s="4" customFormat="1" x14ac:dyDescent="0.2">
      <c r="A89" s="8"/>
      <c r="B89" s="2" t="s">
        <v>382</v>
      </c>
      <c r="C89" s="10"/>
      <c r="D89" s="10"/>
      <c r="E89" s="9"/>
      <c r="F89" s="8"/>
      <c r="G89" s="89" t="s">
        <v>383</v>
      </c>
      <c r="H89" s="90"/>
      <c r="I89" s="91">
        <f t="shared" ref="I89:S89" si="21">I28-(H28+(I82+I83))</f>
        <v>0</v>
      </c>
      <c r="J89" s="91">
        <f t="shared" si="21"/>
        <v>0</v>
      </c>
      <c r="K89" s="91">
        <f t="shared" si="21"/>
        <v>0</v>
      </c>
      <c r="L89" s="85">
        <f t="shared" si="21"/>
        <v>253.96100000000001</v>
      </c>
      <c r="M89" s="85">
        <f t="shared" si="21"/>
        <v>0</v>
      </c>
      <c r="N89" s="85">
        <f t="shared" si="21"/>
        <v>0</v>
      </c>
      <c r="O89" s="85">
        <f t="shared" si="21"/>
        <v>3.8999999999987267E-2</v>
      </c>
      <c r="P89" s="85">
        <f t="shared" si="21"/>
        <v>0</v>
      </c>
      <c r="Q89" s="85">
        <f t="shared" si="21"/>
        <v>0</v>
      </c>
      <c r="R89" s="85">
        <f t="shared" si="21"/>
        <v>0</v>
      </c>
      <c r="S89" s="85">
        <f t="shared" si="21"/>
        <v>0</v>
      </c>
    </row>
    <row r="90" spans="1:19" s="4" customFormat="1" x14ac:dyDescent="0.2">
      <c r="A90" s="8"/>
      <c r="B90" s="2" t="s">
        <v>384</v>
      </c>
      <c r="C90" s="10"/>
      <c r="D90" s="10"/>
      <c r="E90" s="9"/>
      <c r="F90" s="8"/>
      <c r="G90" s="89" t="s">
        <v>385</v>
      </c>
      <c r="H90" s="90"/>
      <c r="I90" s="91">
        <f t="shared" ref="I90:S90" si="22">I29-(H29+H30)-I84</f>
        <v>0</v>
      </c>
      <c r="J90" s="91">
        <f t="shared" si="22"/>
        <v>0</v>
      </c>
      <c r="K90" s="91">
        <f t="shared" si="22"/>
        <v>0</v>
      </c>
      <c r="L90" s="85">
        <f t="shared" si="22"/>
        <v>0</v>
      </c>
      <c r="M90" s="85">
        <f t="shared" si="22"/>
        <v>0</v>
      </c>
      <c r="N90" s="85">
        <f t="shared" si="22"/>
        <v>1.0000000000047748E-3</v>
      </c>
      <c r="O90" s="85">
        <f>O29-(N29+N30)-O84</f>
        <v>0</v>
      </c>
      <c r="P90" s="85">
        <f>P29-(O29+O30)-P84</f>
        <v>0.28000000000000114</v>
      </c>
      <c r="Q90" s="85">
        <f t="shared" si="22"/>
        <v>0</v>
      </c>
      <c r="R90" s="85">
        <f t="shared" si="22"/>
        <v>0</v>
      </c>
      <c r="S90" s="85">
        <f t="shared" si="22"/>
        <v>0</v>
      </c>
    </row>
    <row r="91" spans="1:19" s="4" customFormat="1" x14ac:dyDescent="0.2">
      <c r="A91" s="8"/>
      <c r="B91" s="2"/>
      <c r="C91" s="10"/>
      <c r="D91" s="10"/>
      <c r="E91" s="9"/>
      <c r="F91" s="8"/>
      <c r="G91" s="28"/>
      <c r="L91" s="93">
        <f>L90-L87</f>
        <v>-215.16</v>
      </c>
    </row>
    <row r="92" spans="1:19" s="4" customFormat="1" x14ac:dyDescent="0.2">
      <c r="A92" s="13" t="s">
        <v>0</v>
      </c>
      <c r="B92" s="2"/>
      <c r="C92" s="10"/>
      <c r="D92" s="753" t="s">
        <v>187</v>
      </c>
      <c r="E92" s="754"/>
      <c r="F92" s="8"/>
      <c r="G92" s="94" t="s">
        <v>386</v>
      </c>
      <c r="H92" s="87">
        <f>H73</f>
        <v>2011</v>
      </c>
      <c r="I92" s="87">
        <f t="shared" ref="I92:S92" si="23">I73</f>
        <v>2012</v>
      </c>
      <c r="J92" s="87">
        <f t="shared" si="23"/>
        <v>2013</v>
      </c>
      <c r="K92" s="87">
        <f t="shared" si="23"/>
        <v>2014</v>
      </c>
      <c r="L92" s="87">
        <f t="shared" si="23"/>
        <v>2015</v>
      </c>
      <c r="M92" s="87">
        <f t="shared" si="23"/>
        <v>2016</v>
      </c>
      <c r="N92" s="87">
        <f t="shared" si="23"/>
        <v>2017</v>
      </c>
      <c r="O92" s="87">
        <f t="shared" si="23"/>
        <v>2018</v>
      </c>
      <c r="P92" s="87">
        <f t="shared" si="23"/>
        <v>2019</v>
      </c>
      <c r="Q92" s="87">
        <f t="shared" si="23"/>
        <v>2020</v>
      </c>
      <c r="R92" s="87">
        <f t="shared" si="23"/>
        <v>2021</v>
      </c>
      <c r="S92" s="87">
        <f t="shared" si="23"/>
        <v>2022</v>
      </c>
    </row>
    <row r="93" spans="1:19" s="4" customFormat="1" x14ac:dyDescent="0.2">
      <c r="A93" s="8"/>
      <c r="B93" s="2" t="s">
        <v>387</v>
      </c>
      <c r="C93" s="10" t="s">
        <v>388</v>
      </c>
      <c r="D93" s="10"/>
      <c r="E93" s="9"/>
      <c r="F93" s="8"/>
      <c r="G93" s="95" t="s">
        <v>389</v>
      </c>
      <c r="H93" s="96">
        <f>H5+H11+H12+H13</f>
        <v>0</v>
      </c>
      <c r="I93" s="96">
        <f>I5+I11+I12+I13</f>
        <v>0</v>
      </c>
      <c r="J93" s="96">
        <f t="shared" ref="J93:S93" si="24">J5+J11+J12+J13</f>
        <v>0</v>
      </c>
      <c r="K93" s="96">
        <f t="shared" si="24"/>
        <v>0</v>
      </c>
      <c r="L93" s="96">
        <f t="shared" si="24"/>
        <v>65.94</v>
      </c>
      <c r="M93" s="96">
        <f t="shared" si="24"/>
        <v>84.242999999999995</v>
      </c>
      <c r="N93" s="96">
        <f t="shared" si="24"/>
        <v>84.641000000000005</v>
      </c>
      <c r="O93" s="96">
        <f t="shared" si="24"/>
        <v>84</v>
      </c>
      <c r="P93" s="96">
        <f t="shared" si="24"/>
        <v>86</v>
      </c>
      <c r="Q93" s="96">
        <f t="shared" si="24"/>
        <v>94</v>
      </c>
      <c r="R93" s="96">
        <f t="shared" si="24"/>
        <v>101</v>
      </c>
      <c r="S93" s="96">
        <f t="shared" si="24"/>
        <v>103</v>
      </c>
    </row>
    <row r="94" spans="1:19" s="4" customFormat="1" x14ac:dyDescent="0.2">
      <c r="A94" s="8"/>
      <c r="B94" s="2" t="s">
        <v>390</v>
      </c>
      <c r="C94" s="10"/>
      <c r="D94" s="10"/>
      <c r="E94" s="9"/>
      <c r="F94" s="8"/>
      <c r="G94" s="97" t="s">
        <v>391</v>
      </c>
      <c r="H94" s="98"/>
      <c r="I94" s="96">
        <f>I93-H93</f>
        <v>0</v>
      </c>
      <c r="J94" s="96">
        <f t="shared" ref="J94:S94" si="25">J93-I93</f>
        <v>0</v>
      </c>
      <c r="K94" s="96">
        <f t="shared" si="25"/>
        <v>0</v>
      </c>
      <c r="L94" s="96">
        <f t="shared" si="25"/>
        <v>65.94</v>
      </c>
      <c r="M94" s="96">
        <f t="shared" si="25"/>
        <v>18.302999999999997</v>
      </c>
      <c r="N94" s="96">
        <f t="shared" si="25"/>
        <v>0.39800000000001035</v>
      </c>
      <c r="O94" s="96">
        <f t="shared" si="25"/>
        <v>-0.64100000000000534</v>
      </c>
      <c r="P94" s="96">
        <f t="shared" si="25"/>
        <v>2</v>
      </c>
      <c r="Q94" s="96">
        <f t="shared" si="25"/>
        <v>8</v>
      </c>
      <c r="R94" s="96">
        <f t="shared" si="25"/>
        <v>7</v>
      </c>
      <c r="S94" s="96">
        <f t="shared" si="25"/>
        <v>2</v>
      </c>
    </row>
    <row r="95" spans="1:19" s="4" customFormat="1" x14ac:dyDescent="0.2">
      <c r="A95" s="8"/>
      <c r="B95" s="2" t="s">
        <v>392</v>
      </c>
      <c r="C95" s="10" t="s">
        <v>42</v>
      </c>
      <c r="D95" s="10"/>
      <c r="E95" s="9"/>
      <c r="F95" s="8"/>
      <c r="G95" s="95" t="s">
        <v>393</v>
      </c>
      <c r="H95" s="96">
        <f>H19</f>
        <v>0</v>
      </c>
      <c r="I95" s="96">
        <f t="shared" ref="I95:S95" si="26">I19</f>
        <v>0</v>
      </c>
      <c r="J95" s="96">
        <f t="shared" si="26"/>
        <v>0</v>
      </c>
      <c r="K95" s="96">
        <f t="shared" si="26"/>
        <v>0</v>
      </c>
      <c r="L95" s="96">
        <f t="shared" si="26"/>
        <v>24.25</v>
      </c>
      <c r="M95" s="96">
        <f t="shared" si="26"/>
        <v>41.45</v>
      </c>
      <c r="N95" s="96">
        <f>N19</f>
        <v>41.058</v>
      </c>
      <c r="O95" s="96">
        <f t="shared" si="26"/>
        <v>28</v>
      </c>
      <c r="P95" s="96">
        <f t="shared" si="26"/>
        <v>20</v>
      </c>
      <c r="Q95" s="96">
        <f t="shared" si="26"/>
        <v>19</v>
      </c>
      <c r="R95" s="96">
        <f t="shared" si="26"/>
        <v>19</v>
      </c>
      <c r="S95" s="96">
        <f t="shared" si="26"/>
        <v>19</v>
      </c>
    </row>
    <row r="96" spans="1:19" s="4" customFormat="1" x14ac:dyDescent="0.2">
      <c r="A96" s="8"/>
      <c r="B96" s="2" t="s">
        <v>394</v>
      </c>
      <c r="C96" s="10"/>
      <c r="D96" s="10"/>
      <c r="E96" s="9"/>
      <c r="F96" s="8"/>
      <c r="G96" s="97" t="s">
        <v>391</v>
      </c>
      <c r="H96" s="98"/>
      <c r="I96" s="96">
        <f>I95-H95</f>
        <v>0</v>
      </c>
      <c r="J96" s="96">
        <f t="shared" ref="J96:S96" si="27">J95-I95</f>
        <v>0</v>
      </c>
      <c r="K96" s="96">
        <f t="shared" si="27"/>
        <v>0</v>
      </c>
      <c r="L96" s="96">
        <f t="shared" si="27"/>
        <v>24.25</v>
      </c>
      <c r="M96" s="96">
        <f t="shared" si="27"/>
        <v>17.200000000000003</v>
      </c>
      <c r="N96" s="96">
        <f t="shared" si="27"/>
        <v>-0.39200000000000301</v>
      </c>
      <c r="O96" s="96">
        <f t="shared" si="27"/>
        <v>-13.058</v>
      </c>
      <c r="P96" s="96">
        <f t="shared" si="27"/>
        <v>-8</v>
      </c>
      <c r="Q96" s="96">
        <f t="shared" si="27"/>
        <v>-1</v>
      </c>
      <c r="R96" s="96">
        <f t="shared" si="27"/>
        <v>0</v>
      </c>
      <c r="S96" s="96">
        <f t="shared" si="27"/>
        <v>0</v>
      </c>
    </row>
    <row r="97" spans="1:20" s="40" customFormat="1" x14ac:dyDescent="0.2">
      <c r="A97" s="29" t="s">
        <v>395</v>
      </c>
      <c r="B97" s="2" t="s">
        <v>188</v>
      </c>
      <c r="C97" s="10" t="s">
        <v>396</v>
      </c>
      <c r="D97" s="99"/>
      <c r="E97" s="30"/>
      <c r="F97" s="29"/>
      <c r="G97" s="100" t="s">
        <v>386</v>
      </c>
      <c r="H97" s="101"/>
      <c r="I97" s="102">
        <f>I94-I96</f>
        <v>0</v>
      </c>
      <c r="J97" s="102">
        <f t="shared" ref="J97:S97" si="28">J94-J96</f>
        <v>0</v>
      </c>
      <c r="K97" s="102">
        <f t="shared" si="28"/>
        <v>0</v>
      </c>
      <c r="L97" s="102">
        <f t="shared" si="28"/>
        <v>41.69</v>
      </c>
      <c r="M97" s="102">
        <f t="shared" si="28"/>
        <v>1.1029999999999944</v>
      </c>
      <c r="N97" s="102">
        <f t="shared" si="28"/>
        <v>0.79000000000001336</v>
      </c>
      <c r="O97" s="102">
        <f t="shared" si="28"/>
        <v>12.416999999999994</v>
      </c>
      <c r="P97" s="102">
        <f t="shared" si="28"/>
        <v>10</v>
      </c>
      <c r="Q97" s="102">
        <f t="shared" si="28"/>
        <v>9</v>
      </c>
      <c r="R97" s="102">
        <f t="shared" si="28"/>
        <v>7</v>
      </c>
      <c r="S97" s="102">
        <f t="shared" si="28"/>
        <v>2</v>
      </c>
    </row>
    <row r="98" spans="1:20" s="4" customFormat="1" x14ac:dyDescent="0.2">
      <c r="A98" s="8"/>
      <c r="B98" s="2"/>
      <c r="C98" s="10"/>
      <c r="D98" s="10"/>
      <c r="E98" s="9"/>
      <c r="F98" s="8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</row>
    <row r="99" spans="1:20" s="4" customFormat="1" x14ac:dyDescent="0.2">
      <c r="A99" s="8"/>
      <c r="B99" s="2" t="s">
        <v>397</v>
      </c>
      <c r="C99" s="10" t="s">
        <v>398</v>
      </c>
      <c r="D99" s="10"/>
      <c r="E99" s="9"/>
      <c r="F99" s="8"/>
      <c r="G99" s="95" t="s">
        <v>399</v>
      </c>
      <c r="H99" s="96">
        <f>H4-H93</f>
        <v>0</v>
      </c>
      <c r="I99" s="96">
        <f t="shared" ref="I99:S99" si="29">I4-I93</f>
        <v>0</v>
      </c>
      <c r="J99" s="96">
        <f t="shared" si="29"/>
        <v>0</v>
      </c>
      <c r="K99" s="96">
        <f t="shared" si="29"/>
        <v>0</v>
      </c>
      <c r="L99" s="96">
        <f t="shared" si="29"/>
        <v>180.535</v>
      </c>
      <c r="M99" s="96">
        <f t="shared" si="29"/>
        <v>82.781000000000006</v>
      </c>
      <c r="N99" s="96">
        <f t="shared" si="29"/>
        <v>67.596999999999994</v>
      </c>
      <c r="O99" s="96">
        <f t="shared" si="29"/>
        <v>64</v>
      </c>
      <c r="P99" s="96">
        <f t="shared" si="29"/>
        <v>60</v>
      </c>
      <c r="Q99" s="96">
        <f t="shared" si="29"/>
        <v>56</v>
      </c>
      <c r="R99" s="96">
        <f t="shared" si="29"/>
        <v>52</v>
      </c>
      <c r="S99" s="96">
        <f t="shared" si="29"/>
        <v>53</v>
      </c>
    </row>
    <row r="100" spans="1:20" s="4" customFormat="1" x14ac:dyDescent="0.2">
      <c r="A100" s="8"/>
      <c r="B100" s="2" t="s">
        <v>400</v>
      </c>
      <c r="C100" s="10"/>
      <c r="D100" s="10"/>
      <c r="E100" s="9"/>
      <c r="F100" s="8"/>
      <c r="G100" s="97" t="s">
        <v>391</v>
      </c>
      <c r="H100" s="98"/>
      <c r="I100" s="96">
        <f>I99-H99</f>
        <v>0</v>
      </c>
      <c r="J100" s="96">
        <f t="shared" ref="J100:S100" si="30">J99-I99</f>
        <v>0</v>
      </c>
      <c r="K100" s="96">
        <f t="shared" si="30"/>
        <v>0</v>
      </c>
      <c r="L100" s="96">
        <f t="shared" si="30"/>
        <v>180.535</v>
      </c>
      <c r="M100" s="96">
        <f t="shared" si="30"/>
        <v>-97.753999999999991</v>
      </c>
      <c r="N100" s="96">
        <f t="shared" si="30"/>
        <v>-15.184000000000012</v>
      </c>
      <c r="O100" s="96">
        <f t="shared" si="30"/>
        <v>-3.5969999999999942</v>
      </c>
      <c r="P100" s="96">
        <f t="shared" si="30"/>
        <v>-4</v>
      </c>
      <c r="Q100" s="96">
        <f t="shared" si="30"/>
        <v>-4</v>
      </c>
      <c r="R100" s="96">
        <f t="shared" si="30"/>
        <v>-4</v>
      </c>
      <c r="S100" s="96">
        <f t="shared" si="30"/>
        <v>1</v>
      </c>
    </row>
    <row r="101" spans="1:20" s="4" customFormat="1" x14ac:dyDescent="0.2">
      <c r="A101" s="8"/>
      <c r="B101" s="2" t="s">
        <v>401</v>
      </c>
      <c r="C101" s="10" t="s">
        <v>64</v>
      </c>
      <c r="D101" s="10"/>
      <c r="E101" s="9"/>
      <c r="F101" s="8"/>
      <c r="G101" s="95" t="s">
        <v>402</v>
      </c>
      <c r="H101" s="96">
        <f>H27</f>
        <v>0</v>
      </c>
      <c r="I101" s="96">
        <f t="shared" ref="I101:S101" si="31">I27</f>
        <v>0</v>
      </c>
      <c r="J101" s="96">
        <f t="shared" si="31"/>
        <v>0</v>
      </c>
      <c r="K101" s="96">
        <f t="shared" si="31"/>
        <v>0</v>
      </c>
      <c r="L101" s="96">
        <f t="shared" si="31"/>
        <v>222.22400000000002</v>
      </c>
      <c r="M101" s="96">
        <f t="shared" si="31"/>
        <v>125.57400000000001</v>
      </c>
      <c r="N101" s="96">
        <f t="shared" si="31"/>
        <v>111.18100000000001</v>
      </c>
      <c r="O101" s="96">
        <f t="shared" si="31"/>
        <v>119.72</v>
      </c>
      <c r="P101" s="96">
        <f t="shared" si="31"/>
        <v>126</v>
      </c>
      <c r="Q101" s="96">
        <f t="shared" si="31"/>
        <v>131</v>
      </c>
      <c r="R101" s="96">
        <f t="shared" si="31"/>
        <v>134</v>
      </c>
      <c r="S101" s="96">
        <f t="shared" si="31"/>
        <v>137</v>
      </c>
    </row>
    <row r="102" spans="1:20" s="4" customFormat="1" x14ac:dyDescent="0.2">
      <c r="A102" s="8"/>
      <c r="B102" s="2" t="s">
        <v>403</v>
      </c>
      <c r="C102" s="10"/>
      <c r="D102" s="10"/>
      <c r="E102" s="9"/>
      <c r="F102" s="8"/>
      <c r="G102" s="97" t="s">
        <v>391</v>
      </c>
      <c r="H102" s="98"/>
      <c r="I102" s="96">
        <f>I101-H101</f>
        <v>0</v>
      </c>
      <c r="J102" s="96">
        <f t="shared" ref="J102:S102" si="32">J101-I101</f>
        <v>0</v>
      </c>
      <c r="K102" s="96">
        <f t="shared" si="32"/>
        <v>0</v>
      </c>
      <c r="L102" s="96">
        <f t="shared" si="32"/>
        <v>222.22400000000002</v>
      </c>
      <c r="M102" s="96">
        <f t="shared" si="32"/>
        <v>-96.65</v>
      </c>
      <c r="N102" s="96">
        <f t="shared" si="32"/>
        <v>-14.393000000000001</v>
      </c>
      <c r="O102" s="96">
        <f t="shared" si="32"/>
        <v>8.5389999999999873</v>
      </c>
      <c r="P102" s="96">
        <f t="shared" si="32"/>
        <v>6.2800000000000011</v>
      </c>
      <c r="Q102" s="96">
        <f t="shared" si="32"/>
        <v>5</v>
      </c>
      <c r="R102" s="96">
        <f t="shared" si="32"/>
        <v>3</v>
      </c>
      <c r="S102" s="96">
        <f t="shared" si="32"/>
        <v>3</v>
      </c>
    </row>
    <row r="103" spans="1:20" s="40" customFormat="1" x14ac:dyDescent="0.2">
      <c r="A103" s="29" t="s">
        <v>404</v>
      </c>
      <c r="B103" s="2" t="s">
        <v>189</v>
      </c>
      <c r="C103" s="10" t="s">
        <v>405</v>
      </c>
      <c r="D103" s="10"/>
      <c r="E103" s="9"/>
      <c r="F103" s="8"/>
      <c r="G103" s="100" t="s">
        <v>406</v>
      </c>
      <c r="H103" s="101"/>
      <c r="I103" s="102">
        <f>I102-I100</f>
        <v>0</v>
      </c>
      <c r="J103" s="102">
        <f t="shared" ref="J103:S103" si="33">J102-J100</f>
        <v>0</v>
      </c>
      <c r="K103" s="102">
        <f t="shared" si="33"/>
        <v>0</v>
      </c>
      <c r="L103" s="102">
        <f t="shared" si="33"/>
        <v>41.689000000000021</v>
      </c>
      <c r="M103" s="102">
        <f t="shared" si="33"/>
        <v>1.103999999999985</v>
      </c>
      <c r="N103" s="102">
        <f t="shared" si="33"/>
        <v>0.79100000000001103</v>
      </c>
      <c r="O103" s="102">
        <f t="shared" si="33"/>
        <v>12.135999999999981</v>
      </c>
      <c r="P103" s="102">
        <f t="shared" si="33"/>
        <v>10.280000000000001</v>
      </c>
      <c r="Q103" s="102">
        <f t="shared" si="33"/>
        <v>9</v>
      </c>
      <c r="R103" s="102">
        <f t="shared" si="33"/>
        <v>7</v>
      </c>
      <c r="S103" s="102">
        <f t="shared" si="33"/>
        <v>2</v>
      </c>
    </row>
    <row r="104" spans="1:20" s="4" customFormat="1" x14ac:dyDescent="0.2">
      <c r="A104" s="8"/>
      <c r="B104" s="2"/>
      <c r="C104" s="10"/>
      <c r="D104" s="10"/>
      <c r="E104" s="9"/>
      <c r="F104" s="8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</row>
    <row r="105" spans="1:20" s="4" customFormat="1" x14ac:dyDescent="0.2">
      <c r="A105" s="13"/>
      <c r="B105" s="2"/>
      <c r="C105" s="10"/>
      <c r="D105" s="10"/>
      <c r="E105" s="9"/>
      <c r="F105" s="8"/>
      <c r="G105" s="94" t="s">
        <v>407</v>
      </c>
      <c r="H105" s="87">
        <f t="shared" ref="H105:S105" si="34">H32</f>
        <v>2011</v>
      </c>
      <c r="I105" s="87">
        <f t="shared" si="34"/>
        <v>2012</v>
      </c>
      <c r="J105" s="87">
        <f t="shared" si="34"/>
        <v>2013</v>
      </c>
      <c r="K105" s="87">
        <f t="shared" si="34"/>
        <v>2014</v>
      </c>
      <c r="L105" s="87">
        <f t="shared" si="34"/>
        <v>2015</v>
      </c>
      <c r="M105" s="87">
        <f t="shared" si="34"/>
        <v>2016</v>
      </c>
      <c r="N105" s="87">
        <f t="shared" si="34"/>
        <v>2017</v>
      </c>
      <c r="O105" s="87">
        <f t="shared" si="34"/>
        <v>2018</v>
      </c>
      <c r="P105" s="87">
        <f t="shared" si="34"/>
        <v>2019</v>
      </c>
      <c r="Q105" s="87">
        <f t="shared" si="34"/>
        <v>2020</v>
      </c>
      <c r="R105" s="87">
        <f t="shared" si="34"/>
        <v>2021</v>
      </c>
      <c r="S105" s="87">
        <f t="shared" si="34"/>
        <v>2022</v>
      </c>
    </row>
    <row r="106" spans="1:20" s="40" customFormat="1" x14ac:dyDescent="0.2">
      <c r="A106" s="29" t="s">
        <v>408</v>
      </c>
      <c r="B106" s="2" t="s">
        <v>192</v>
      </c>
      <c r="C106" s="29" t="s">
        <v>409</v>
      </c>
      <c r="D106" s="10"/>
      <c r="E106" s="9"/>
      <c r="F106" s="8"/>
      <c r="G106" s="103" t="s">
        <v>407</v>
      </c>
      <c r="H106" s="101" t="s">
        <v>358</v>
      </c>
      <c r="I106" s="104">
        <f t="shared" ref="I106:N106" si="35">(I48-I45+I50)+(I58+I59)+(I82+I83+I84+I85)-(I85-I49)</f>
        <v>8.1000000000000003E-2</v>
      </c>
      <c r="J106" s="104">
        <f t="shared" si="35"/>
        <v>0</v>
      </c>
      <c r="K106" s="104">
        <f t="shared" si="35"/>
        <v>0</v>
      </c>
      <c r="L106" s="104">
        <f t="shared" si="35"/>
        <v>2.8879999999999661</v>
      </c>
      <c r="M106" s="104">
        <f t="shared" si="35"/>
        <v>1.1030000000001339</v>
      </c>
      <c r="N106" s="104">
        <f t="shared" si="35"/>
        <v>0.88749999999996287</v>
      </c>
      <c r="O106" s="104">
        <f>(O48-O45+O50)+(O58+O59)+(O82+O83+O84+O85)-(O85-O49)</f>
        <v>12.5</v>
      </c>
      <c r="P106" s="104">
        <f>(P48-P45+P50)+(P58+P59)+(P82+P83+P84+P85)-(P85-P49)</f>
        <v>10</v>
      </c>
      <c r="Q106" s="104">
        <f>(Q48-Q45+Q50)+(Q58+Q59)+(Q82+Q83+Q84+Q85)-(Q85-Q49)</f>
        <v>9</v>
      </c>
      <c r="R106" s="104">
        <f>(R48-R45+R50)+(R58+R59)+(R82+R83+R84+R85)-(R85-R49)</f>
        <v>7</v>
      </c>
      <c r="S106" s="104">
        <f>(S48-S45+S50)+(S58+S59)+(S82+S83+S84+S85)-(S85-S49)</f>
        <v>2</v>
      </c>
    </row>
    <row r="107" spans="1:20" s="40" customFormat="1" x14ac:dyDescent="0.2">
      <c r="A107" s="29" t="s">
        <v>410</v>
      </c>
      <c r="B107" s="2" t="s">
        <v>194</v>
      </c>
      <c r="C107" s="29" t="s">
        <v>411</v>
      </c>
      <c r="D107" s="10"/>
      <c r="E107" s="9"/>
      <c r="F107" s="8"/>
      <c r="G107" s="89" t="s">
        <v>412</v>
      </c>
      <c r="H107" s="101" t="s">
        <v>358</v>
      </c>
      <c r="I107" s="85">
        <f>I97-I106</f>
        <v>-8.1000000000000003E-2</v>
      </c>
      <c r="J107" s="85">
        <f t="shared" ref="J107:S107" si="36">J97-J106</f>
        <v>0</v>
      </c>
      <c r="K107" s="85">
        <f t="shared" si="36"/>
        <v>0</v>
      </c>
      <c r="L107" s="85">
        <f t="shared" si="36"/>
        <v>38.802000000000035</v>
      </c>
      <c r="M107" s="85">
        <f t="shared" si="36"/>
        <v>-1.3944401189291966E-13</v>
      </c>
      <c r="N107" s="85">
        <f t="shared" si="36"/>
        <v>-9.7499999999949516E-2</v>
      </c>
      <c r="O107" s="85">
        <f t="shared" si="36"/>
        <v>-8.3000000000005514E-2</v>
      </c>
      <c r="P107" s="85">
        <f t="shared" si="36"/>
        <v>0</v>
      </c>
      <c r="Q107" s="85">
        <f t="shared" si="36"/>
        <v>0</v>
      </c>
      <c r="R107" s="85">
        <f t="shared" si="36"/>
        <v>0</v>
      </c>
      <c r="S107" s="85">
        <f t="shared" si="36"/>
        <v>0</v>
      </c>
    </row>
    <row r="108" spans="1:20" s="40" customFormat="1" x14ac:dyDescent="0.2">
      <c r="A108" s="29"/>
      <c r="B108" s="2"/>
      <c r="C108" s="29"/>
      <c r="D108" s="10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</row>
    <row r="109" spans="1:20" s="40" customFormat="1" x14ac:dyDescent="0.2">
      <c r="A109" s="29"/>
      <c r="B109" s="2"/>
      <c r="C109" s="29"/>
      <c r="D109" s="10"/>
      <c r="E109" s="9"/>
      <c r="F109" s="8"/>
      <c r="G109" s="94" t="s">
        <v>413</v>
      </c>
      <c r="H109" s="87">
        <f>H105</f>
        <v>2011</v>
      </c>
      <c r="I109" s="87">
        <f t="shared" ref="I109:S109" si="37">I105</f>
        <v>2012</v>
      </c>
      <c r="J109" s="87">
        <f t="shared" si="37"/>
        <v>2013</v>
      </c>
      <c r="K109" s="87">
        <f t="shared" si="37"/>
        <v>2014</v>
      </c>
      <c r="L109" s="87">
        <f t="shared" si="37"/>
        <v>2015</v>
      </c>
      <c r="M109" s="87">
        <f t="shared" si="37"/>
        <v>2016</v>
      </c>
      <c r="N109" s="87">
        <f t="shared" si="37"/>
        <v>2017</v>
      </c>
      <c r="O109" s="87">
        <f t="shared" si="37"/>
        <v>2018</v>
      </c>
      <c r="P109" s="87">
        <f t="shared" si="37"/>
        <v>2019</v>
      </c>
      <c r="Q109" s="87">
        <f t="shared" si="37"/>
        <v>2020</v>
      </c>
      <c r="R109" s="87">
        <f t="shared" si="37"/>
        <v>2021</v>
      </c>
      <c r="S109" s="87">
        <f t="shared" si="37"/>
        <v>2022</v>
      </c>
    </row>
    <row r="110" spans="1:20" s="4" customFormat="1" x14ac:dyDescent="0.2">
      <c r="A110" s="8" t="s">
        <v>414</v>
      </c>
      <c r="B110" s="2" t="s">
        <v>415</v>
      </c>
      <c r="C110" s="34" t="s">
        <v>190</v>
      </c>
      <c r="D110" s="10"/>
      <c r="E110" s="9"/>
      <c r="F110" s="8"/>
      <c r="G110" s="103" t="s">
        <v>191</v>
      </c>
      <c r="H110" s="105">
        <f t="shared" ref="H110:S110" si="38">H33+H38+H41-H45</f>
        <v>4.5999999999999999E-2</v>
      </c>
      <c r="I110" s="77">
        <f t="shared" si="38"/>
        <v>8.1000000000000003E-2</v>
      </c>
      <c r="J110" s="77">
        <f t="shared" si="38"/>
        <v>0</v>
      </c>
      <c r="K110" s="77">
        <f t="shared" si="38"/>
        <v>0</v>
      </c>
      <c r="L110" s="77">
        <f t="shared" si="38"/>
        <v>2.8499999999999659</v>
      </c>
      <c r="M110" s="77">
        <f t="shared" si="38"/>
        <v>8.419000000000139</v>
      </c>
      <c r="N110" s="77">
        <f t="shared" si="38"/>
        <v>4.2644999999999627</v>
      </c>
      <c r="O110" s="77">
        <f t="shared" si="38"/>
        <v>12.5</v>
      </c>
      <c r="P110" s="77">
        <f t="shared" si="38"/>
        <v>10</v>
      </c>
      <c r="Q110" s="77">
        <f t="shared" si="38"/>
        <v>9</v>
      </c>
      <c r="R110" s="77">
        <f t="shared" si="38"/>
        <v>7</v>
      </c>
      <c r="S110" s="77">
        <f t="shared" si="38"/>
        <v>7</v>
      </c>
    </row>
    <row r="111" spans="1:20" s="4" customFormat="1" x14ac:dyDescent="0.2">
      <c r="A111" s="8" t="s">
        <v>416</v>
      </c>
      <c r="B111" s="2" t="s">
        <v>197</v>
      </c>
      <c r="C111" s="8" t="s">
        <v>417</v>
      </c>
      <c r="D111" s="10"/>
      <c r="E111" s="106">
        <v>0</v>
      </c>
      <c r="F111" s="8"/>
      <c r="G111" s="46" t="s">
        <v>193</v>
      </c>
      <c r="H111" s="107">
        <f t="shared" ref="H111:S111" si="39">H110/H33</f>
        <v>1</v>
      </c>
      <c r="I111" s="108">
        <f t="shared" si="39"/>
        <v>1</v>
      </c>
      <c r="J111" s="108" t="e">
        <f t="shared" si="39"/>
        <v>#DIV/0!</v>
      </c>
      <c r="K111" s="108" t="e">
        <f t="shared" si="39"/>
        <v>#DIV/0!</v>
      </c>
      <c r="L111" s="108">
        <f t="shared" si="39"/>
        <v>1.2082773356848668E-2</v>
      </c>
      <c r="M111" s="108">
        <f t="shared" si="39"/>
        <v>1.0258616067729699E-2</v>
      </c>
      <c r="N111" s="108">
        <f t="shared" si="39"/>
        <v>5.5013348590092995E-3</v>
      </c>
      <c r="O111" s="108">
        <f t="shared" si="39"/>
        <v>1.4925373134328358E-2</v>
      </c>
      <c r="P111" s="108">
        <f t="shared" si="39"/>
        <v>1.2239902080783354E-2</v>
      </c>
      <c r="Q111" s="108">
        <f t="shared" si="39"/>
        <v>1.0962241169305725E-2</v>
      </c>
      <c r="R111" s="108">
        <f t="shared" si="39"/>
        <v>8.5470085470085479E-3</v>
      </c>
      <c r="S111" s="108">
        <f t="shared" si="39"/>
        <v>8.5470085470085479E-3</v>
      </c>
    </row>
    <row r="112" spans="1:20" s="4" customFormat="1" x14ac:dyDescent="0.2">
      <c r="A112" s="8" t="s">
        <v>418</v>
      </c>
      <c r="B112" s="2" t="s">
        <v>200</v>
      </c>
      <c r="C112" s="34" t="s">
        <v>195</v>
      </c>
      <c r="D112" s="10"/>
      <c r="E112" s="109"/>
      <c r="F112" s="8"/>
      <c r="G112" s="110" t="s">
        <v>196</v>
      </c>
      <c r="H112" s="111" t="e">
        <f t="shared" ref="H112:S112" si="40">-H33/(H38+H41)</f>
        <v>#DIV/0!</v>
      </c>
      <c r="I112" s="111" t="e">
        <f t="shared" si="40"/>
        <v>#DIV/0!</v>
      </c>
      <c r="J112" s="111" t="e">
        <f t="shared" si="40"/>
        <v>#DIV/0!</v>
      </c>
      <c r="K112" s="111" t="e">
        <f t="shared" si="40"/>
        <v>#DIV/0!</v>
      </c>
      <c r="L112" s="111">
        <f t="shared" si="40"/>
        <v>0.8812806372549018</v>
      </c>
      <c r="M112" s="111">
        <f t="shared" si="40"/>
        <v>0.8942738430055106</v>
      </c>
      <c r="N112" s="111">
        <f t="shared" si="40"/>
        <v>0.98189106136759752</v>
      </c>
      <c r="O112" s="111">
        <f t="shared" si="40"/>
        <v>1.0102533172496984</v>
      </c>
      <c r="P112" s="111">
        <f t="shared" si="40"/>
        <v>1.0073982737361282</v>
      </c>
      <c r="Q112" s="111">
        <f t="shared" si="40"/>
        <v>1.0061274509803921</v>
      </c>
      <c r="R112" s="111">
        <f t="shared" si="40"/>
        <v>1.0036764705882353</v>
      </c>
      <c r="S112" s="111">
        <f t="shared" si="40"/>
        <v>1.0036764705882353</v>
      </c>
    </row>
    <row r="113" spans="1:20" s="4" customFormat="1" x14ac:dyDescent="0.2">
      <c r="A113" s="8" t="s">
        <v>419</v>
      </c>
      <c r="B113" s="2" t="s">
        <v>420</v>
      </c>
      <c r="C113" s="8" t="s">
        <v>198</v>
      </c>
      <c r="D113" s="10"/>
      <c r="E113" s="109"/>
      <c r="F113" s="8"/>
      <c r="G113" s="103" t="s">
        <v>199</v>
      </c>
      <c r="H113" s="105">
        <f t="shared" ref="H113:S113" si="41">H46</f>
        <v>4.5999999999999999E-2</v>
      </c>
      <c r="I113" s="105">
        <f t="shared" si="41"/>
        <v>8.1000000000000003E-2</v>
      </c>
      <c r="J113" s="105">
        <f t="shared" si="41"/>
        <v>0</v>
      </c>
      <c r="K113" s="105">
        <f t="shared" si="41"/>
        <v>0</v>
      </c>
      <c r="L113" s="105">
        <f t="shared" si="41"/>
        <v>-31.775000000000034</v>
      </c>
      <c r="M113" s="105">
        <f t="shared" si="41"/>
        <v>-97.024999999999864</v>
      </c>
      <c r="N113" s="105">
        <f t="shared" si="41"/>
        <v>-14.296500000000037</v>
      </c>
      <c r="O113" s="105">
        <f t="shared" si="41"/>
        <v>8.5</v>
      </c>
      <c r="P113" s="105">
        <f t="shared" si="41"/>
        <v>6</v>
      </c>
      <c r="Q113" s="105">
        <f t="shared" si="41"/>
        <v>5</v>
      </c>
      <c r="R113" s="105">
        <f t="shared" si="41"/>
        <v>3</v>
      </c>
      <c r="S113" s="105">
        <f t="shared" si="41"/>
        <v>3</v>
      </c>
    </row>
    <row r="114" spans="1:20" s="4" customFormat="1" x14ac:dyDescent="0.2">
      <c r="A114" s="8" t="s">
        <v>421</v>
      </c>
      <c r="B114" s="2" t="s">
        <v>422</v>
      </c>
      <c r="C114" s="8" t="s">
        <v>201</v>
      </c>
      <c r="D114" s="106">
        <v>-0.3</v>
      </c>
      <c r="E114" s="106">
        <v>0</v>
      </c>
      <c r="F114" s="8"/>
      <c r="G114" s="110" t="s">
        <v>202</v>
      </c>
      <c r="H114" s="112">
        <f t="shared" ref="H114:S114" si="42">H46/H33</f>
        <v>1</v>
      </c>
      <c r="I114" s="113">
        <f t="shared" si="42"/>
        <v>1</v>
      </c>
      <c r="J114" s="113" t="e">
        <f t="shared" si="42"/>
        <v>#DIV/0!</v>
      </c>
      <c r="K114" s="113" t="e">
        <f t="shared" si="42"/>
        <v>#DIV/0!</v>
      </c>
      <c r="L114" s="113">
        <f t="shared" si="42"/>
        <v>-0.13471232400486718</v>
      </c>
      <c r="M114" s="113">
        <f t="shared" si="42"/>
        <v>-0.11822570661259725</v>
      </c>
      <c r="N114" s="113">
        <f t="shared" si="42"/>
        <v>-1.8442920345134797E-2</v>
      </c>
      <c r="O114" s="113">
        <f t="shared" si="42"/>
        <v>1.0149253731343283E-2</v>
      </c>
      <c r="P114" s="113">
        <f t="shared" si="42"/>
        <v>7.3439412484700125E-3</v>
      </c>
      <c r="Q114" s="113">
        <f t="shared" si="42"/>
        <v>6.0901339829476245E-3</v>
      </c>
      <c r="R114" s="113">
        <f t="shared" si="42"/>
        <v>3.663003663003663E-3</v>
      </c>
      <c r="S114" s="113">
        <f t="shared" si="42"/>
        <v>3.663003663003663E-3</v>
      </c>
    </row>
    <row r="115" spans="1:20" s="4" customFormat="1" x14ac:dyDescent="0.2">
      <c r="A115" s="8" t="s">
        <v>423</v>
      </c>
      <c r="B115" s="2" t="s">
        <v>424</v>
      </c>
      <c r="C115" s="8" t="s">
        <v>204</v>
      </c>
      <c r="D115" s="10"/>
      <c r="E115" s="109"/>
      <c r="F115" s="8"/>
      <c r="G115" s="46" t="s">
        <v>205</v>
      </c>
      <c r="H115" s="105">
        <f t="shared" ref="H115:S115" si="43">H29+H30</f>
        <v>0</v>
      </c>
      <c r="I115" s="105">
        <f t="shared" si="43"/>
        <v>0</v>
      </c>
      <c r="J115" s="105">
        <f t="shared" si="43"/>
        <v>0</v>
      </c>
      <c r="K115" s="105">
        <f t="shared" si="43"/>
        <v>0</v>
      </c>
      <c r="L115" s="105">
        <f t="shared" si="43"/>
        <v>-31.736999999999998</v>
      </c>
      <c r="M115" s="105">
        <f t="shared" si="43"/>
        <v>-128.387</v>
      </c>
      <c r="N115" s="105">
        <f t="shared" si="43"/>
        <v>-142.78</v>
      </c>
      <c r="O115" s="105">
        <f t="shared" si="43"/>
        <v>-134.28</v>
      </c>
      <c r="P115" s="105">
        <f t="shared" si="43"/>
        <v>-128</v>
      </c>
      <c r="Q115" s="105">
        <f t="shared" si="43"/>
        <v>-123</v>
      </c>
      <c r="R115" s="105">
        <f t="shared" si="43"/>
        <v>-120</v>
      </c>
      <c r="S115" s="105">
        <f t="shared" si="43"/>
        <v>-117</v>
      </c>
    </row>
    <row r="116" spans="1:20" s="4" customFormat="1" x14ac:dyDescent="0.2">
      <c r="A116" s="8"/>
      <c r="B116" s="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</row>
    <row r="117" spans="1:20" s="4" customFormat="1" x14ac:dyDescent="0.2">
      <c r="A117" s="8"/>
      <c r="B117" s="2"/>
      <c r="C117" s="10"/>
      <c r="D117" s="10"/>
      <c r="E117" s="8"/>
      <c r="F117" s="8"/>
      <c r="G117" s="94" t="s">
        <v>206</v>
      </c>
      <c r="H117" s="87">
        <f t="shared" ref="H117:S117" si="44">H105</f>
        <v>2011</v>
      </c>
      <c r="I117" s="87">
        <f t="shared" si="44"/>
        <v>2012</v>
      </c>
      <c r="J117" s="87">
        <f t="shared" si="44"/>
        <v>2013</v>
      </c>
      <c r="K117" s="87">
        <f t="shared" si="44"/>
        <v>2014</v>
      </c>
      <c r="L117" s="87">
        <f t="shared" si="44"/>
        <v>2015</v>
      </c>
      <c r="M117" s="87">
        <f t="shared" si="44"/>
        <v>2016</v>
      </c>
      <c r="N117" s="87">
        <f t="shared" si="44"/>
        <v>2017</v>
      </c>
      <c r="O117" s="87">
        <f t="shared" si="44"/>
        <v>2018</v>
      </c>
      <c r="P117" s="87">
        <f t="shared" si="44"/>
        <v>2019</v>
      </c>
      <c r="Q117" s="87">
        <f t="shared" si="44"/>
        <v>2020</v>
      </c>
      <c r="R117" s="87">
        <f t="shared" si="44"/>
        <v>2021</v>
      </c>
      <c r="S117" s="87">
        <f t="shared" si="44"/>
        <v>2022</v>
      </c>
    </row>
    <row r="118" spans="1:20" s="4" customFormat="1" x14ac:dyDescent="0.2">
      <c r="A118" s="34" t="s">
        <v>425</v>
      </c>
      <c r="B118" s="2" t="s">
        <v>426</v>
      </c>
      <c r="C118" s="10" t="s">
        <v>208</v>
      </c>
      <c r="D118" s="10"/>
      <c r="E118" s="109"/>
      <c r="F118" s="37"/>
      <c r="G118" s="103" t="s">
        <v>209</v>
      </c>
      <c r="H118" s="105">
        <f t="shared" ref="H118:S118" si="45">H6+H12</f>
        <v>0</v>
      </c>
      <c r="I118" s="77">
        <f t="shared" si="45"/>
        <v>0</v>
      </c>
      <c r="J118" s="77">
        <f t="shared" si="45"/>
        <v>0</v>
      </c>
      <c r="K118" s="77">
        <f t="shared" si="45"/>
        <v>0</v>
      </c>
      <c r="L118" s="77">
        <f t="shared" si="45"/>
        <v>44.189</v>
      </c>
      <c r="M118" s="77">
        <f t="shared" si="45"/>
        <v>66.673000000000002</v>
      </c>
      <c r="N118" s="77">
        <f t="shared" si="45"/>
        <v>58.935000000000002</v>
      </c>
      <c r="O118" s="77">
        <f t="shared" si="45"/>
        <v>61</v>
      </c>
      <c r="P118" s="77">
        <f t="shared" si="45"/>
        <v>63</v>
      </c>
      <c r="Q118" s="77">
        <f t="shared" si="45"/>
        <v>65</v>
      </c>
      <c r="R118" s="77">
        <f t="shared" si="45"/>
        <v>67</v>
      </c>
      <c r="S118" s="77">
        <f t="shared" si="45"/>
        <v>69</v>
      </c>
    </row>
    <row r="119" spans="1:20" s="4" customFormat="1" x14ac:dyDescent="0.2">
      <c r="A119" s="8" t="s">
        <v>427</v>
      </c>
      <c r="B119" s="2" t="s">
        <v>428</v>
      </c>
      <c r="C119" s="8" t="s">
        <v>42</v>
      </c>
      <c r="D119" s="10"/>
      <c r="E119" s="109"/>
      <c r="F119" s="37"/>
      <c r="G119" s="110" t="s">
        <v>211</v>
      </c>
      <c r="H119" s="105">
        <f t="shared" ref="H119:S119" si="46">H19</f>
        <v>0</v>
      </c>
      <c r="I119" s="105">
        <f t="shared" si="46"/>
        <v>0</v>
      </c>
      <c r="J119" s="105">
        <f t="shared" si="46"/>
        <v>0</v>
      </c>
      <c r="K119" s="105">
        <f t="shared" si="46"/>
        <v>0</v>
      </c>
      <c r="L119" s="105">
        <f t="shared" si="46"/>
        <v>24.25</v>
      </c>
      <c r="M119" s="105">
        <f t="shared" si="46"/>
        <v>41.45</v>
      </c>
      <c r="N119" s="105">
        <f t="shared" si="46"/>
        <v>41.058</v>
      </c>
      <c r="O119" s="105">
        <f t="shared" si="46"/>
        <v>28</v>
      </c>
      <c r="P119" s="105">
        <f t="shared" si="46"/>
        <v>20</v>
      </c>
      <c r="Q119" s="105">
        <f t="shared" si="46"/>
        <v>19</v>
      </c>
      <c r="R119" s="105">
        <f t="shared" si="46"/>
        <v>19</v>
      </c>
      <c r="S119" s="105">
        <f t="shared" si="46"/>
        <v>19</v>
      </c>
    </row>
    <row r="120" spans="1:20" s="4" customFormat="1" x14ac:dyDescent="0.2">
      <c r="A120" s="8" t="s">
        <v>429</v>
      </c>
      <c r="B120" s="2" t="s">
        <v>203</v>
      </c>
      <c r="C120" s="8" t="s">
        <v>430</v>
      </c>
      <c r="D120" s="10"/>
      <c r="E120" s="109"/>
      <c r="F120" s="37"/>
      <c r="G120" s="110" t="s">
        <v>212</v>
      </c>
      <c r="H120" s="105">
        <f t="shared" ref="H120:S120" si="47">H119-H118</f>
        <v>0</v>
      </c>
      <c r="I120" s="77">
        <f t="shared" si="47"/>
        <v>0</v>
      </c>
      <c r="J120" s="77">
        <f t="shared" si="47"/>
        <v>0</v>
      </c>
      <c r="K120" s="77">
        <f t="shared" si="47"/>
        <v>0</v>
      </c>
      <c r="L120" s="77">
        <f t="shared" si="47"/>
        <v>-19.939</v>
      </c>
      <c r="M120" s="77">
        <f>M119-M118</f>
        <v>-25.222999999999999</v>
      </c>
      <c r="N120" s="77">
        <f t="shared" si="47"/>
        <v>-17.877000000000002</v>
      </c>
      <c r="O120" s="77">
        <f t="shared" si="47"/>
        <v>-33</v>
      </c>
      <c r="P120" s="77">
        <f t="shared" si="47"/>
        <v>-43</v>
      </c>
      <c r="Q120" s="77">
        <f t="shared" si="47"/>
        <v>-46</v>
      </c>
      <c r="R120" s="77">
        <f t="shared" si="47"/>
        <v>-48</v>
      </c>
      <c r="S120" s="77">
        <f t="shared" si="47"/>
        <v>-50</v>
      </c>
    </row>
    <row r="121" spans="1:20" s="4" customFormat="1" x14ac:dyDescent="0.2">
      <c r="A121" s="34" t="s">
        <v>431</v>
      </c>
      <c r="B121" s="2" t="s">
        <v>207</v>
      </c>
      <c r="C121" s="8" t="s">
        <v>432</v>
      </c>
      <c r="D121" s="10"/>
      <c r="E121" s="106">
        <v>0.4</v>
      </c>
      <c r="F121" s="114" t="s">
        <v>433</v>
      </c>
      <c r="G121" s="46" t="s">
        <v>213</v>
      </c>
      <c r="H121" s="115">
        <f t="shared" ref="H121:S121" si="48">H120/H33</f>
        <v>0</v>
      </c>
      <c r="I121" s="108">
        <f t="shared" si="48"/>
        <v>0</v>
      </c>
      <c r="J121" s="108" t="e">
        <f t="shared" si="48"/>
        <v>#DIV/0!</v>
      </c>
      <c r="K121" s="108" t="e">
        <f t="shared" si="48"/>
        <v>#DIV/0!</v>
      </c>
      <c r="L121" s="108">
        <f t="shared" si="48"/>
        <v>-8.4532778232353861E-2</v>
      </c>
      <c r="M121" s="108">
        <f t="shared" si="48"/>
        <v>-3.0734418942432822E-2</v>
      </c>
      <c r="N121" s="108">
        <f t="shared" si="48"/>
        <v>-2.306187437554464E-2</v>
      </c>
      <c r="O121" s="108">
        <f t="shared" si="48"/>
        <v>-3.9402985074626869E-2</v>
      </c>
      <c r="P121" s="108">
        <f t="shared" si="48"/>
        <v>-5.2631578947368418E-2</v>
      </c>
      <c r="Q121" s="108">
        <f t="shared" si="48"/>
        <v>-5.6029232643118147E-2</v>
      </c>
      <c r="R121" s="108">
        <f t="shared" si="48"/>
        <v>-5.8608058608058608E-2</v>
      </c>
      <c r="S121" s="108">
        <f t="shared" si="48"/>
        <v>-6.1050061050061048E-2</v>
      </c>
    </row>
    <row r="122" spans="1:20" s="4" customFormat="1" x14ac:dyDescent="0.2">
      <c r="A122" s="8" t="s">
        <v>434</v>
      </c>
      <c r="B122" s="2" t="s">
        <v>210</v>
      </c>
      <c r="C122" s="8" t="s">
        <v>435</v>
      </c>
      <c r="D122" s="116">
        <v>0</v>
      </c>
      <c r="E122" s="116">
        <v>5</v>
      </c>
      <c r="F122" s="37"/>
      <c r="G122" s="100" t="s">
        <v>215</v>
      </c>
      <c r="H122" s="111">
        <f t="shared" ref="H122:S122" si="49">H120/H110</f>
        <v>0</v>
      </c>
      <c r="I122" s="111">
        <f t="shared" si="49"/>
        <v>0</v>
      </c>
      <c r="J122" s="111" t="e">
        <f t="shared" si="49"/>
        <v>#DIV/0!</v>
      </c>
      <c r="K122" s="111" t="e">
        <f t="shared" si="49"/>
        <v>#DIV/0!</v>
      </c>
      <c r="L122" s="111">
        <f t="shared" si="49"/>
        <v>-6.996140350877277</v>
      </c>
      <c r="M122" s="111">
        <f>M120/M110</f>
        <v>-2.9959615156193826</v>
      </c>
      <c r="N122" s="111">
        <f t="shared" si="49"/>
        <v>-4.1920506507211064</v>
      </c>
      <c r="O122" s="111">
        <f t="shared" si="49"/>
        <v>-2.64</v>
      </c>
      <c r="P122" s="111">
        <f t="shared" si="49"/>
        <v>-4.3</v>
      </c>
      <c r="Q122" s="111">
        <f t="shared" si="49"/>
        <v>-5.1111111111111107</v>
      </c>
      <c r="R122" s="111">
        <f t="shared" si="49"/>
        <v>-6.8571428571428568</v>
      </c>
      <c r="S122" s="111">
        <f t="shared" si="49"/>
        <v>-7.1428571428571432</v>
      </c>
    </row>
    <row r="123" spans="1:20" s="4" customFormat="1" x14ac:dyDescent="0.2">
      <c r="A123" s="8" t="s">
        <v>436</v>
      </c>
      <c r="B123" s="2" t="s">
        <v>437</v>
      </c>
      <c r="C123" s="8" t="s">
        <v>217</v>
      </c>
      <c r="D123" s="10"/>
      <c r="E123" s="109"/>
      <c r="F123" s="37"/>
      <c r="G123" s="110" t="s">
        <v>218</v>
      </c>
      <c r="H123" s="105">
        <f t="shared" ref="H123:S123" si="50">-(H75+H77+H78+H79+H80+H81)</f>
        <v>0</v>
      </c>
      <c r="I123" s="105">
        <f t="shared" si="50"/>
        <v>0.311</v>
      </c>
      <c r="J123" s="105">
        <f t="shared" si="50"/>
        <v>0</v>
      </c>
      <c r="K123" s="105">
        <f t="shared" si="50"/>
        <v>0</v>
      </c>
      <c r="L123" s="105">
        <f t="shared" si="50"/>
        <v>0</v>
      </c>
      <c r="M123" s="105">
        <f t="shared" si="50"/>
        <v>0</v>
      </c>
      <c r="N123" s="105">
        <f t="shared" si="50"/>
        <v>0</v>
      </c>
      <c r="O123" s="105">
        <f t="shared" si="50"/>
        <v>0</v>
      </c>
      <c r="P123" s="105">
        <f t="shared" si="50"/>
        <v>0</v>
      </c>
      <c r="Q123" s="105">
        <f t="shared" si="50"/>
        <v>0</v>
      </c>
      <c r="R123" s="105">
        <f t="shared" si="50"/>
        <v>0</v>
      </c>
      <c r="S123" s="105">
        <f t="shared" si="50"/>
        <v>0</v>
      </c>
    </row>
    <row r="124" spans="1:20" s="4" customFormat="1" x14ac:dyDescent="0.2">
      <c r="A124" s="8" t="s">
        <v>438</v>
      </c>
      <c r="B124" s="2" t="s">
        <v>439</v>
      </c>
      <c r="C124" s="8" t="s">
        <v>440</v>
      </c>
      <c r="D124" s="10"/>
      <c r="E124" s="116">
        <v>1.2</v>
      </c>
      <c r="F124" s="114" t="s">
        <v>433</v>
      </c>
      <c r="G124" s="110" t="s">
        <v>220</v>
      </c>
      <c r="H124" s="117" t="e">
        <f t="shared" ref="H124:S124" si="51">H110/H123</f>
        <v>#DIV/0!</v>
      </c>
      <c r="I124" s="111">
        <f t="shared" si="51"/>
        <v>0.26045016077170419</v>
      </c>
      <c r="J124" s="111" t="e">
        <f t="shared" si="51"/>
        <v>#DIV/0!</v>
      </c>
      <c r="K124" s="111" t="e">
        <f t="shared" si="51"/>
        <v>#DIV/0!</v>
      </c>
      <c r="L124" s="111" t="e">
        <f t="shared" si="51"/>
        <v>#DIV/0!</v>
      </c>
      <c r="M124" s="111" t="e">
        <f t="shared" si="51"/>
        <v>#DIV/0!</v>
      </c>
      <c r="N124" s="111" t="e">
        <f t="shared" si="51"/>
        <v>#DIV/0!</v>
      </c>
      <c r="O124" s="111" t="e">
        <f t="shared" si="51"/>
        <v>#DIV/0!</v>
      </c>
      <c r="P124" s="111" t="e">
        <f t="shared" si="51"/>
        <v>#DIV/0!</v>
      </c>
      <c r="Q124" s="111" t="e">
        <f t="shared" si="51"/>
        <v>#DIV/0!</v>
      </c>
      <c r="R124" s="111" t="e">
        <f t="shared" si="51"/>
        <v>#DIV/0!</v>
      </c>
      <c r="S124" s="111" t="e">
        <f t="shared" si="51"/>
        <v>#DIV/0!</v>
      </c>
    </row>
    <row r="125" spans="1:20" s="4" customFormat="1" x14ac:dyDescent="0.2">
      <c r="A125" s="38" t="s">
        <v>441</v>
      </c>
      <c r="B125" s="2" t="s">
        <v>442</v>
      </c>
      <c r="C125" s="8" t="s">
        <v>222</v>
      </c>
      <c r="D125" s="10"/>
      <c r="E125" s="116">
        <v>0</v>
      </c>
      <c r="F125" s="37"/>
      <c r="G125" s="103" t="s">
        <v>223</v>
      </c>
      <c r="H125" s="105">
        <f t="shared" ref="H125:S125" si="52">H5-H20</f>
        <v>0</v>
      </c>
      <c r="I125" s="105">
        <f t="shared" si="52"/>
        <v>0</v>
      </c>
      <c r="J125" s="105">
        <f t="shared" si="52"/>
        <v>0</v>
      </c>
      <c r="K125" s="105">
        <f t="shared" si="52"/>
        <v>0</v>
      </c>
      <c r="L125" s="105">
        <f t="shared" si="52"/>
        <v>41.69</v>
      </c>
      <c r="M125" s="105">
        <f t="shared" si="52"/>
        <v>42.792999999999992</v>
      </c>
      <c r="N125" s="105">
        <f t="shared" si="52"/>
        <v>46.064000000000007</v>
      </c>
      <c r="O125" s="105">
        <f t="shared" si="52"/>
        <v>56</v>
      </c>
      <c r="P125" s="105">
        <f t="shared" si="52"/>
        <v>66</v>
      </c>
      <c r="Q125" s="105">
        <f t="shared" si="52"/>
        <v>75</v>
      </c>
      <c r="R125" s="105">
        <f t="shared" si="52"/>
        <v>82</v>
      </c>
      <c r="S125" s="105">
        <f t="shared" si="52"/>
        <v>84</v>
      </c>
    </row>
    <row r="126" spans="1:20" s="4" customFormat="1" x14ac:dyDescent="0.2">
      <c r="A126" s="34" t="s">
        <v>443</v>
      </c>
      <c r="B126" s="2" t="s">
        <v>444</v>
      </c>
      <c r="C126" s="8" t="s">
        <v>225</v>
      </c>
      <c r="D126" s="10"/>
      <c r="E126" s="116">
        <v>1</v>
      </c>
      <c r="F126" s="114" t="s">
        <v>433</v>
      </c>
      <c r="G126" s="110" t="s">
        <v>226</v>
      </c>
      <c r="H126" s="117" t="e">
        <f t="shared" ref="H126:S126" si="53">H5/H20</f>
        <v>#DIV/0!</v>
      </c>
      <c r="I126" s="117" t="e">
        <f t="shared" si="53"/>
        <v>#DIV/0!</v>
      </c>
      <c r="J126" s="117" t="e">
        <f t="shared" si="53"/>
        <v>#DIV/0!</v>
      </c>
      <c r="K126" s="117" t="e">
        <f t="shared" si="53"/>
        <v>#DIV/0!</v>
      </c>
      <c r="L126" s="117">
        <f t="shared" si="53"/>
        <v>2.7191752577319588</v>
      </c>
      <c r="M126" s="117">
        <f t="shared" si="53"/>
        <v>2.0324004825090469</v>
      </c>
      <c r="N126" s="117">
        <f t="shared" si="53"/>
        <v>2.1940793737200925</v>
      </c>
      <c r="O126" s="117">
        <f t="shared" si="53"/>
        <v>3</v>
      </c>
      <c r="P126" s="117">
        <f t="shared" si="53"/>
        <v>4.3</v>
      </c>
      <c r="Q126" s="117">
        <f t="shared" si="53"/>
        <v>4.9473684210526319</v>
      </c>
      <c r="R126" s="117">
        <f t="shared" si="53"/>
        <v>5.3157894736842106</v>
      </c>
      <c r="S126" s="117">
        <f t="shared" si="53"/>
        <v>5.4210526315789478</v>
      </c>
    </row>
    <row r="127" spans="1:20" s="4" customFormat="1" x14ac:dyDescent="0.2">
      <c r="A127" s="34" t="s">
        <v>445</v>
      </c>
      <c r="B127" s="2" t="s">
        <v>214</v>
      </c>
      <c r="C127" s="34" t="s">
        <v>228</v>
      </c>
      <c r="D127" s="10"/>
      <c r="E127" s="116">
        <v>1</v>
      </c>
      <c r="F127" s="37"/>
      <c r="G127" s="46" t="s">
        <v>229</v>
      </c>
      <c r="H127" s="117">
        <f t="shared" ref="H127:S127" si="54">-H6/((H38+H41-H45+H47)/12)</f>
        <v>0</v>
      </c>
      <c r="I127" s="117" t="e">
        <f t="shared" si="54"/>
        <v>#DIV/0!</v>
      </c>
      <c r="J127" s="117" t="e">
        <f t="shared" si="54"/>
        <v>#DIV/0!</v>
      </c>
      <c r="K127" s="117" t="e">
        <f t="shared" si="54"/>
        <v>#DIV/0!</v>
      </c>
      <c r="L127" s="117">
        <f t="shared" si="54"/>
        <v>2.2759748481661908</v>
      </c>
      <c r="M127" s="117">
        <f t="shared" si="54"/>
        <v>0.98545726416244717</v>
      </c>
      <c r="N127" s="117">
        <f t="shared" si="54"/>
        <v>0.91738216214323065</v>
      </c>
      <c r="O127" s="117">
        <f t="shared" si="54"/>
        <v>0.88727272727272732</v>
      </c>
      <c r="P127" s="117">
        <f t="shared" si="54"/>
        <v>0.93680297397769519</v>
      </c>
      <c r="Q127" s="117">
        <f t="shared" si="54"/>
        <v>0.96059113300492605</v>
      </c>
      <c r="R127" s="117">
        <f t="shared" si="54"/>
        <v>0.99014778325123143</v>
      </c>
      <c r="S127" s="117">
        <f t="shared" si="54"/>
        <v>1.0197044334975369</v>
      </c>
    </row>
    <row r="128" spans="1:20" s="4" customFormat="1" x14ac:dyDescent="0.2">
      <c r="A128" s="34"/>
      <c r="B128" s="2"/>
      <c r="C128" s="34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</row>
    <row r="129" spans="1:21" s="4" customFormat="1" x14ac:dyDescent="0.2">
      <c r="A129" s="8"/>
      <c r="B129" s="2"/>
      <c r="C129" s="8"/>
      <c r="D129" s="10"/>
      <c r="E129" s="9"/>
      <c r="F129" s="37"/>
      <c r="G129" s="94" t="s">
        <v>230</v>
      </c>
      <c r="H129" s="87">
        <f t="shared" ref="H129:S129" si="55">H117</f>
        <v>2011</v>
      </c>
      <c r="I129" s="87">
        <f t="shared" si="55"/>
        <v>2012</v>
      </c>
      <c r="J129" s="87">
        <f t="shared" si="55"/>
        <v>2013</v>
      </c>
      <c r="K129" s="87">
        <f t="shared" si="55"/>
        <v>2014</v>
      </c>
      <c r="L129" s="87">
        <f t="shared" si="55"/>
        <v>2015</v>
      </c>
      <c r="M129" s="87">
        <f t="shared" si="55"/>
        <v>2016</v>
      </c>
      <c r="N129" s="87">
        <f t="shared" si="55"/>
        <v>2017</v>
      </c>
      <c r="O129" s="87">
        <f t="shared" si="55"/>
        <v>2018</v>
      </c>
      <c r="P129" s="87">
        <f t="shared" si="55"/>
        <v>2019</v>
      </c>
      <c r="Q129" s="87">
        <f t="shared" si="55"/>
        <v>2020</v>
      </c>
      <c r="R129" s="87">
        <f t="shared" si="55"/>
        <v>2021</v>
      </c>
      <c r="S129" s="87">
        <f t="shared" si="55"/>
        <v>2022</v>
      </c>
    </row>
    <row r="130" spans="1:21" s="4" customFormat="1" x14ac:dyDescent="0.2">
      <c r="A130" s="34" t="s">
        <v>446</v>
      </c>
      <c r="B130" s="2" t="s">
        <v>216</v>
      </c>
      <c r="C130" s="34" t="s">
        <v>232</v>
      </c>
      <c r="D130" s="10"/>
      <c r="E130" s="106">
        <v>0.6</v>
      </c>
      <c r="F130" s="37"/>
      <c r="G130" s="103" t="s">
        <v>233</v>
      </c>
      <c r="H130" s="115" t="e">
        <f t="shared" ref="H130:S130" si="56">H17/H4</f>
        <v>#DIV/0!</v>
      </c>
      <c r="I130" s="115" t="e">
        <f t="shared" si="56"/>
        <v>#DIV/0!</v>
      </c>
      <c r="J130" s="115" t="e">
        <f t="shared" si="56"/>
        <v>#DIV/0!</v>
      </c>
      <c r="K130" s="115" t="e">
        <f t="shared" si="56"/>
        <v>#DIV/0!</v>
      </c>
      <c r="L130" s="115">
        <f t="shared" si="56"/>
        <v>0</v>
      </c>
      <c r="M130" s="115">
        <f t="shared" si="56"/>
        <v>0</v>
      </c>
      <c r="N130" s="115">
        <f t="shared" si="56"/>
        <v>0</v>
      </c>
      <c r="O130" s="115">
        <f t="shared" si="56"/>
        <v>0</v>
      </c>
      <c r="P130" s="115">
        <f t="shared" si="56"/>
        <v>0</v>
      </c>
      <c r="Q130" s="115">
        <f t="shared" si="56"/>
        <v>0</v>
      </c>
      <c r="R130" s="115">
        <f t="shared" si="56"/>
        <v>0</v>
      </c>
      <c r="S130" s="115">
        <f t="shared" si="56"/>
        <v>0</v>
      </c>
    </row>
    <row r="131" spans="1:21" s="4" customFormat="1" x14ac:dyDescent="0.2">
      <c r="A131" s="34" t="s">
        <v>447</v>
      </c>
      <c r="B131" s="2" t="s">
        <v>219</v>
      </c>
      <c r="C131" s="34" t="s">
        <v>235</v>
      </c>
      <c r="D131" s="10"/>
      <c r="E131" s="106">
        <v>0.4</v>
      </c>
      <c r="F131" s="37"/>
      <c r="G131" s="46" t="s">
        <v>236</v>
      </c>
      <c r="H131" s="115" t="e">
        <f t="shared" ref="H131:S131" si="57">H27/H17</f>
        <v>#DIV/0!</v>
      </c>
      <c r="I131" s="115" t="e">
        <f t="shared" si="57"/>
        <v>#DIV/0!</v>
      </c>
      <c r="J131" s="115" t="e">
        <f t="shared" si="57"/>
        <v>#DIV/0!</v>
      </c>
      <c r="K131" s="115" t="e">
        <f t="shared" si="57"/>
        <v>#DIV/0!</v>
      </c>
      <c r="L131" s="115" t="e">
        <f t="shared" si="57"/>
        <v>#DIV/0!</v>
      </c>
      <c r="M131" s="115" t="e">
        <f t="shared" si="57"/>
        <v>#DIV/0!</v>
      </c>
      <c r="N131" s="115" t="e">
        <f t="shared" si="57"/>
        <v>#DIV/0!</v>
      </c>
      <c r="O131" s="115" t="e">
        <f t="shared" si="57"/>
        <v>#DIV/0!</v>
      </c>
      <c r="P131" s="115" t="e">
        <f t="shared" si="57"/>
        <v>#DIV/0!</v>
      </c>
      <c r="Q131" s="115" t="e">
        <f t="shared" si="57"/>
        <v>#DIV/0!</v>
      </c>
      <c r="R131" s="115" t="e">
        <f t="shared" si="57"/>
        <v>#DIV/0!</v>
      </c>
      <c r="S131" s="115" t="e">
        <f t="shared" si="57"/>
        <v>#DIV/0!</v>
      </c>
    </row>
    <row r="132" spans="1:21" s="4" customFormat="1" x14ac:dyDescent="0.2">
      <c r="A132" s="34"/>
      <c r="B132" s="2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</row>
    <row r="133" spans="1:21" s="4" customFormat="1" x14ac:dyDescent="0.2">
      <c r="A133" s="8"/>
      <c r="B133" s="2"/>
      <c r="C133" s="8"/>
      <c r="D133" s="10"/>
      <c r="E133" s="9"/>
      <c r="F133" s="37"/>
      <c r="G133" s="94" t="s">
        <v>237</v>
      </c>
      <c r="H133" s="87">
        <f t="shared" ref="H133:S133" si="58">H117</f>
        <v>2011</v>
      </c>
      <c r="I133" s="87">
        <f t="shared" si="58"/>
        <v>2012</v>
      </c>
      <c r="J133" s="87">
        <f t="shared" si="58"/>
        <v>2013</v>
      </c>
      <c r="K133" s="87">
        <f t="shared" si="58"/>
        <v>2014</v>
      </c>
      <c r="L133" s="87">
        <f t="shared" si="58"/>
        <v>2015</v>
      </c>
      <c r="M133" s="87">
        <f t="shared" si="58"/>
        <v>2016</v>
      </c>
      <c r="N133" s="87">
        <f t="shared" si="58"/>
        <v>2017</v>
      </c>
      <c r="O133" s="87">
        <f t="shared" si="58"/>
        <v>2018</v>
      </c>
      <c r="P133" s="87">
        <f t="shared" si="58"/>
        <v>2019</v>
      </c>
      <c r="Q133" s="87">
        <f t="shared" si="58"/>
        <v>2020</v>
      </c>
      <c r="R133" s="87">
        <f t="shared" si="58"/>
        <v>2021</v>
      </c>
      <c r="S133" s="87">
        <f t="shared" si="58"/>
        <v>2022</v>
      </c>
    </row>
    <row r="134" spans="1:21" s="4" customFormat="1" x14ac:dyDescent="0.2">
      <c r="A134" s="34" t="s">
        <v>448</v>
      </c>
      <c r="B134" s="2" t="s">
        <v>221</v>
      </c>
      <c r="C134" s="39" t="s">
        <v>239</v>
      </c>
      <c r="D134" s="10"/>
      <c r="E134" s="109"/>
      <c r="F134" s="37"/>
      <c r="G134" s="110" t="s">
        <v>240</v>
      </c>
      <c r="H134" s="118" t="e">
        <f t="shared" ref="H134:S134" si="59">H10/H4</f>
        <v>#DIV/0!</v>
      </c>
      <c r="I134" s="118" t="e">
        <f t="shared" si="59"/>
        <v>#DIV/0!</v>
      </c>
      <c r="J134" s="118" t="e">
        <f t="shared" si="59"/>
        <v>#DIV/0!</v>
      </c>
      <c r="K134" s="118" t="e">
        <f t="shared" si="59"/>
        <v>#DIV/0!</v>
      </c>
      <c r="L134" s="118">
        <f t="shared" si="59"/>
        <v>0.73246779592250733</v>
      </c>
      <c r="M134" s="118">
        <f t="shared" si="59"/>
        <v>0.49562338346584928</v>
      </c>
      <c r="N134" s="118">
        <f t="shared" si="59"/>
        <v>0.44402186050788894</v>
      </c>
      <c r="O134" s="118">
        <f t="shared" si="59"/>
        <v>0.43243243243243246</v>
      </c>
      <c r="P134" s="118">
        <f t="shared" si="59"/>
        <v>0.41095890410958902</v>
      </c>
      <c r="Q134" s="118">
        <f t="shared" si="59"/>
        <v>0.37333333333333335</v>
      </c>
      <c r="R134" s="118">
        <f t="shared" si="59"/>
        <v>0.33986928104575165</v>
      </c>
      <c r="S134" s="118">
        <f t="shared" si="59"/>
        <v>0.33974358974358976</v>
      </c>
    </row>
    <row r="135" spans="1:21" s="4" customFormat="1" x14ac:dyDescent="0.2">
      <c r="A135" s="34" t="s">
        <v>449</v>
      </c>
      <c r="B135" s="2" t="s">
        <v>224</v>
      </c>
      <c r="C135" s="39" t="s">
        <v>242</v>
      </c>
      <c r="D135" s="10"/>
      <c r="E135" s="109"/>
      <c r="F135" s="37"/>
      <c r="G135" s="110" t="s">
        <v>243</v>
      </c>
      <c r="H135" s="118" t="e">
        <f t="shared" ref="H135:S135" si="60">-(H58)/H15</f>
        <v>#DIV/0!</v>
      </c>
      <c r="I135" s="118" t="e">
        <f t="shared" si="60"/>
        <v>#DIV/0!</v>
      </c>
      <c r="J135" s="118" t="e">
        <f t="shared" si="60"/>
        <v>#DIV/0!</v>
      </c>
      <c r="K135" s="118" t="e">
        <f t="shared" si="60"/>
        <v>#DIV/0!</v>
      </c>
      <c r="L135" s="118">
        <f t="shared" si="60"/>
        <v>0</v>
      </c>
      <c r="M135" s="118">
        <f t="shared" si="60"/>
        <v>9.2895712784334561E-2</v>
      </c>
      <c r="N135" s="118">
        <f t="shared" si="60"/>
        <v>4.9957838365607944E-2</v>
      </c>
      <c r="O135" s="118">
        <f t="shared" si="60"/>
        <v>0</v>
      </c>
      <c r="P135" s="118">
        <f t="shared" si="60"/>
        <v>0</v>
      </c>
      <c r="Q135" s="118">
        <f t="shared" si="60"/>
        <v>0</v>
      </c>
      <c r="R135" s="118">
        <f t="shared" si="60"/>
        <v>0</v>
      </c>
      <c r="S135" s="118">
        <f t="shared" si="60"/>
        <v>9.4339622641509441E-2</v>
      </c>
    </row>
    <row r="136" spans="1:21" s="4" customFormat="1" x14ac:dyDescent="0.2">
      <c r="A136" s="34" t="s">
        <v>450</v>
      </c>
      <c r="B136" s="2" t="s">
        <v>227</v>
      </c>
      <c r="C136" s="8" t="s">
        <v>245</v>
      </c>
      <c r="D136" s="10"/>
      <c r="E136" s="109"/>
      <c r="F136" s="37"/>
      <c r="G136" s="103" t="s">
        <v>246</v>
      </c>
      <c r="H136" s="111" t="e">
        <f t="shared" ref="H136:S136" si="61">H33/H4</f>
        <v>#DIV/0!</v>
      </c>
      <c r="I136" s="111" t="e">
        <f t="shared" si="61"/>
        <v>#DIV/0!</v>
      </c>
      <c r="J136" s="111" t="e">
        <f t="shared" si="61"/>
        <v>#DIV/0!</v>
      </c>
      <c r="K136" s="111" t="e">
        <f t="shared" si="61"/>
        <v>#DIV/0!</v>
      </c>
      <c r="L136" s="111">
        <f t="shared" si="61"/>
        <v>0.95698549548635758</v>
      </c>
      <c r="M136" s="111">
        <f t="shared" si="61"/>
        <v>4.9135214100967524</v>
      </c>
      <c r="N136" s="111">
        <f t="shared" si="61"/>
        <v>5.091866025565233</v>
      </c>
      <c r="O136" s="111">
        <f t="shared" si="61"/>
        <v>5.6587837837837842</v>
      </c>
      <c r="P136" s="111">
        <f t="shared" si="61"/>
        <v>5.595890410958904</v>
      </c>
      <c r="Q136" s="111">
        <f t="shared" si="61"/>
        <v>5.4733333333333336</v>
      </c>
      <c r="R136" s="111">
        <f t="shared" si="61"/>
        <v>5.3529411764705879</v>
      </c>
      <c r="S136" s="111">
        <f t="shared" si="61"/>
        <v>5.25</v>
      </c>
    </row>
    <row r="137" spans="1:21" s="4" customFormat="1" x14ac:dyDescent="0.2">
      <c r="A137" s="34" t="s">
        <v>451</v>
      </c>
      <c r="B137" s="2" t="s">
        <v>231</v>
      </c>
      <c r="C137" s="39" t="s">
        <v>248</v>
      </c>
      <c r="D137" s="10"/>
      <c r="E137" s="109"/>
      <c r="F137" s="37"/>
      <c r="G137" s="46" t="s">
        <v>249</v>
      </c>
      <c r="H137" s="111" t="e">
        <f t="shared" ref="H137:S137" si="62">H33/H15</f>
        <v>#DIV/0!</v>
      </c>
      <c r="I137" s="111" t="e">
        <f t="shared" si="62"/>
        <v>#DIV/0!</v>
      </c>
      <c r="J137" s="111" t="e">
        <f t="shared" si="62"/>
        <v>#DIV/0!</v>
      </c>
      <c r="K137" s="111" t="e">
        <f t="shared" si="62"/>
        <v>#DIV/0!</v>
      </c>
      <c r="L137" s="111">
        <f t="shared" si="62"/>
        <v>1.3065222809981443</v>
      </c>
      <c r="M137" s="111">
        <f t="shared" si="62"/>
        <v>9.9138208042908396</v>
      </c>
      <c r="N137" s="111">
        <f t="shared" si="62"/>
        <v>11.467602112519787</v>
      </c>
      <c r="O137" s="111">
        <f t="shared" si="62"/>
        <v>13.0859375</v>
      </c>
      <c r="P137" s="111">
        <f t="shared" si="62"/>
        <v>13.616666666666667</v>
      </c>
      <c r="Q137" s="111">
        <f t="shared" si="62"/>
        <v>14.660714285714286</v>
      </c>
      <c r="R137" s="111">
        <f t="shared" si="62"/>
        <v>15.75</v>
      </c>
      <c r="S137" s="111">
        <f t="shared" si="62"/>
        <v>15.452830188679245</v>
      </c>
    </row>
    <row r="138" spans="1:21" s="4" customFormat="1" x14ac:dyDescent="0.2">
      <c r="A138" s="8" t="s">
        <v>452</v>
      </c>
      <c r="B138" s="2" t="s">
        <v>234</v>
      </c>
      <c r="C138" s="39" t="s">
        <v>251</v>
      </c>
      <c r="D138" s="106">
        <v>0.5</v>
      </c>
      <c r="E138" s="106">
        <f>1/3</f>
        <v>0.33333333333333331</v>
      </c>
      <c r="F138" s="114" t="s">
        <v>433</v>
      </c>
      <c r="G138" s="100" t="s">
        <v>252</v>
      </c>
      <c r="H138" s="118" t="e">
        <f t="shared" ref="H138:S138" si="63">H27/H4</f>
        <v>#DIV/0!</v>
      </c>
      <c r="I138" s="118" t="e">
        <f t="shared" si="63"/>
        <v>#DIV/0!</v>
      </c>
      <c r="J138" s="118" t="e">
        <f t="shared" si="63"/>
        <v>#DIV/0!</v>
      </c>
      <c r="K138" s="118" t="e">
        <f t="shared" si="63"/>
        <v>#DIV/0!</v>
      </c>
      <c r="L138" s="118">
        <f t="shared" si="63"/>
        <v>0.90160868242215242</v>
      </c>
      <c r="M138" s="118">
        <f t="shared" si="63"/>
        <v>0.75183207203755154</v>
      </c>
      <c r="N138" s="118">
        <f t="shared" si="63"/>
        <v>0.73031043497681269</v>
      </c>
      <c r="O138" s="118">
        <f t="shared" si="63"/>
        <v>0.80891891891891887</v>
      </c>
      <c r="P138" s="118">
        <f t="shared" si="63"/>
        <v>0.86301369863013699</v>
      </c>
      <c r="Q138" s="118">
        <f t="shared" si="63"/>
        <v>0.87333333333333329</v>
      </c>
      <c r="R138" s="118">
        <f t="shared" si="63"/>
        <v>0.87581699346405228</v>
      </c>
      <c r="S138" s="118">
        <f t="shared" si="63"/>
        <v>0.87820512820512819</v>
      </c>
    </row>
    <row r="139" spans="1:21" s="4" customFormat="1" x14ac:dyDescent="0.2">
      <c r="A139" s="8"/>
      <c r="B139" s="2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</row>
    <row r="140" spans="1:21" s="4" customFormat="1" x14ac:dyDescent="0.2">
      <c r="A140" s="40"/>
      <c r="B140" s="2"/>
      <c r="C140" s="2"/>
      <c r="D140" s="41"/>
      <c r="E140" s="42"/>
      <c r="F140" s="37"/>
      <c r="G140" s="94" t="s">
        <v>253</v>
      </c>
      <c r="H140" s="87">
        <f t="shared" ref="H140:S140" si="64">H133</f>
        <v>2011</v>
      </c>
      <c r="I140" s="87">
        <f t="shared" si="64"/>
        <v>2012</v>
      </c>
      <c r="J140" s="87">
        <f t="shared" si="64"/>
        <v>2013</v>
      </c>
      <c r="K140" s="87">
        <f t="shared" si="64"/>
        <v>2014</v>
      </c>
      <c r="L140" s="87">
        <f t="shared" si="64"/>
        <v>2015</v>
      </c>
      <c r="M140" s="87">
        <f t="shared" si="64"/>
        <v>2016</v>
      </c>
      <c r="N140" s="87">
        <f t="shared" si="64"/>
        <v>2017</v>
      </c>
      <c r="O140" s="87">
        <f t="shared" si="64"/>
        <v>2018</v>
      </c>
      <c r="P140" s="87">
        <f t="shared" si="64"/>
        <v>2019</v>
      </c>
      <c r="Q140" s="87">
        <f t="shared" si="64"/>
        <v>2020</v>
      </c>
      <c r="R140" s="87">
        <f t="shared" si="64"/>
        <v>2021</v>
      </c>
      <c r="S140" s="87">
        <f t="shared" si="64"/>
        <v>2022</v>
      </c>
    </row>
    <row r="141" spans="1:21" s="4" customFormat="1" x14ac:dyDescent="0.2">
      <c r="A141" s="8" t="s">
        <v>453</v>
      </c>
      <c r="B141" s="2" t="s">
        <v>238</v>
      </c>
      <c r="C141" s="8" t="s">
        <v>255</v>
      </c>
      <c r="D141" s="43"/>
      <c r="E141" s="106">
        <v>0.05</v>
      </c>
      <c r="F141" s="8"/>
      <c r="G141" s="103" t="s">
        <v>256</v>
      </c>
      <c r="H141" s="108">
        <f t="shared" ref="H141:S141" si="65">H35/H33</f>
        <v>0</v>
      </c>
      <c r="I141" s="108">
        <f t="shared" si="65"/>
        <v>0</v>
      </c>
      <c r="J141" s="108" t="e">
        <f t="shared" si="65"/>
        <v>#DIV/0!</v>
      </c>
      <c r="K141" s="108" t="e">
        <f t="shared" si="65"/>
        <v>#DIV/0!</v>
      </c>
      <c r="L141" s="108">
        <f t="shared" si="65"/>
        <v>0.18711764381679974</v>
      </c>
      <c r="M141" s="108">
        <f t="shared" si="65"/>
        <v>0.13632663803985981</v>
      </c>
      <c r="N141" s="108">
        <f t="shared" si="65"/>
        <v>7.1756653815813337E-2</v>
      </c>
      <c r="O141" s="108">
        <f t="shared" si="65"/>
        <v>5.9701492537313432E-2</v>
      </c>
      <c r="P141" s="108">
        <f t="shared" si="65"/>
        <v>6.7319461444308448E-2</v>
      </c>
      <c r="Q141" s="108">
        <f t="shared" si="65"/>
        <v>7.3081607795371498E-2</v>
      </c>
      <c r="R141" s="108">
        <f t="shared" si="65"/>
        <v>7.3260073260073263E-2</v>
      </c>
      <c r="S141" s="108">
        <f t="shared" si="65"/>
        <v>7.3260073260073263E-2</v>
      </c>
    </row>
    <row r="142" spans="1:21" s="4" customFormat="1" x14ac:dyDescent="0.2">
      <c r="A142" s="8" t="s">
        <v>454</v>
      </c>
      <c r="B142" s="2" t="s">
        <v>241</v>
      </c>
      <c r="C142" s="8" t="s">
        <v>258</v>
      </c>
      <c r="D142" s="10"/>
      <c r="E142" s="106">
        <v>0.95</v>
      </c>
      <c r="F142" s="8"/>
      <c r="G142" s="110" t="s">
        <v>259</v>
      </c>
      <c r="H142" s="118">
        <f t="shared" ref="H142:S142" si="66">(H36+H34)/H33</f>
        <v>0</v>
      </c>
      <c r="I142" s="118">
        <f t="shared" si="66"/>
        <v>0</v>
      </c>
      <c r="J142" s="118" t="e">
        <f t="shared" si="66"/>
        <v>#DIV/0!</v>
      </c>
      <c r="K142" s="118" t="e">
        <f t="shared" si="66"/>
        <v>#DIV/0!</v>
      </c>
      <c r="L142" s="118">
        <f t="shared" si="66"/>
        <v>0.80990193875517758</v>
      </c>
      <c r="M142" s="118">
        <f t="shared" si="66"/>
        <v>0.86367336196014022</v>
      </c>
      <c r="N142" s="118">
        <f t="shared" si="66"/>
        <v>0.92811692319997219</v>
      </c>
      <c r="O142" s="118">
        <f t="shared" si="66"/>
        <v>0.94029850746268662</v>
      </c>
      <c r="P142" s="118">
        <f t="shared" si="66"/>
        <v>0.93268053855569155</v>
      </c>
      <c r="Q142" s="118">
        <f t="shared" si="66"/>
        <v>0.92691839220462846</v>
      </c>
      <c r="R142" s="118">
        <f t="shared" si="66"/>
        <v>0.92673992673992678</v>
      </c>
      <c r="S142" s="118">
        <f t="shared" si="66"/>
        <v>0.92673992673992678</v>
      </c>
    </row>
    <row r="143" spans="1:21" s="4" customFormat="1" x14ac:dyDescent="0.2">
      <c r="A143" s="8" t="s">
        <v>455</v>
      </c>
      <c r="B143" s="2" t="s">
        <v>244</v>
      </c>
      <c r="C143" s="8" t="s">
        <v>261</v>
      </c>
      <c r="D143" s="10"/>
      <c r="E143" s="106">
        <v>0.95</v>
      </c>
      <c r="F143" s="8"/>
      <c r="G143" s="46" t="s">
        <v>262</v>
      </c>
      <c r="H143" s="108" t="e">
        <f t="shared" ref="H143:S143" si="67">H38/(H38+H41)</f>
        <v>#DIV/0!</v>
      </c>
      <c r="I143" s="108" t="e">
        <f t="shared" si="67"/>
        <v>#DIV/0!</v>
      </c>
      <c r="J143" s="108" t="e">
        <f t="shared" si="67"/>
        <v>#DIV/0!</v>
      </c>
      <c r="K143" s="108" t="e">
        <f t="shared" si="67"/>
        <v>#DIV/0!</v>
      </c>
      <c r="L143" s="108">
        <f t="shared" si="67"/>
        <v>0</v>
      </c>
      <c r="M143" s="108">
        <f t="shared" si="67"/>
        <v>0</v>
      </c>
      <c r="N143" s="108">
        <f t="shared" si="67"/>
        <v>0</v>
      </c>
      <c r="O143" s="108">
        <f t="shared" si="67"/>
        <v>0</v>
      </c>
      <c r="P143" s="108">
        <f t="shared" si="67"/>
        <v>0</v>
      </c>
      <c r="Q143" s="108">
        <f t="shared" si="67"/>
        <v>0</v>
      </c>
      <c r="R143" s="108">
        <f t="shared" si="67"/>
        <v>0</v>
      </c>
      <c r="S143" s="108">
        <f t="shared" si="67"/>
        <v>0</v>
      </c>
    </row>
    <row r="144" spans="1:21" s="4" customFormat="1" x14ac:dyDescent="0.2">
      <c r="A144" s="8"/>
      <c r="B144" s="2"/>
      <c r="C144" s="8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</row>
    <row r="145" spans="1:19" s="4" customFormat="1" x14ac:dyDescent="0.2">
      <c r="A145" s="40"/>
      <c r="B145" s="2"/>
      <c r="C145" s="119"/>
      <c r="D145" s="41"/>
      <c r="E145" s="42"/>
      <c r="F145" s="37"/>
      <c r="G145" s="94"/>
      <c r="H145" s="87">
        <f>H140</f>
        <v>2011</v>
      </c>
      <c r="I145" s="87">
        <f t="shared" ref="I145:S145" si="68">I140</f>
        <v>2012</v>
      </c>
      <c r="J145" s="87">
        <f t="shared" si="68"/>
        <v>2013</v>
      </c>
      <c r="K145" s="87">
        <f t="shared" si="68"/>
        <v>2014</v>
      </c>
      <c r="L145" s="87">
        <f t="shared" si="68"/>
        <v>2015</v>
      </c>
      <c r="M145" s="87">
        <f t="shared" si="68"/>
        <v>2016</v>
      </c>
      <c r="N145" s="87">
        <f t="shared" si="68"/>
        <v>2017</v>
      </c>
      <c r="O145" s="87">
        <f t="shared" si="68"/>
        <v>2018</v>
      </c>
      <c r="P145" s="87">
        <f t="shared" si="68"/>
        <v>2019</v>
      </c>
      <c r="Q145" s="87">
        <f t="shared" si="68"/>
        <v>2020</v>
      </c>
      <c r="R145" s="87">
        <f t="shared" si="68"/>
        <v>2021</v>
      </c>
      <c r="S145" s="87">
        <f t="shared" si="68"/>
        <v>2022</v>
      </c>
    </row>
    <row r="146" spans="1:19" s="4" customFormat="1" x14ac:dyDescent="0.2">
      <c r="A146" s="4" t="s">
        <v>456</v>
      </c>
      <c r="B146" s="2" t="s">
        <v>247</v>
      </c>
      <c r="C146" s="8" t="s">
        <v>264</v>
      </c>
      <c r="D146" s="120">
        <v>0.5</v>
      </c>
      <c r="E146" s="121" t="s">
        <v>265</v>
      </c>
      <c r="G146" s="103" t="s">
        <v>266</v>
      </c>
      <c r="H146" s="111" t="str">
        <f t="shared" ref="H146:S146" si="69">IF(H141&lt;$D$146,$E$146,H35/H4)</f>
        <v>N/A</v>
      </c>
      <c r="I146" s="111" t="str">
        <f t="shared" si="69"/>
        <v>N/A</v>
      </c>
      <c r="J146" s="111" t="e">
        <f t="shared" si="69"/>
        <v>#DIV/0!</v>
      </c>
      <c r="K146" s="111" t="e">
        <f t="shared" si="69"/>
        <v>#DIV/0!</v>
      </c>
      <c r="L146" s="111" t="str">
        <f t="shared" si="69"/>
        <v>N/A</v>
      </c>
      <c r="M146" s="111" t="str">
        <f t="shared" si="69"/>
        <v>N/A</v>
      </c>
      <c r="N146" s="111" t="str">
        <f t="shared" si="69"/>
        <v>N/A</v>
      </c>
      <c r="O146" s="111" t="str">
        <f t="shared" si="69"/>
        <v>N/A</v>
      </c>
      <c r="P146" s="111" t="str">
        <f t="shared" si="69"/>
        <v>N/A</v>
      </c>
      <c r="Q146" s="111" t="str">
        <f t="shared" si="69"/>
        <v>N/A</v>
      </c>
      <c r="R146" s="111" t="str">
        <f t="shared" si="69"/>
        <v>N/A</v>
      </c>
      <c r="S146" s="111" t="str">
        <f t="shared" si="69"/>
        <v>N/A</v>
      </c>
    </row>
    <row r="147" spans="1:19" s="4" customFormat="1" x14ac:dyDescent="0.2">
      <c r="A147" s="4" t="s">
        <v>457</v>
      </c>
      <c r="B147" s="2" t="s">
        <v>250</v>
      </c>
      <c r="C147" s="8" t="s">
        <v>267</v>
      </c>
      <c r="D147" s="120">
        <v>0.5</v>
      </c>
      <c r="E147" s="121" t="s">
        <v>265</v>
      </c>
      <c r="G147" s="110" t="s">
        <v>268</v>
      </c>
      <c r="H147" s="111" t="str">
        <f t="shared" ref="H147:S147" si="70">IF(H141&lt;$D$147,$E$147,H35/H15)</f>
        <v>N/A</v>
      </c>
      <c r="I147" s="111" t="str">
        <f t="shared" si="70"/>
        <v>N/A</v>
      </c>
      <c r="J147" s="111" t="e">
        <f t="shared" si="70"/>
        <v>#DIV/0!</v>
      </c>
      <c r="K147" s="111" t="e">
        <f t="shared" si="70"/>
        <v>#DIV/0!</v>
      </c>
      <c r="L147" s="111" t="str">
        <f t="shared" si="70"/>
        <v>N/A</v>
      </c>
      <c r="M147" s="111" t="str">
        <f t="shared" si="70"/>
        <v>N/A</v>
      </c>
      <c r="N147" s="111" t="str">
        <f t="shared" si="70"/>
        <v>N/A</v>
      </c>
      <c r="O147" s="111" t="str">
        <f t="shared" si="70"/>
        <v>N/A</v>
      </c>
      <c r="P147" s="111" t="str">
        <f t="shared" si="70"/>
        <v>N/A</v>
      </c>
      <c r="Q147" s="111" t="str">
        <f t="shared" si="70"/>
        <v>N/A</v>
      </c>
      <c r="R147" s="111" t="str">
        <f t="shared" si="70"/>
        <v>N/A</v>
      </c>
      <c r="S147" s="111" t="str">
        <f t="shared" si="70"/>
        <v>N/A</v>
      </c>
    </row>
    <row r="148" spans="1:19" s="4" customFormat="1" x14ac:dyDescent="0.2">
      <c r="A148" s="4" t="s">
        <v>458</v>
      </c>
      <c r="B148" s="2" t="s">
        <v>254</v>
      </c>
      <c r="C148" s="8" t="s">
        <v>201</v>
      </c>
      <c r="D148" s="120">
        <v>0.5</v>
      </c>
      <c r="E148" s="121" t="s">
        <v>265</v>
      </c>
      <c r="G148" s="103" t="s">
        <v>269</v>
      </c>
      <c r="H148" s="118" t="str">
        <f t="shared" ref="H148:S148" si="71">IF(H141&lt;$D$148,$E$148,H46/H33)</f>
        <v>N/A</v>
      </c>
      <c r="I148" s="118" t="str">
        <f t="shared" si="71"/>
        <v>N/A</v>
      </c>
      <c r="J148" s="118" t="e">
        <f t="shared" si="71"/>
        <v>#DIV/0!</v>
      </c>
      <c r="K148" s="118" t="e">
        <f t="shared" si="71"/>
        <v>#DIV/0!</v>
      </c>
      <c r="L148" s="118" t="str">
        <f t="shared" si="71"/>
        <v>N/A</v>
      </c>
      <c r="M148" s="118" t="str">
        <f t="shared" si="71"/>
        <v>N/A</v>
      </c>
      <c r="N148" s="118" t="str">
        <f t="shared" si="71"/>
        <v>N/A</v>
      </c>
      <c r="O148" s="118" t="str">
        <f t="shared" si="71"/>
        <v>N/A</v>
      </c>
      <c r="P148" s="118" t="str">
        <f t="shared" si="71"/>
        <v>N/A</v>
      </c>
      <c r="Q148" s="118" t="str">
        <f t="shared" si="71"/>
        <v>N/A</v>
      </c>
      <c r="R148" s="118" t="str">
        <f t="shared" si="71"/>
        <v>N/A</v>
      </c>
      <c r="S148" s="118" t="str">
        <f t="shared" si="71"/>
        <v>N/A</v>
      </c>
    </row>
    <row r="149" spans="1:19" s="4" customFormat="1" x14ac:dyDescent="0.2">
      <c r="A149" s="4" t="s">
        <v>459</v>
      </c>
      <c r="B149" s="2" t="s">
        <v>257</v>
      </c>
      <c r="C149" s="8" t="s">
        <v>270</v>
      </c>
      <c r="D149" s="120">
        <v>0.5</v>
      </c>
      <c r="E149" s="121" t="s">
        <v>265</v>
      </c>
      <c r="G149" s="110" t="s">
        <v>271</v>
      </c>
      <c r="H149" s="118" t="str">
        <f t="shared" ref="H149:S149" si="72">IF(H141&lt;$D$148,$E$149,H51/H33)</f>
        <v>N/A</v>
      </c>
      <c r="I149" s="118" t="str">
        <f t="shared" si="72"/>
        <v>N/A</v>
      </c>
      <c r="J149" s="118" t="e">
        <f t="shared" si="72"/>
        <v>#DIV/0!</v>
      </c>
      <c r="K149" s="118" t="e">
        <f t="shared" si="72"/>
        <v>#DIV/0!</v>
      </c>
      <c r="L149" s="118" t="str">
        <f t="shared" si="72"/>
        <v>N/A</v>
      </c>
      <c r="M149" s="118" t="str">
        <f t="shared" si="72"/>
        <v>N/A</v>
      </c>
      <c r="N149" s="118" t="str">
        <f t="shared" si="72"/>
        <v>N/A</v>
      </c>
      <c r="O149" s="118" t="str">
        <f t="shared" si="72"/>
        <v>N/A</v>
      </c>
      <c r="P149" s="118" t="str">
        <f t="shared" si="72"/>
        <v>N/A</v>
      </c>
      <c r="Q149" s="118" t="str">
        <f t="shared" si="72"/>
        <v>N/A</v>
      </c>
      <c r="R149" s="118" t="str">
        <f t="shared" si="72"/>
        <v>N/A</v>
      </c>
      <c r="S149" s="118" t="str">
        <f t="shared" si="72"/>
        <v>N/A</v>
      </c>
    </row>
    <row r="150" spans="1:19" s="4" customFormat="1" x14ac:dyDescent="0.2">
      <c r="A150" s="4" t="s">
        <v>460</v>
      </c>
      <c r="B150" s="2" t="s">
        <v>260</v>
      </c>
      <c r="C150" s="8" t="s">
        <v>272</v>
      </c>
      <c r="D150" s="120">
        <v>0.5</v>
      </c>
      <c r="E150" s="121" t="s">
        <v>265</v>
      </c>
      <c r="G150" s="110" t="s">
        <v>273</v>
      </c>
      <c r="H150" s="118" t="str">
        <f t="shared" ref="H150:S150" si="73">IF(H141&lt;$D$150,$E$150,H51/H4)</f>
        <v>N/A</v>
      </c>
      <c r="I150" s="118" t="str">
        <f t="shared" si="73"/>
        <v>N/A</v>
      </c>
      <c r="J150" s="118" t="e">
        <f t="shared" si="73"/>
        <v>#DIV/0!</v>
      </c>
      <c r="K150" s="118" t="e">
        <f t="shared" si="73"/>
        <v>#DIV/0!</v>
      </c>
      <c r="L150" s="118" t="str">
        <f t="shared" si="73"/>
        <v>N/A</v>
      </c>
      <c r="M150" s="118" t="str">
        <f t="shared" si="73"/>
        <v>N/A</v>
      </c>
      <c r="N150" s="118" t="str">
        <f t="shared" si="73"/>
        <v>N/A</v>
      </c>
      <c r="O150" s="118" t="str">
        <f t="shared" si="73"/>
        <v>N/A</v>
      </c>
      <c r="P150" s="118" t="str">
        <f t="shared" si="73"/>
        <v>N/A</v>
      </c>
      <c r="Q150" s="118" t="str">
        <f t="shared" si="73"/>
        <v>N/A</v>
      </c>
      <c r="R150" s="118" t="str">
        <f t="shared" si="73"/>
        <v>N/A</v>
      </c>
      <c r="S150" s="118" t="str">
        <f t="shared" si="73"/>
        <v>N/A</v>
      </c>
    </row>
    <row r="151" spans="1:19" s="4" customFormat="1" x14ac:dyDescent="0.2">
      <c r="A151" s="4" t="s">
        <v>461</v>
      </c>
      <c r="B151" s="2" t="s">
        <v>263</v>
      </c>
      <c r="C151" s="8" t="s">
        <v>274</v>
      </c>
      <c r="D151" s="120">
        <v>0.5</v>
      </c>
      <c r="E151" s="121" t="s">
        <v>265</v>
      </c>
      <c r="G151" s="46" t="s">
        <v>275</v>
      </c>
      <c r="H151" s="118" t="str">
        <f>IF(H141&lt;$D$151,$E$151,H51/H27)</f>
        <v>N/A</v>
      </c>
      <c r="I151" s="118" t="str">
        <f>IF(I141&lt;$D$151,$E$151,I51/((H27+I27)/2))</f>
        <v>N/A</v>
      </c>
      <c r="J151" s="118" t="e">
        <f>IF(J141&lt;$D$151,$E$151,J51/((I27+J27)/2))</f>
        <v>#DIV/0!</v>
      </c>
      <c r="K151" s="118" t="e">
        <f>IF(K141&lt;$D$151,$E$151,K51/((J27+K27)/2))</f>
        <v>#DIV/0!</v>
      </c>
      <c r="L151" s="118" t="str">
        <f>IF(L141&lt;$D$151,$E$151,L51/((K27+L27)/2))</f>
        <v>N/A</v>
      </c>
      <c r="M151" s="118" t="str">
        <f>IF(M141&lt;$D$151,$E$151,M51/((L27+M27)/2))</f>
        <v>N/A</v>
      </c>
      <c r="N151" s="118" t="str">
        <f t="shared" ref="N151:S151" si="74">IF(N141&lt;$D$151,$E$151,N51/((M27+N27)/2))</f>
        <v>N/A</v>
      </c>
      <c r="O151" s="118" t="str">
        <f t="shared" si="74"/>
        <v>N/A</v>
      </c>
      <c r="P151" s="118" t="str">
        <f t="shared" si="74"/>
        <v>N/A</v>
      </c>
      <c r="Q151" s="118" t="str">
        <f t="shared" si="74"/>
        <v>N/A</v>
      </c>
      <c r="R151" s="118" t="str">
        <f t="shared" si="74"/>
        <v>N/A</v>
      </c>
      <c r="S151" s="118" t="str">
        <f t="shared" si="74"/>
        <v>N/A</v>
      </c>
    </row>
    <row r="152" spans="1:19" s="4" customFormat="1" x14ac:dyDescent="0.2">
      <c r="A152" s="8"/>
      <c r="B152" s="2"/>
      <c r="C152" s="119"/>
      <c r="D152" s="41"/>
      <c r="E152" s="42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</row>
    <row r="153" spans="1:19" s="4" customFormat="1" x14ac:dyDescent="0.2">
      <c r="A153" s="8"/>
      <c r="B153" s="2"/>
      <c r="C153" s="10"/>
      <c r="D153" s="10"/>
      <c r="E153" s="9"/>
      <c r="F153" s="8"/>
      <c r="G153" s="94" t="s">
        <v>462</v>
      </c>
      <c r="H153" s="87">
        <f>H145</f>
        <v>2011</v>
      </c>
      <c r="I153" s="87">
        <f t="shared" ref="I153:S153" si="75">I145</f>
        <v>2012</v>
      </c>
      <c r="J153" s="87">
        <f t="shared" si="75"/>
        <v>2013</v>
      </c>
      <c r="K153" s="87">
        <f t="shared" si="75"/>
        <v>2014</v>
      </c>
      <c r="L153" s="87">
        <f t="shared" si="75"/>
        <v>2015</v>
      </c>
      <c r="M153" s="87">
        <f t="shared" si="75"/>
        <v>2016</v>
      </c>
      <c r="N153" s="87">
        <f t="shared" si="75"/>
        <v>2017</v>
      </c>
      <c r="O153" s="87">
        <f t="shared" si="75"/>
        <v>2018</v>
      </c>
      <c r="P153" s="87">
        <f t="shared" si="75"/>
        <v>2019</v>
      </c>
      <c r="Q153" s="87">
        <f t="shared" si="75"/>
        <v>2020</v>
      </c>
      <c r="R153" s="87">
        <f t="shared" si="75"/>
        <v>2021</v>
      </c>
      <c r="S153" s="87">
        <f t="shared" si="75"/>
        <v>2022</v>
      </c>
    </row>
    <row r="154" spans="1:19" s="4" customFormat="1" x14ac:dyDescent="0.2">
      <c r="A154" s="8"/>
      <c r="B154" s="2"/>
      <c r="C154" s="10"/>
      <c r="D154" s="10"/>
      <c r="E154" s="9"/>
      <c r="F154" s="8"/>
      <c r="G154" s="95" t="s">
        <v>276</v>
      </c>
      <c r="H154" s="96">
        <f t="shared" ref="H154:S154" si="76">H33</f>
        <v>4.5999999999999999E-2</v>
      </c>
      <c r="I154" s="96">
        <f t="shared" si="76"/>
        <v>8.1000000000000003E-2</v>
      </c>
      <c r="J154" s="96">
        <f t="shared" si="76"/>
        <v>0</v>
      </c>
      <c r="K154" s="96">
        <f t="shared" si="76"/>
        <v>0</v>
      </c>
      <c r="L154" s="96">
        <f>L33</f>
        <v>235.87299999999999</v>
      </c>
      <c r="M154" s="96">
        <f t="shared" si="76"/>
        <v>820.67600000000004</v>
      </c>
      <c r="N154" s="96">
        <f t="shared" si="76"/>
        <v>775.17549999999994</v>
      </c>
      <c r="O154" s="96">
        <f t="shared" si="76"/>
        <v>837.5</v>
      </c>
      <c r="P154" s="96">
        <f t="shared" si="76"/>
        <v>817</v>
      </c>
      <c r="Q154" s="96">
        <f t="shared" si="76"/>
        <v>821</v>
      </c>
      <c r="R154" s="96">
        <f t="shared" si="76"/>
        <v>819</v>
      </c>
      <c r="S154" s="96">
        <f t="shared" si="76"/>
        <v>819</v>
      </c>
    </row>
    <row r="155" spans="1:19" s="4" customFormat="1" x14ac:dyDescent="0.2">
      <c r="A155" s="8"/>
      <c r="B155" s="2"/>
      <c r="C155" s="10"/>
      <c r="D155" s="10"/>
      <c r="E155" s="9"/>
      <c r="F155" s="8"/>
      <c r="G155" s="95" t="s">
        <v>277</v>
      </c>
      <c r="H155" s="96">
        <f t="shared" ref="H155:S156" si="77">H35</f>
        <v>0</v>
      </c>
      <c r="I155" s="96">
        <f t="shared" si="77"/>
        <v>0</v>
      </c>
      <c r="J155" s="96">
        <f t="shared" si="77"/>
        <v>0</v>
      </c>
      <c r="K155" s="96">
        <f t="shared" si="77"/>
        <v>0</v>
      </c>
      <c r="L155" s="96">
        <f t="shared" si="77"/>
        <v>44.136000000000003</v>
      </c>
      <c r="M155" s="96">
        <f t="shared" si="77"/>
        <v>111.88</v>
      </c>
      <c r="N155" s="96">
        <f t="shared" si="77"/>
        <v>55.624000000000002</v>
      </c>
      <c r="O155" s="96">
        <f t="shared" si="77"/>
        <v>50</v>
      </c>
      <c r="P155" s="96">
        <f t="shared" si="77"/>
        <v>55</v>
      </c>
      <c r="Q155" s="96">
        <f t="shared" si="77"/>
        <v>60</v>
      </c>
      <c r="R155" s="96">
        <f t="shared" si="77"/>
        <v>60</v>
      </c>
      <c r="S155" s="96">
        <f t="shared" si="77"/>
        <v>60</v>
      </c>
    </row>
    <row r="156" spans="1:19" s="4" customFormat="1" x14ac:dyDescent="0.2">
      <c r="A156" s="8"/>
      <c r="B156" s="2"/>
      <c r="C156" s="10"/>
      <c r="D156" s="10"/>
      <c r="E156" s="9"/>
      <c r="F156" s="8"/>
      <c r="G156" s="95" t="s">
        <v>278</v>
      </c>
      <c r="H156" s="96">
        <f t="shared" si="77"/>
        <v>0</v>
      </c>
      <c r="I156" s="96">
        <f t="shared" si="77"/>
        <v>0</v>
      </c>
      <c r="J156" s="96">
        <f t="shared" si="77"/>
        <v>0</v>
      </c>
      <c r="K156" s="96">
        <f t="shared" si="77"/>
        <v>0</v>
      </c>
      <c r="L156" s="96">
        <f t="shared" si="77"/>
        <v>191.03399999999999</v>
      </c>
      <c r="M156" s="96">
        <f t="shared" si="77"/>
        <v>708.79600000000005</v>
      </c>
      <c r="N156" s="96">
        <f t="shared" si="77"/>
        <v>719.35599999999999</v>
      </c>
      <c r="O156" s="96">
        <f t="shared" si="77"/>
        <v>787.5</v>
      </c>
      <c r="P156" s="96">
        <f t="shared" si="77"/>
        <v>762</v>
      </c>
      <c r="Q156" s="96">
        <f t="shared" si="77"/>
        <v>761</v>
      </c>
      <c r="R156" s="96">
        <f t="shared" si="77"/>
        <v>759</v>
      </c>
      <c r="S156" s="96">
        <f t="shared" si="77"/>
        <v>759</v>
      </c>
    </row>
    <row r="157" spans="1:19" s="4" customFormat="1" x14ac:dyDescent="0.2">
      <c r="A157" s="8"/>
      <c r="B157" s="2"/>
      <c r="C157" s="10"/>
      <c r="D157" s="10"/>
      <c r="E157" s="9"/>
      <c r="F157" s="8"/>
      <c r="G157" s="95" t="s">
        <v>279</v>
      </c>
      <c r="H157" s="96">
        <f t="shared" ref="H157:S157" si="78">H38+H41</f>
        <v>0</v>
      </c>
      <c r="I157" s="96">
        <f t="shared" si="78"/>
        <v>0</v>
      </c>
      <c r="J157" s="96">
        <f t="shared" si="78"/>
        <v>0</v>
      </c>
      <c r="K157" s="96">
        <f t="shared" si="78"/>
        <v>0</v>
      </c>
      <c r="L157" s="96">
        <f t="shared" si="78"/>
        <v>-267.64800000000002</v>
      </c>
      <c r="M157" s="96">
        <f t="shared" si="78"/>
        <v>-917.70099999999991</v>
      </c>
      <c r="N157" s="96">
        <f t="shared" si="78"/>
        <v>-789.47199999999998</v>
      </c>
      <c r="O157" s="96">
        <f t="shared" si="78"/>
        <v>-829</v>
      </c>
      <c r="P157" s="96">
        <f t="shared" si="78"/>
        <v>-811</v>
      </c>
      <c r="Q157" s="96">
        <f t="shared" si="78"/>
        <v>-816</v>
      </c>
      <c r="R157" s="96">
        <f t="shared" si="78"/>
        <v>-816</v>
      </c>
      <c r="S157" s="96">
        <f t="shared" si="78"/>
        <v>-816</v>
      </c>
    </row>
    <row r="158" spans="1:19" s="4" customFormat="1" x14ac:dyDescent="0.2">
      <c r="A158" s="8"/>
      <c r="B158" s="2"/>
      <c r="C158" s="10"/>
      <c r="D158" s="10"/>
      <c r="E158" s="9"/>
      <c r="F158" s="8"/>
      <c r="G158" s="95" t="s">
        <v>280</v>
      </c>
      <c r="H158" s="96">
        <f t="shared" ref="H158:S158" si="79">H41</f>
        <v>0</v>
      </c>
      <c r="I158" s="96">
        <f t="shared" si="79"/>
        <v>0</v>
      </c>
      <c r="J158" s="96">
        <f t="shared" si="79"/>
        <v>0</v>
      </c>
      <c r="K158" s="96">
        <f t="shared" si="79"/>
        <v>0</v>
      </c>
      <c r="L158" s="96">
        <f t="shared" si="79"/>
        <v>-267.64800000000002</v>
      </c>
      <c r="M158" s="96">
        <f t="shared" si="79"/>
        <v>-917.70099999999991</v>
      </c>
      <c r="N158" s="96">
        <f t="shared" si="79"/>
        <v>-789.47199999999998</v>
      </c>
      <c r="O158" s="96">
        <f t="shared" si="79"/>
        <v>-829</v>
      </c>
      <c r="P158" s="96">
        <f t="shared" si="79"/>
        <v>-811</v>
      </c>
      <c r="Q158" s="96">
        <f t="shared" si="79"/>
        <v>-816</v>
      </c>
      <c r="R158" s="96">
        <f t="shared" si="79"/>
        <v>-816</v>
      </c>
      <c r="S158" s="96">
        <f t="shared" si="79"/>
        <v>-816</v>
      </c>
    </row>
    <row r="159" spans="1:19" s="4" customFormat="1" x14ac:dyDescent="0.2">
      <c r="A159" s="8"/>
      <c r="B159" s="2"/>
      <c r="C159" s="10"/>
      <c r="D159" s="10"/>
      <c r="E159" s="9"/>
      <c r="F159" s="8"/>
      <c r="G159" s="95" t="s">
        <v>281</v>
      </c>
      <c r="H159" s="96">
        <f t="shared" ref="H159:S159" si="80">H38</f>
        <v>0</v>
      </c>
      <c r="I159" s="96">
        <f t="shared" si="80"/>
        <v>0</v>
      </c>
      <c r="J159" s="96">
        <f t="shared" si="80"/>
        <v>0</v>
      </c>
      <c r="K159" s="96">
        <f t="shared" si="80"/>
        <v>0</v>
      </c>
      <c r="L159" s="96">
        <f t="shared" si="80"/>
        <v>0</v>
      </c>
      <c r="M159" s="96">
        <f t="shared" si="80"/>
        <v>0</v>
      </c>
      <c r="N159" s="96">
        <f t="shared" si="80"/>
        <v>0</v>
      </c>
      <c r="O159" s="96">
        <f t="shared" si="80"/>
        <v>0</v>
      </c>
      <c r="P159" s="96">
        <f t="shared" si="80"/>
        <v>0</v>
      </c>
      <c r="Q159" s="96">
        <f t="shared" si="80"/>
        <v>0</v>
      </c>
      <c r="R159" s="96">
        <f t="shared" si="80"/>
        <v>0</v>
      </c>
      <c r="S159" s="96">
        <f t="shared" si="80"/>
        <v>0</v>
      </c>
    </row>
    <row r="160" spans="1:19" s="4" customFormat="1" x14ac:dyDescent="0.2">
      <c r="A160" s="8"/>
      <c r="B160" s="2"/>
      <c r="C160" s="10"/>
      <c r="D160" s="10"/>
      <c r="E160" s="9"/>
      <c r="F160" s="8"/>
      <c r="G160" s="95" t="s">
        <v>282</v>
      </c>
      <c r="H160" s="96">
        <f t="shared" ref="H160:S160" si="81">H46</f>
        <v>4.5999999999999999E-2</v>
      </c>
      <c r="I160" s="96">
        <f t="shared" si="81"/>
        <v>8.1000000000000003E-2</v>
      </c>
      <c r="J160" s="96">
        <f t="shared" si="81"/>
        <v>0</v>
      </c>
      <c r="K160" s="96">
        <f t="shared" si="81"/>
        <v>0</v>
      </c>
      <c r="L160" s="96">
        <f t="shared" si="81"/>
        <v>-31.775000000000034</v>
      </c>
      <c r="M160" s="96">
        <f t="shared" si="81"/>
        <v>-97.024999999999864</v>
      </c>
      <c r="N160" s="96">
        <f t="shared" si="81"/>
        <v>-14.296500000000037</v>
      </c>
      <c r="O160" s="96">
        <f t="shared" si="81"/>
        <v>8.5</v>
      </c>
      <c r="P160" s="96">
        <f t="shared" si="81"/>
        <v>6</v>
      </c>
      <c r="Q160" s="96">
        <f t="shared" si="81"/>
        <v>5</v>
      </c>
      <c r="R160" s="96">
        <f t="shared" si="81"/>
        <v>3</v>
      </c>
      <c r="S160" s="96">
        <f t="shared" si="81"/>
        <v>3</v>
      </c>
    </row>
    <row r="161" spans="1:19" s="4" customFormat="1" x14ac:dyDescent="0.2">
      <c r="A161" s="8"/>
      <c r="B161" s="2"/>
      <c r="C161" s="10"/>
      <c r="D161" s="10"/>
      <c r="E161" s="9"/>
      <c r="F161" s="8"/>
      <c r="G161" s="95" t="s">
        <v>283</v>
      </c>
      <c r="H161" s="96">
        <f t="shared" ref="H161:S161" si="82">H51</f>
        <v>4.8000000000000001E-2</v>
      </c>
      <c r="I161" s="96">
        <f t="shared" si="82"/>
        <v>8.1000000000000003E-2</v>
      </c>
      <c r="J161" s="96">
        <f t="shared" si="82"/>
        <v>0</v>
      </c>
      <c r="K161" s="96">
        <f t="shared" si="82"/>
        <v>0</v>
      </c>
      <c r="L161" s="96">
        <f t="shared" si="82"/>
        <v>-31.737000000000034</v>
      </c>
      <c r="M161" s="96">
        <f t="shared" si="82"/>
        <v>-96.650999999999868</v>
      </c>
      <c r="N161" s="96">
        <f t="shared" si="82"/>
        <v>-14.296500000000037</v>
      </c>
      <c r="O161" s="96">
        <f t="shared" si="82"/>
        <v>8.5</v>
      </c>
      <c r="P161" s="96">
        <f t="shared" si="82"/>
        <v>6</v>
      </c>
      <c r="Q161" s="96">
        <f t="shared" si="82"/>
        <v>5</v>
      </c>
      <c r="R161" s="96">
        <f t="shared" si="82"/>
        <v>3</v>
      </c>
      <c r="S161" s="96">
        <f t="shared" si="82"/>
        <v>3</v>
      </c>
    </row>
    <row r="162" spans="1:19" s="4" customFormat="1" x14ac:dyDescent="0.2">
      <c r="A162" s="8"/>
      <c r="B162" s="2"/>
      <c r="C162" s="10"/>
      <c r="D162" s="10"/>
      <c r="E162" s="9"/>
      <c r="F162" s="8"/>
      <c r="G162" s="95" t="s">
        <v>284</v>
      </c>
      <c r="H162" s="96">
        <f t="shared" ref="H162:S163" si="83">H4</f>
        <v>0</v>
      </c>
      <c r="I162" s="96">
        <f t="shared" si="83"/>
        <v>0</v>
      </c>
      <c r="J162" s="96">
        <f t="shared" si="83"/>
        <v>0</v>
      </c>
      <c r="K162" s="96">
        <f t="shared" si="83"/>
        <v>0</v>
      </c>
      <c r="L162" s="96">
        <f t="shared" si="83"/>
        <v>246.47499999999999</v>
      </c>
      <c r="M162" s="96">
        <f t="shared" si="83"/>
        <v>167.024</v>
      </c>
      <c r="N162" s="96">
        <f t="shared" si="83"/>
        <v>152.238</v>
      </c>
      <c r="O162" s="96">
        <f t="shared" si="83"/>
        <v>148</v>
      </c>
      <c r="P162" s="96">
        <f t="shared" si="83"/>
        <v>146</v>
      </c>
      <c r="Q162" s="96">
        <f t="shared" si="83"/>
        <v>150</v>
      </c>
      <c r="R162" s="96">
        <f t="shared" si="83"/>
        <v>153</v>
      </c>
      <c r="S162" s="96">
        <f t="shared" si="83"/>
        <v>156</v>
      </c>
    </row>
    <row r="163" spans="1:19" s="4" customFormat="1" x14ac:dyDescent="0.2">
      <c r="A163" s="8"/>
      <c r="B163" s="2"/>
      <c r="C163" s="10"/>
      <c r="D163" s="10"/>
      <c r="E163" s="9"/>
      <c r="F163" s="8"/>
      <c r="G163" s="95" t="s">
        <v>285</v>
      </c>
      <c r="H163" s="96">
        <f t="shared" si="83"/>
        <v>0</v>
      </c>
      <c r="I163" s="96">
        <f t="shared" si="83"/>
        <v>0</v>
      </c>
      <c r="J163" s="96">
        <f t="shared" si="83"/>
        <v>0</v>
      </c>
      <c r="K163" s="96">
        <f t="shared" si="83"/>
        <v>0</v>
      </c>
      <c r="L163" s="96">
        <f t="shared" si="83"/>
        <v>65.94</v>
      </c>
      <c r="M163" s="96">
        <f t="shared" si="83"/>
        <v>84.242999999999995</v>
      </c>
      <c r="N163" s="96">
        <f t="shared" si="83"/>
        <v>84.641000000000005</v>
      </c>
      <c r="O163" s="96">
        <f t="shared" si="83"/>
        <v>84</v>
      </c>
      <c r="P163" s="96">
        <f t="shared" si="83"/>
        <v>86</v>
      </c>
      <c r="Q163" s="96">
        <f t="shared" si="83"/>
        <v>94</v>
      </c>
      <c r="R163" s="96">
        <f t="shared" si="83"/>
        <v>101</v>
      </c>
      <c r="S163" s="96">
        <f t="shared" si="83"/>
        <v>103</v>
      </c>
    </row>
    <row r="164" spans="1:19" s="4" customFormat="1" x14ac:dyDescent="0.2">
      <c r="A164" s="8"/>
      <c r="B164" s="2"/>
      <c r="C164" s="10"/>
      <c r="D164" s="10"/>
      <c r="E164" s="9"/>
      <c r="F164" s="8"/>
      <c r="G164" s="95" t="s">
        <v>286</v>
      </c>
      <c r="H164" s="96">
        <f t="shared" ref="H164:S164" si="84">H10</f>
        <v>0</v>
      </c>
      <c r="I164" s="96">
        <f t="shared" si="84"/>
        <v>0</v>
      </c>
      <c r="J164" s="96">
        <f t="shared" si="84"/>
        <v>0</v>
      </c>
      <c r="K164" s="96">
        <f t="shared" si="84"/>
        <v>0</v>
      </c>
      <c r="L164" s="96">
        <f t="shared" si="84"/>
        <v>180.535</v>
      </c>
      <c r="M164" s="96">
        <f t="shared" si="84"/>
        <v>82.781000000000006</v>
      </c>
      <c r="N164" s="96">
        <f t="shared" si="84"/>
        <v>67.596999999999994</v>
      </c>
      <c r="O164" s="96">
        <f t="shared" si="84"/>
        <v>64</v>
      </c>
      <c r="P164" s="96">
        <f t="shared" si="84"/>
        <v>60</v>
      </c>
      <c r="Q164" s="96">
        <f t="shared" si="84"/>
        <v>56</v>
      </c>
      <c r="R164" s="96">
        <f t="shared" si="84"/>
        <v>52</v>
      </c>
      <c r="S164" s="96">
        <f t="shared" si="84"/>
        <v>53</v>
      </c>
    </row>
    <row r="165" spans="1:19" s="4" customFormat="1" x14ac:dyDescent="0.2">
      <c r="A165" s="8"/>
      <c r="B165" s="2"/>
      <c r="C165" s="10"/>
      <c r="D165" s="10"/>
      <c r="E165" s="9"/>
      <c r="F165" s="8"/>
      <c r="G165" s="95" t="s">
        <v>287</v>
      </c>
      <c r="H165" s="96">
        <f t="shared" ref="H165:S166" si="85">H19</f>
        <v>0</v>
      </c>
      <c r="I165" s="96">
        <f t="shared" si="85"/>
        <v>0</v>
      </c>
      <c r="J165" s="96">
        <f t="shared" si="85"/>
        <v>0</v>
      </c>
      <c r="K165" s="96">
        <f t="shared" si="85"/>
        <v>0</v>
      </c>
      <c r="L165" s="96">
        <f t="shared" si="85"/>
        <v>24.25</v>
      </c>
      <c r="M165" s="96">
        <f t="shared" si="85"/>
        <v>41.45</v>
      </c>
      <c r="N165" s="96">
        <f t="shared" si="85"/>
        <v>41.058</v>
      </c>
      <c r="O165" s="96">
        <f t="shared" si="85"/>
        <v>28</v>
      </c>
      <c r="P165" s="96">
        <f t="shared" si="85"/>
        <v>20</v>
      </c>
      <c r="Q165" s="96">
        <f t="shared" si="85"/>
        <v>19</v>
      </c>
      <c r="R165" s="96">
        <f t="shared" si="85"/>
        <v>19</v>
      </c>
      <c r="S165" s="96">
        <f t="shared" si="85"/>
        <v>19</v>
      </c>
    </row>
    <row r="166" spans="1:19" s="4" customFormat="1" x14ac:dyDescent="0.2">
      <c r="A166" s="8"/>
      <c r="B166" s="2"/>
      <c r="C166" s="10"/>
      <c r="D166" s="10"/>
      <c r="E166" s="9"/>
      <c r="F166" s="8"/>
      <c r="G166" s="95" t="s">
        <v>288</v>
      </c>
      <c r="H166" s="96">
        <f t="shared" si="85"/>
        <v>0</v>
      </c>
      <c r="I166" s="96">
        <f t="shared" si="85"/>
        <v>0</v>
      </c>
      <c r="J166" s="96">
        <f t="shared" si="85"/>
        <v>0</v>
      </c>
      <c r="K166" s="96">
        <f t="shared" si="85"/>
        <v>0</v>
      </c>
      <c r="L166" s="96">
        <f t="shared" si="85"/>
        <v>24.25</v>
      </c>
      <c r="M166" s="96">
        <f t="shared" si="85"/>
        <v>41.45</v>
      </c>
      <c r="N166" s="96">
        <f t="shared" si="85"/>
        <v>38.576999999999998</v>
      </c>
      <c r="O166" s="96">
        <f t="shared" si="85"/>
        <v>28</v>
      </c>
      <c r="P166" s="96">
        <f t="shared" si="85"/>
        <v>20</v>
      </c>
      <c r="Q166" s="96">
        <f t="shared" si="85"/>
        <v>19</v>
      </c>
      <c r="R166" s="96">
        <f t="shared" si="85"/>
        <v>19</v>
      </c>
      <c r="S166" s="96">
        <f t="shared" si="85"/>
        <v>19</v>
      </c>
    </row>
    <row r="167" spans="1:19" s="4" customFormat="1" x14ac:dyDescent="0.2">
      <c r="A167" s="8"/>
      <c r="B167" s="2"/>
      <c r="C167" s="10"/>
      <c r="D167" s="10"/>
      <c r="E167" s="9"/>
      <c r="F167" s="8"/>
      <c r="G167" s="95" t="s">
        <v>289</v>
      </c>
      <c r="H167" s="96">
        <f t="shared" ref="H167:S167" si="86">H24</f>
        <v>0</v>
      </c>
      <c r="I167" s="96">
        <f t="shared" si="86"/>
        <v>0</v>
      </c>
      <c r="J167" s="96">
        <f t="shared" si="86"/>
        <v>0</v>
      </c>
      <c r="K167" s="96">
        <f t="shared" si="86"/>
        <v>0</v>
      </c>
      <c r="L167" s="96">
        <f t="shared" si="86"/>
        <v>0</v>
      </c>
      <c r="M167" s="96">
        <f t="shared" si="86"/>
        <v>0</v>
      </c>
      <c r="N167" s="96">
        <f t="shared" si="86"/>
        <v>0</v>
      </c>
      <c r="O167" s="96">
        <f t="shared" si="86"/>
        <v>0</v>
      </c>
      <c r="P167" s="96">
        <f t="shared" si="86"/>
        <v>0</v>
      </c>
      <c r="Q167" s="96">
        <f t="shared" si="86"/>
        <v>0</v>
      </c>
      <c r="R167" s="96">
        <f t="shared" si="86"/>
        <v>0</v>
      </c>
      <c r="S167" s="96">
        <f t="shared" si="86"/>
        <v>0</v>
      </c>
    </row>
    <row r="168" spans="1:19" s="4" customFormat="1" x14ac:dyDescent="0.2">
      <c r="A168" s="8"/>
      <c r="B168" s="2"/>
      <c r="C168" s="10"/>
      <c r="D168" s="10"/>
      <c r="E168" s="9"/>
      <c r="F168" s="8"/>
      <c r="G168" s="95" t="s">
        <v>290</v>
      </c>
      <c r="H168" s="96">
        <f t="shared" ref="H168:S168" si="87">H27</f>
        <v>0</v>
      </c>
      <c r="I168" s="96">
        <f t="shared" si="87"/>
        <v>0</v>
      </c>
      <c r="J168" s="96">
        <f t="shared" si="87"/>
        <v>0</v>
      </c>
      <c r="K168" s="96">
        <f t="shared" si="87"/>
        <v>0</v>
      </c>
      <c r="L168" s="96">
        <f t="shared" si="87"/>
        <v>222.22400000000002</v>
      </c>
      <c r="M168" s="96">
        <f t="shared" si="87"/>
        <v>125.57400000000001</v>
      </c>
      <c r="N168" s="96">
        <f t="shared" si="87"/>
        <v>111.18100000000001</v>
      </c>
      <c r="O168" s="96">
        <f t="shared" si="87"/>
        <v>119.72</v>
      </c>
      <c r="P168" s="96">
        <f t="shared" si="87"/>
        <v>126</v>
      </c>
      <c r="Q168" s="96">
        <f t="shared" si="87"/>
        <v>131</v>
      </c>
      <c r="R168" s="96">
        <f t="shared" si="87"/>
        <v>134</v>
      </c>
      <c r="S168" s="96">
        <f t="shared" si="87"/>
        <v>137</v>
      </c>
    </row>
    <row r="169" spans="1:19" s="4" customFormat="1" x14ac:dyDescent="0.2">
      <c r="A169" s="8"/>
      <c r="B169" s="2"/>
      <c r="C169" s="119"/>
      <c r="D169" s="41"/>
      <c r="E169" s="42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</row>
    <row r="170" spans="1:19" s="4" customFormat="1" x14ac:dyDescent="0.2">
      <c r="A170" s="8"/>
      <c r="B170" s="2"/>
      <c r="C170" s="119" t="s">
        <v>463</v>
      </c>
      <c r="D170" s="41"/>
      <c r="E170" s="42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</row>
    <row r="171" spans="1:19" s="4" customFormat="1" x14ac:dyDescent="0.2">
      <c r="A171" s="8"/>
      <c r="B171" s="2"/>
      <c r="C171" s="119"/>
      <c r="D171" s="41"/>
      <c r="E171" s="42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</row>
    <row r="172" spans="1:19" s="40" customFormat="1" x14ac:dyDescent="0.2">
      <c r="A172" s="29"/>
      <c r="B172" s="2"/>
      <c r="C172" s="29" t="s">
        <v>464</v>
      </c>
      <c r="D172" s="99"/>
      <c r="E172" s="30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</row>
    <row r="173" spans="1:19" s="4" customFormat="1" x14ac:dyDescent="0.2">
      <c r="A173" s="8"/>
      <c r="B173" s="2"/>
      <c r="C173" s="8"/>
      <c r="D173" s="10"/>
      <c r="E173" s="9"/>
      <c r="F173" s="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</row>
    <row r="174" spans="1:19" s="4" customFormat="1" x14ac:dyDescent="0.2">
      <c r="A174" s="8"/>
      <c r="B174" s="2"/>
      <c r="C174" s="8" t="s">
        <v>291</v>
      </c>
      <c r="D174" s="10"/>
      <c r="E174" s="9"/>
      <c r="F174" s="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</row>
    <row r="175" spans="1:19" s="4" customFormat="1" x14ac:dyDescent="0.2">
      <c r="A175" s="8"/>
      <c r="B175" s="2"/>
      <c r="C175" s="8" t="s">
        <v>292</v>
      </c>
      <c r="D175" s="10"/>
      <c r="E175" s="9"/>
      <c r="F175" s="12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  <c r="R175" s="44"/>
    </row>
    <row r="176" spans="1:19" s="4" customFormat="1" x14ac:dyDescent="0.2">
      <c r="A176" s="8"/>
      <c r="B176" s="2"/>
      <c r="C176" s="8"/>
      <c r="D176" s="10"/>
      <c r="E176" s="9"/>
      <c r="F176" s="12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</row>
    <row r="177" spans="1:7" s="4" customFormat="1" x14ac:dyDescent="0.2">
      <c r="A177" s="8"/>
      <c r="B177" s="2"/>
      <c r="C177" s="8" t="s">
        <v>293</v>
      </c>
      <c r="D177" s="10"/>
      <c r="E177" s="9"/>
      <c r="F177" s="12"/>
      <c r="G177" s="28"/>
    </row>
    <row r="178" spans="1:7" s="4" customFormat="1" x14ac:dyDescent="0.2">
      <c r="A178" s="8"/>
      <c r="B178" s="2"/>
      <c r="C178" s="8" t="s">
        <v>294</v>
      </c>
      <c r="D178" s="10"/>
      <c r="E178" s="9"/>
      <c r="F178" s="12"/>
      <c r="G178" s="28"/>
    </row>
    <row r="179" spans="1:7" s="4" customFormat="1" x14ac:dyDescent="0.2">
      <c r="A179" s="8"/>
      <c r="B179" s="2"/>
      <c r="C179" s="10"/>
      <c r="D179" s="10"/>
      <c r="E179" s="9"/>
      <c r="F179" s="8"/>
      <c r="G179" s="28"/>
    </row>
    <row r="180" spans="1:7" s="4" customFormat="1" x14ac:dyDescent="0.2">
      <c r="A180" s="8"/>
      <c r="B180" s="2"/>
      <c r="C180" s="10"/>
      <c r="D180" s="10"/>
      <c r="E180" s="9"/>
      <c r="F180" s="8"/>
      <c r="G180" s="28"/>
    </row>
    <row r="181" spans="1:7" s="4" customFormat="1" x14ac:dyDescent="0.2">
      <c r="A181" s="8"/>
      <c r="B181" s="2"/>
      <c r="C181" s="10"/>
      <c r="D181" s="10"/>
      <c r="E181" s="9"/>
      <c r="F181" s="8"/>
      <c r="G181" s="28"/>
    </row>
    <row r="182" spans="1:7" s="4" customFormat="1" x14ac:dyDescent="0.2">
      <c r="A182" s="8"/>
      <c r="B182" s="2"/>
      <c r="C182" s="10"/>
      <c r="D182" s="10"/>
      <c r="E182" s="9"/>
      <c r="F182" s="8"/>
      <c r="G182" s="28"/>
    </row>
    <row r="183" spans="1:7" s="4" customFormat="1" x14ac:dyDescent="0.2">
      <c r="A183" s="8"/>
      <c r="B183" s="2"/>
      <c r="C183" s="10"/>
      <c r="D183" s="10"/>
      <c r="E183" s="9"/>
      <c r="F183" s="8"/>
      <c r="G183" s="28"/>
    </row>
    <row r="184" spans="1:7" s="4" customFormat="1" x14ac:dyDescent="0.2">
      <c r="A184" s="8"/>
      <c r="B184" s="2"/>
      <c r="C184" s="10"/>
      <c r="D184" s="10"/>
      <c r="E184" s="9"/>
      <c r="F184" s="8"/>
      <c r="G184" s="28"/>
    </row>
    <row r="185" spans="1:7" s="4" customFormat="1" x14ac:dyDescent="0.2">
      <c r="A185" s="8"/>
      <c r="B185" s="2"/>
      <c r="C185" s="10"/>
      <c r="D185" s="10"/>
      <c r="E185" s="9"/>
      <c r="F185" s="8"/>
      <c r="G185" s="28"/>
    </row>
    <row r="186" spans="1:7" s="4" customFormat="1" x14ac:dyDescent="0.2">
      <c r="A186" s="8"/>
      <c r="B186" s="2"/>
      <c r="C186" s="10"/>
      <c r="D186" s="10"/>
      <c r="E186" s="9"/>
      <c r="F186" s="8"/>
      <c r="G186" s="28"/>
    </row>
    <row r="187" spans="1:7" s="4" customFormat="1" x14ac:dyDescent="0.2">
      <c r="A187" s="8"/>
      <c r="B187" s="2"/>
      <c r="C187" s="10"/>
      <c r="D187" s="10"/>
      <c r="E187" s="9"/>
      <c r="F187" s="8"/>
      <c r="G187" s="28"/>
    </row>
    <row r="188" spans="1:7" s="4" customFormat="1" x14ac:dyDescent="0.2">
      <c r="A188" s="8"/>
      <c r="B188" s="2"/>
      <c r="C188" s="10"/>
      <c r="D188" s="10"/>
      <c r="E188" s="9"/>
      <c r="F188" s="8"/>
      <c r="G188" s="28"/>
    </row>
    <row r="189" spans="1:7" s="4" customFormat="1" x14ac:dyDescent="0.2">
      <c r="A189" s="8"/>
      <c r="B189" s="2"/>
      <c r="C189" s="10"/>
      <c r="D189" s="10"/>
      <c r="E189" s="9"/>
      <c r="F189" s="8"/>
      <c r="G189" s="28"/>
    </row>
    <row r="190" spans="1:7" s="4" customFormat="1" x14ac:dyDescent="0.2">
      <c r="A190" s="8"/>
      <c r="B190" s="2"/>
      <c r="C190" s="10"/>
      <c r="D190" s="10"/>
      <c r="E190" s="9"/>
      <c r="F190" s="8"/>
      <c r="G190" s="28"/>
    </row>
    <row r="191" spans="1:7" s="4" customFormat="1" x14ac:dyDescent="0.2">
      <c r="A191" s="8"/>
      <c r="B191" s="2"/>
      <c r="C191" s="10"/>
      <c r="D191" s="10"/>
      <c r="E191" s="9"/>
      <c r="F191" s="8"/>
      <c r="G191" s="28"/>
    </row>
    <row r="192" spans="1:7" s="4" customFormat="1" x14ac:dyDescent="0.2">
      <c r="A192" s="8"/>
      <c r="B192" s="2"/>
      <c r="C192" s="10"/>
      <c r="D192" s="10"/>
      <c r="E192" s="9"/>
      <c r="F192" s="8"/>
      <c r="G192" s="28"/>
    </row>
    <row r="193" spans="1:7" s="4" customFormat="1" x14ac:dyDescent="0.2">
      <c r="A193" s="8"/>
      <c r="B193" s="2"/>
      <c r="C193" s="10"/>
      <c r="D193" s="10"/>
      <c r="E193" s="9"/>
      <c r="F193" s="8"/>
      <c r="G193" s="28"/>
    </row>
    <row r="194" spans="1:7" s="4" customFormat="1" x14ac:dyDescent="0.2">
      <c r="A194" s="8"/>
      <c r="B194" s="2"/>
      <c r="C194" s="10"/>
      <c r="D194" s="10"/>
      <c r="E194" s="9"/>
      <c r="F194" s="8"/>
      <c r="G194" s="28"/>
    </row>
    <row r="195" spans="1:7" s="4" customFormat="1" x14ac:dyDescent="0.2">
      <c r="A195" s="8"/>
      <c r="B195" s="2"/>
      <c r="C195" s="10"/>
      <c r="D195" s="10"/>
      <c r="E195" s="9"/>
      <c r="F195" s="8"/>
      <c r="G195" s="28"/>
    </row>
    <row r="196" spans="1:7" s="4" customFormat="1" x14ac:dyDescent="0.2">
      <c r="A196" s="8"/>
      <c r="B196" s="2"/>
      <c r="C196" s="10"/>
      <c r="D196" s="10"/>
      <c r="E196" s="9"/>
      <c r="F196" s="8"/>
      <c r="G196" s="28"/>
    </row>
    <row r="197" spans="1:7" s="4" customFormat="1" x14ac:dyDescent="0.2">
      <c r="A197" s="8"/>
      <c r="B197" s="2"/>
      <c r="C197" s="10"/>
      <c r="D197" s="10"/>
      <c r="E197" s="9"/>
      <c r="F197" s="8"/>
      <c r="G197" s="28"/>
    </row>
    <row r="198" spans="1:7" s="4" customFormat="1" x14ac:dyDescent="0.2">
      <c r="A198" s="8"/>
      <c r="B198" s="2"/>
      <c r="C198" s="10"/>
      <c r="D198" s="10"/>
      <c r="E198" s="9"/>
      <c r="F198" s="8"/>
      <c r="G198" s="28"/>
    </row>
    <row r="199" spans="1:7" s="4" customFormat="1" x14ac:dyDescent="0.2">
      <c r="A199" s="8"/>
      <c r="B199" s="2"/>
      <c r="C199" s="10"/>
      <c r="D199" s="10"/>
      <c r="E199" s="9"/>
      <c r="F199" s="8"/>
      <c r="G199" s="28"/>
    </row>
    <row r="200" spans="1:7" s="4" customFormat="1" x14ac:dyDescent="0.2">
      <c r="A200" s="8"/>
      <c r="B200" s="2"/>
      <c r="C200" s="10"/>
      <c r="D200" s="10"/>
      <c r="E200" s="9"/>
      <c r="F200" s="8"/>
      <c r="G200" s="28"/>
    </row>
    <row r="201" spans="1:7" s="4" customFormat="1" x14ac:dyDescent="0.2">
      <c r="A201" s="8"/>
      <c r="B201" s="2"/>
      <c r="C201" s="10"/>
      <c r="D201" s="10"/>
      <c r="E201" s="9"/>
      <c r="F201" s="8"/>
      <c r="G201" s="28"/>
    </row>
    <row r="202" spans="1:7" s="4" customFormat="1" x14ac:dyDescent="0.2">
      <c r="A202" s="8"/>
      <c r="B202" s="2"/>
      <c r="C202" s="10"/>
      <c r="D202" s="10"/>
      <c r="E202" s="9"/>
      <c r="F202" s="8"/>
      <c r="G202" s="28"/>
    </row>
  </sheetData>
  <mergeCells count="1">
    <mergeCell ref="D92:E92"/>
  </mergeCells>
  <conditionalFormatting sqref="H141:Q141">
    <cfRule type="cellIs" dxfId="751" priority="51" stopIfTrue="1" operator="greaterThan">
      <formula>$E$141</formula>
    </cfRule>
    <cfRule type="cellIs" dxfId="750" priority="52" stopIfTrue="1" operator="lessThanOrEqual">
      <formula>$E$141</formula>
    </cfRule>
  </conditionalFormatting>
  <conditionalFormatting sqref="H143:Q143">
    <cfRule type="cellIs" dxfId="749" priority="49" stopIfTrue="1" operator="lessThanOrEqual">
      <formula>$E$143</formula>
    </cfRule>
    <cfRule type="cellIs" dxfId="748" priority="50" stopIfTrue="1" operator="greaterThan">
      <formula>$E$143</formula>
    </cfRule>
  </conditionalFormatting>
  <conditionalFormatting sqref="H121:Q121">
    <cfRule type="cellIs" dxfId="747" priority="47" operator="greaterThan">
      <formula>$E$121</formula>
    </cfRule>
    <cfRule type="cellIs" dxfId="746" priority="48" operator="lessThanOrEqual">
      <formula>$E$121</formula>
    </cfRule>
  </conditionalFormatting>
  <conditionalFormatting sqref="H124:Q124">
    <cfRule type="cellIs" dxfId="745" priority="45" stopIfTrue="1" operator="greaterThanOrEqual">
      <formula>$E$124</formula>
    </cfRule>
    <cfRule type="cellIs" dxfId="744" priority="46" stopIfTrue="1" operator="lessThan">
      <formula>$E$124</formula>
    </cfRule>
  </conditionalFormatting>
  <conditionalFormatting sqref="H126:Q126">
    <cfRule type="cellIs" dxfId="743" priority="43" stopIfTrue="1" operator="lessThan">
      <formula>$E$126</formula>
    </cfRule>
    <cfRule type="cellIs" dxfId="742" priority="44" stopIfTrue="1" operator="greaterThanOrEqual">
      <formula>$E$126</formula>
    </cfRule>
  </conditionalFormatting>
  <conditionalFormatting sqref="H125:Q125">
    <cfRule type="cellIs" dxfId="741" priority="41" stopIfTrue="1" operator="greaterThan">
      <formula>$E$125</formula>
    </cfRule>
    <cfRule type="cellIs" dxfId="740" priority="42" stopIfTrue="1" operator="lessThanOrEqual">
      <formula>$E$125</formula>
    </cfRule>
  </conditionalFormatting>
  <conditionalFormatting sqref="H122:Q122">
    <cfRule type="cellIs" dxfId="739" priority="30" stopIfTrue="1" operator="between">
      <formula>$D$122</formula>
      <formula>$E$122</formula>
    </cfRule>
    <cfRule type="cellIs" dxfId="738" priority="39" stopIfTrue="1" operator="lessThanOrEqual">
      <formula>$D$122</formula>
    </cfRule>
    <cfRule type="cellIs" dxfId="737" priority="40" stopIfTrue="1" operator="greaterThan">
      <formula>$E$122</formula>
    </cfRule>
  </conditionalFormatting>
  <conditionalFormatting sqref="H142:Q142">
    <cfRule type="cellIs" dxfId="736" priority="37" stopIfTrue="1" operator="greaterThan">
      <formula>$E$142</formula>
    </cfRule>
    <cfRule type="cellIs" dxfId="735" priority="38" stopIfTrue="1" operator="lessThanOrEqual">
      <formula>$E$142</formula>
    </cfRule>
  </conditionalFormatting>
  <conditionalFormatting sqref="H130:Q130">
    <cfRule type="cellIs" dxfId="734" priority="35" stopIfTrue="1" operator="greaterThan">
      <formula>$E$130</formula>
    </cfRule>
    <cfRule type="cellIs" dxfId="733" priority="36" stopIfTrue="1" operator="lessThanOrEqual">
      <formula>$E$130</formula>
    </cfRule>
  </conditionalFormatting>
  <conditionalFormatting sqref="H131:Q131">
    <cfRule type="cellIs" dxfId="732" priority="33" stopIfTrue="1" operator="lessThan">
      <formula>$E$131</formula>
    </cfRule>
    <cfRule type="cellIs" dxfId="731" priority="34" stopIfTrue="1" operator="greaterThanOrEqual">
      <formula>$E$131</formula>
    </cfRule>
  </conditionalFormatting>
  <conditionalFormatting sqref="H114:Q114">
    <cfRule type="cellIs" dxfId="730" priority="53" stopIfTrue="1" operator="lessThan">
      <formula>$D$114</formula>
    </cfRule>
    <cfRule type="cellIs" dxfId="729" priority="54" stopIfTrue="1" operator="between">
      <formula>$D$114</formula>
      <formula>$E$114</formula>
    </cfRule>
    <cfRule type="cellIs" dxfId="728" priority="55" stopIfTrue="1" operator="greaterThan">
      <formula>$E$114</formula>
    </cfRule>
  </conditionalFormatting>
  <conditionalFormatting sqref="H138:Q138">
    <cfRule type="cellIs" dxfId="727" priority="56" stopIfTrue="1" operator="lessThan">
      <formula>$E$138</formula>
    </cfRule>
    <cfRule type="cellIs" dxfId="726" priority="57" stopIfTrue="1" operator="between">
      <formula>$D$138</formula>
      <formula>$E$138</formula>
    </cfRule>
    <cfRule type="cellIs" dxfId="725" priority="58" stopIfTrue="1" operator="greaterThanOrEqual">
      <formula>$D$138</formula>
    </cfRule>
  </conditionalFormatting>
  <conditionalFormatting sqref="H111:Q111">
    <cfRule type="cellIs" dxfId="724" priority="31" stopIfTrue="1" operator="lessThan">
      <formula>$E$111</formula>
    </cfRule>
    <cfRule type="cellIs" dxfId="723" priority="32" stopIfTrue="1" operator="greaterThan">
      <formula>$E$111</formula>
    </cfRule>
  </conditionalFormatting>
  <conditionalFormatting sqref="R141:S141">
    <cfRule type="cellIs" dxfId="722" priority="22" stopIfTrue="1" operator="greaterThan">
      <formula>$E$141</formula>
    </cfRule>
    <cfRule type="cellIs" dxfId="721" priority="23" stopIfTrue="1" operator="lessThanOrEqual">
      <formula>$E$141</formula>
    </cfRule>
  </conditionalFormatting>
  <conditionalFormatting sqref="R143:S143">
    <cfRule type="cellIs" dxfId="720" priority="20" stopIfTrue="1" operator="lessThanOrEqual">
      <formula>$E$143</formula>
    </cfRule>
    <cfRule type="cellIs" dxfId="719" priority="21" stopIfTrue="1" operator="greaterThan">
      <formula>$E$143</formula>
    </cfRule>
  </conditionalFormatting>
  <conditionalFormatting sqref="R121:S121">
    <cfRule type="cellIs" dxfId="718" priority="18" operator="greaterThan">
      <formula>$E$121</formula>
    </cfRule>
    <cfRule type="cellIs" dxfId="717" priority="19" operator="lessThanOrEqual">
      <formula>$E$121</formula>
    </cfRule>
  </conditionalFormatting>
  <conditionalFormatting sqref="R124:S124">
    <cfRule type="cellIs" dxfId="716" priority="16" stopIfTrue="1" operator="greaterThanOrEqual">
      <formula>$E$124</formula>
    </cfRule>
    <cfRule type="cellIs" dxfId="715" priority="17" stopIfTrue="1" operator="lessThan">
      <formula>$E$124</formula>
    </cfRule>
  </conditionalFormatting>
  <conditionalFormatting sqref="R126:S126">
    <cfRule type="cellIs" dxfId="714" priority="14" stopIfTrue="1" operator="lessThan">
      <formula>$E$126</formula>
    </cfRule>
    <cfRule type="cellIs" dxfId="713" priority="15" stopIfTrue="1" operator="greaterThanOrEqual">
      <formula>$E$126</formula>
    </cfRule>
  </conditionalFormatting>
  <conditionalFormatting sqref="R125:S125">
    <cfRule type="cellIs" dxfId="712" priority="12" stopIfTrue="1" operator="greaterThan">
      <formula>$E$125</formula>
    </cfRule>
    <cfRule type="cellIs" dxfId="711" priority="13" stopIfTrue="1" operator="lessThanOrEqual">
      <formula>$E$125</formula>
    </cfRule>
  </conditionalFormatting>
  <conditionalFormatting sqref="R122:S122">
    <cfRule type="cellIs" dxfId="710" priority="1" stopIfTrue="1" operator="between">
      <formula>$D$122</formula>
      <formula>$E$122</formula>
    </cfRule>
    <cfRule type="cellIs" dxfId="709" priority="10" stopIfTrue="1" operator="lessThanOrEqual">
      <formula>$D$122</formula>
    </cfRule>
    <cfRule type="cellIs" dxfId="708" priority="11" stopIfTrue="1" operator="greaterThan">
      <formula>$E$122</formula>
    </cfRule>
  </conditionalFormatting>
  <conditionalFormatting sqref="R142:S142">
    <cfRule type="cellIs" dxfId="707" priority="8" stopIfTrue="1" operator="greaterThan">
      <formula>$E$142</formula>
    </cfRule>
    <cfRule type="cellIs" dxfId="706" priority="9" stopIfTrue="1" operator="lessThanOrEqual">
      <formula>$E$142</formula>
    </cfRule>
  </conditionalFormatting>
  <conditionalFormatting sqref="R130:S130">
    <cfRule type="cellIs" dxfId="705" priority="6" stopIfTrue="1" operator="greaterThan">
      <formula>$E$130</formula>
    </cfRule>
    <cfRule type="cellIs" dxfId="704" priority="7" stopIfTrue="1" operator="lessThanOrEqual">
      <formula>$E$130</formula>
    </cfRule>
  </conditionalFormatting>
  <conditionalFormatting sqref="R131:S131">
    <cfRule type="cellIs" dxfId="703" priority="4" stopIfTrue="1" operator="lessThan">
      <formula>$E$131</formula>
    </cfRule>
    <cfRule type="cellIs" dxfId="702" priority="5" stopIfTrue="1" operator="greaterThanOrEqual">
      <formula>$E$131</formula>
    </cfRule>
  </conditionalFormatting>
  <conditionalFormatting sqref="R114:S114">
    <cfRule type="cellIs" dxfId="701" priority="24" stopIfTrue="1" operator="lessThan">
      <formula>$D$114</formula>
    </cfRule>
    <cfRule type="cellIs" dxfId="700" priority="25" stopIfTrue="1" operator="between">
      <formula>$D$114</formula>
      <formula>$E$114</formula>
    </cfRule>
    <cfRule type="cellIs" dxfId="699" priority="26" stopIfTrue="1" operator="greaterThan">
      <formula>$E$114</formula>
    </cfRule>
  </conditionalFormatting>
  <conditionalFormatting sqref="R138:S138">
    <cfRule type="cellIs" dxfId="698" priority="27" stopIfTrue="1" operator="lessThan">
      <formula>$E$138</formula>
    </cfRule>
    <cfRule type="cellIs" dxfId="697" priority="28" stopIfTrue="1" operator="between">
      <formula>$D$138</formula>
      <formula>$E$138</formula>
    </cfRule>
    <cfRule type="cellIs" dxfId="696" priority="29" stopIfTrue="1" operator="greaterThanOrEqual">
      <formula>$D$138</formula>
    </cfRule>
  </conditionalFormatting>
  <conditionalFormatting sqref="R111:S111">
    <cfRule type="cellIs" dxfId="695" priority="2" stopIfTrue="1" operator="lessThan">
      <formula>$E$111</formula>
    </cfRule>
    <cfRule type="cellIs" dxfId="694" priority="3" stopIfTrue="1" operator="greaterThan">
      <formula>$E$111</formula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665657-982B-4B84-B50A-627A85D8ED63}">
  <dimension ref="A1:AA286"/>
  <sheetViews>
    <sheetView workbookViewId="0">
      <selection activeCell="G2" sqref="G2"/>
    </sheetView>
  </sheetViews>
  <sheetFormatPr defaultRowHeight="11.25" outlineLevelCol="1" x14ac:dyDescent="0.2"/>
  <cols>
    <col min="1" max="1" width="7.140625" style="314" customWidth="1"/>
    <col min="2" max="2" width="8.42578125" style="314" customWidth="1"/>
    <col min="3" max="3" width="9.140625" style="314" customWidth="1"/>
    <col min="4" max="4" width="6.7109375" style="314" customWidth="1"/>
    <col min="5" max="5" width="5.140625" style="314" customWidth="1"/>
    <col min="6" max="6" width="2" style="333" customWidth="1"/>
    <col min="7" max="7" width="28.7109375" style="314" customWidth="1"/>
    <col min="8" max="12" width="7.85546875" style="314" hidden="1" customWidth="1" outlineLevel="1"/>
    <col min="13" max="13" width="8.7109375" style="314" customWidth="1" collapsed="1"/>
    <col min="14" max="14" width="8.85546875" style="314" customWidth="1"/>
    <col min="15" max="19" width="8.7109375" style="314" customWidth="1"/>
    <col min="20" max="20" width="4" style="314" customWidth="1"/>
    <col min="21" max="21" width="9.140625" style="314" customWidth="1"/>
    <col min="22" max="22" width="12.85546875" style="314" customWidth="1"/>
    <col min="23" max="23" width="14.140625" style="314" customWidth="1"/>
    <col min="24" max="24" width="11.140625" style="314" customWidth="1"/>
    <col min="25" max="256" width="9.140625" style="314"/>
    <col min="257" max="257" width="7.140625" style="314" customWidth="1"/>
    <col min="258" max="258" width="8.42578125" style="314" customWidth="1"/>
    <col min="259" max="259" width="9.140625" style="314"/>
    <col min="260" max="260" width="6.7109375" style="314" customWidth="1"/>
    <col min="261" max="261" width="5.140625" style="314" customWidth="1"/>
    <col min="262" max="262" width="2" style="314" customWidth="1"/>
    <col min="263" max="263" width="28.7109375" style="314" customWidth="1"/>
    <col min="264" max="268" width="0" style="314" hidden="1" customWidth="1"/>
    <col min="269" max="269" width="8.7109375" style="314" customWidth="1"/>
    <col min="270" max="270" width="8.85546875" style="314" customWidth="1"/>
    <col min="271" max="275" width="8.7109375" style="314" customWidth="1"/>
    <col min="276" max="276" width="4" style="314" customWidth="1"/>
    <col min="277" max="277" width="9.140625" style="314"/>
    <col min="278" max="278" width="12.85546875" style="314" customWidth="1"/>
    <col min="279" max="279" width="14.140625" style="314" customWidth="1"/>
    <col min="280" max="280" width="11.140625" style="314" customWidth="1"/>
    <col min="281" max="512" width="9.140625" style="314"/>
    <col min="513" max="513" width="7.140625" style="314" customWidth="1"/>
    <col min="514" max="514" width="8.42578125" style="314" customWidth="1"/>
    <col min="515" max="515" width="9.140625" style="314"/>
    <col min="516" max="516" width="6.7109375" style="314" customWidth="1"/>
    <col min="517" max="517" width="5.140625" style="314" customWidth="1"/>
    <col min="518" max="518" width="2" style="314" customWidth="1"/>
    <col min="519" max="519" width="28.7109375" style="314" customWidth="1"/>
    <col min="520" max="524" width="0" style="314" hidden="1" customWidth="1"/>
    <col min="525" max="525" width="8.7109375" style="314" customWidth="1"/>
    <col min="526" max="526" width="8.85546875" style="314" customWidth="1"/>
    <col min="527" max="531" width="8.7109375" style="314" customWidth="1"/>
    <col min="532" max="532" width="4" style="314" customWidth="1"/>
    <col min="533" max="533" width="9.140625" style="314"/>
    <col min="534" max="534" width="12.85546875" style="314" customWidth="1"/>
    <col min="535" max="535" width="14.140625" style="314" customWidth="1"/>
    <col min="536" max="536" width="11.140625" style="314" customWidth="1"/>
    <col min="537" max="768" width="9.140625" style="314"/>
    <col min="769" max="769" width="7.140625" style="314" customWidth="1"/>
    <col min="770" max="770" width="8.42578125" style="314" customWidth="1"/>
    <col min="771" max="771" width="9.140625" style="314"/>
    <col min="772" max="772" width="6.7109375" style="314" customWidth="1"/>
    <col min="773" max="773" width="5.140625" style="314" customWidth="1"/>
    <col min="774" max="774" width="2" style="314" customWidth="1"/>
    <col min="775" max="775" width="28.7109375" style="314" customWidth="1"/>
    <col min="776" max="780" width="0" style="314" hidden="1" customWidth="1"/>
    <col min="781" max="781" width="8.7109375" style="314" customWidth="1"/>
    <col min="782" max="782" width="8.85546875" style="314" customWidth="1"/>
    <col min="783" max="787" width="8.7109375" style="314" customWidth="1"/>
    <col min="788" max="788" width="4" style="314" customWidth="1"/>
    <col min="789" max="789" width="9.140625" style="314"/>
    <col min="790" max="790" width="12.85546875" style="314" customWidth="1"/>
    <col min="791" max="791" width="14.140625" style="314" customWidth="1"/>
    <col min="792" max="792" width="11.140625" style="314" customWidth="1"/>
    <col min="793" max="1024" width="9.140625" style="314"/>
    <col min="1025" max="1025" width="7.140625" style="314" customWidth="1"/>
    <col min="1026" max="1026" width="8.42578125" style="314" customWidth="1"/>
    <col min="1027" max="1027" width="9.140625" style="314"/>
    <col min="1028" max="1028" width="6.7109375" style="314" customWidth="1"/>
    <col min="1029" max="1029" width="5.140625" style="314" customWidth="1"/>
    <col min="1030" max="1030" width="2" style="314" customWidth="1"/>
    <col min="1031" max="1031" width="28.7109375" style="314" customWidth="1"/>
    <col min="1032" max="1036" width="0" style="314" hidden="1" customWidth="1"/>
    <col min="1037" max="1037" width="8.7109375" style="314" customWidth="1"/>
    <col min="1038" max="1038" width="8.85546875" style="314" customWidth="1"/>
    <col min="1039" max="1043" width="8.7109375" style="314" customWidth="1"/>
    <col min="1044" max="1044" width="4" style="314" customWidth="1"/>
    <col min="1045" max="1045" width="9.140625" style="314"/>
    <col min="1046" max="1046" width="12.85546875" style="314" customWidth="1"/>
    <col min="1047" max="1047" width="14.140625" style="314" customWidth="1"/>
    <col min="1048" max="1048" width="11.140625" style="314" customWidth="1"/>
    <col min="1049" max="1280" width="9.140625" style="314"/>
    <col min="1281" max="1281" width="7.140625" style="314" customWidth="1"/>
    <col min="1282" max="1282" width="8.42578125" style="314" customWidth="1"/>
    <col min="1283" max="1283" width="9.140625" style="314"/>
    <col min="1284" max="1284" width="6.7109375" style="314" customWidth="1"/>
    <col min="1285" max="1285" width="5.140625" style="314" customWidth="1"/>
    <col min="1286" max="1286" width="2" style="314" customWidth="1"/>
    <col min="1287" max="1287" width="28.7109375" style="314" customWidth="1"/>
    <col min="1288" max="1292" width="0" style="314" hidden="1" customWidth="1"/>
    <col min="1293" max="1293" width="8.7109375" style="314" customWidth="1"/>
    <col min="1294" max="1294" width="8.85546875" style="314" customWidth="1"/>
    <col min="1295" max="1299" width="8.7109375" style="314" customWidth="1"/>
    <col min="1300" max="1300" width="4" style="314" customWidth="1"/>
    <col min="1301" max="1301" width="9.140625" style="314"/>
    <col min="1302" max="1302" width="12.85546875" style="314" customWidth="1"/>
    <col min="1303" max="1303" width="14.140625" style="314" customWidth="1"/>
    <col min="1304" max="1304" width="11.140625" style="314" customWidth="1"/>
    <col min="1305" max="1536" width="9.140625" style="314"/>
    <col min="1537" max="1537" width="7.140625" style="314" customWidth="1"/>
    <col min="1538" max="1538" width="8.42578125" style="314" customWidth="1"/>
    <col min="1539" max="1539" width="9.140625" style="314"/>
    <col min="1540" max="1540" width="6.7109375" style="314" customWidth="1"/>
    <col min="1541" max="1541" width="5.140625" style="314" customWidth="1"/>
    <col min="1542" max="1542" width="2" style="314" customWidth="1"/>
    <col min="1543" max="1543" width="28.7109375" style="314" customWidth="1"/>
    <col min="1544" max="1548" width="0" style="314" hidden="1" customWidth="1"/>
    <col min="1549" max="1549" width="8.7109375" style="314" customWidth="1"/>
    <col min="1550" max="1550" width="8.85546875" style="314" customWidth="1"/>
    <col min="1551" max="1555" width="8.7109375" style="314" customWidth="1"/>
    <col min="1556" max="1556" width="4" style="314" customWidth="1"/>
    <col min="1557" max="1557" width="9.140625" style="314"/>
    <col min="1558" max="1558" width="12.85546875" style="314" customWidth="1"/>
    <col min="1559" max="1559" width="14.140625" style="314" customWidth="1"/>
    <col min="1560" max="1560" width="11.140625" style="314" customWidth="1"/>
    <col min="1561" max="1792" width="9.140625" style="314"/>
    <col min="1793" max="1793" width="7.140625" style="314" customWidth="1"/>
    <col min="1794" max="1794" width="8.42578125" style="314" customWidth="1"/>
    <col min="1795" max="1795" width="9.140625" style="314"/>
    <col min="1796" max="1796" width="6.7109375" style="314" customWidth="1"/>
    <col min="1797" max="1797" width="5.140625" style="314" customWidth="1"/>
    <col min="1798" max="1798" width="2" style="314" customWidth="1"/>
    <col min="1799" max="1799" width="28.7109375" style="314" customWidth="1"/>
    <col min="1800" max="1804" width="0" style="314" hidden="1" customWidth="1"/>
    <col min="1805" max="1805" width="8.7109375" style="314" customWidth="1"/>
    <col min="1806" max="1806" width="8.85546875" style="314" customWidth="1"/>
    <col min="1807" max="1811" width="8.7109375" style="314" customWidth="1"/>
    <col min="1812" max="1812" width="4" style="314" customWidth="1"/>
    <col min="1813" max="1813" width="9.140625" style="314"/>
    <col min="1814" max="1814" width="12.85546875" style="314" customWidth="1"/>
    <col min="1815" max="1815" width="14.140625" style="314" customWidth="1"/>
    <col min="1816" max="1816" width="11.140625" style="314" customWidth="1"/>
    <col min="1817" max="2048" width="9.140625" style="314"/>
    <col min="2049" max="2049" width="7.140625" style="314" customWidth="1"/>
    <col min="2050" max="2050" width="8.42578125" style="314" customWidth="1"/>
    <col min="2051" max="2051" width="9.140625" style="314"/>
    <col min="2052" max="2052" width="6.7109375" style="314" customWidth="1"/>
    <col min="2053" max="2053" width="5.140625" style="314" customWidth="1"/>
    <col min="2054" max="2054" width="2" style="314" customWidth="1"/>
    <col min="2055" max="2055" width="28.7109375" style="314" customWidth="1"/>
    <col min="2056" max="2060" width="0" style="314" hidden="1" customWidth="1"/>
    <col min="2061" max="2061" width="8.7109375" style="314" customWidth="1"/>
    <col min="2062" max="2062" width="8.85546875" style="314" customWidth="1"/>
    <col min="2063" max="2067" width="8.7109375" style="314" customWidth="1"/>
    <col min="2068" max="2068" width="4" style="314" customWidth="1"/>
    <col min="2069" max="2069" width="9.140625" style="314"/>
    <col min="2070" max="2070" width="12.85546875" style="314" customWidth="1"/>
    <col min="2071" max="2071" width="14.140625" style="314" customWidth="1"/>
    <col min="2072" max="2072" width="11.140625" style="314" customWidth="1"/>
    <col min="2073" max="2304" width="9.140625" style="314"/>
    <col min="2305" max="2305" width="7.140625" style="314" customWidth="1"/>
    <col min="2306" max="2306" width="8.42578125" style="314" customWidth="1"/>
    <col min="2307" max="2307" width="9.140625" style="314"/>
    <col min="2308" max="2308" width="6.7109375" style="314" customWidth="1"/>
    <col min="2309" max="2309" width="5.140625" style="314" customWidth="1"/>
    <col min="2310" max="2310" width="2" style="314" customWidth="1"/>
    <col min="2311" max="2311" width="28.7109375" style="314" customWidth="1"/>
    <col min="2312" max="2316" width="0" style="314" hidden="1" customWidth="1"/>
    <col min="2317" max="2317" width="8.7109375" style="314" customWidth="1"/>
    <col min="2318" max="2318" width="8.85546875" style="314" customWidth="1"/>
    <col min="2319" max="2323" width="8.7109375" style="314" customWidth="1"/>
    <col min="2324" max="2324" width="4" style="314" customWidth="1"/>
    <col min="2325" max="2325" width="9.140625" style="314"/>
    <col min="2326" max="2326" width="12.85546875" style="314" customWidth="1"/>
    <col min="2327" max="2327" width="14.140625" style="314" customWidth="1"/>
    <col min="2328" max="2328" width="11.140625" style="314" customWidth="1"/>
    <col min="2329" max="2560" width="9.140625" style="314"/>
    <col min="2561" max="2561" width="7.140625" style="314" customWidth="1"/>
    <col min="2562" max="2562" width="8.42578125" style="314" customWidth="1"/>
    <col min="2563" max="2563" width="9.140625" style="314"/>
    <col min="2564" max="2564" width="6.7109375" style="314" customWidth="1"/>
    <col min="2565" max="2565" width="5.140625" style="314" customWidth="1"/>
    <col min="2566" max="2566" width="2" style="314" customWidth="1"/>
    <col min="2567" max="2567" width="28.7109375" style="314" customWidth="1"/>
    <col min="2568" max="2572" width="0" style="314" hidden="1" customWidth="1"/>
    <col min="2573" max="2573" width="8.7109375" style="314" customWidth="1"/>
    <col min="2574" max="2574" width="8.85546875" style="314" customWidth="1"/>
    <col min="2575" max="2579" width="8.7109375" style="314" customWidth="1"/>
    <col min="2580" max="2580" width="4" style="314" customWidth="1"/>
    <col min="2581" max="2581" width="9.140625" style="314"/>
    <col min="2582" max="2582" width="12.85546875" style="314" customWidth="1"/>
    <col min="2583" max="2583" width="14.140625" style="314" customWidth="1"/>
    <col min="2584" max="2584" width="11.140625" style="314" customWidth="1"/>
    <col min="2585" max="2816" width="9.140625" style="314"/>
    <col min="2817" max="2817" width="7.140625" style="314" customWidth="1"/>
    <col min="2818" max="2818" width="8.42578125" style="314" customWidth="1"/>
    <col min="2819" max="2819" width="9.140625" style="314"/>
    <col min="2820" max="2820" width="6.7109375" style="314" customWidth="1"/>
    <col min="2821" max="2821" width="5.140625" style="314" customWidth="1"/>
    <col min="2822" max="2822" width="2" style="314" customWidth="1"/>
    <col min="2823" max="2823" width="28.7109375" style="314" customWidth="1"/>
    <col min="2824" max="2828" width="0" style="314" hidden="1" customWidth="1"/>
    <col min="2829" max="2829" width="8.7109375" style="314" customWidth="1"/>
    <col min="2830" max="2830" width="8.85546875" style="314" customWidth="1"/>
    <col min="2831" max="2835" width="8.7109375" style="314" customWidth="1"/>
    <col min="2836" max="2836" width="4" style="314" customWidth="1"/>
    <col min="2837" max="2837" width="9.140625" style="314"/>
    <col min="2838" max="2838" width="12.85546875" style="314" customWidth="1"/>
    <col min="2839" max="2839" width="14.140625" style="314" customWidth="1"/>
    <col min="2840" max="2840" width="11.140625" style="314" customWidth="1"/>
    <col min="2841" max="3072" width="9.140625" style="314"/>
    <col min="3073" max="3073" width="7.140625" style="314" customWidth="1"/>
    <col min="3074" max="3074" width="8.42578125" style="314" customWidth="1"/>
    <col min="3075" max="3075" width="9.140625" style="314"/>
    <col min="3076" max="3076" width="6.7109375" style="314" customWidth="1"/>
    <col min="3077" max="3077" width="5.140625" style="314" customWidth="1"/>
    <col min="3078" max="3078" width="2" style="314" customWidth="1"/>
    <col min="3079" max="3079" width="28.7109375" style="314" customWidth="1"/>
    <col min="3080" max="3084" width="0" style="314" hidden="1" customWidth="1"/>
    <col min="3085" max="3085" width="8.7109375" style="314" customWidth="1"/>
    <col min="3086" max="3086" width="8.85546875" style="314" customWidth="1"/>
    <col min="3087" max="3091" width="8.7109375" style="314" customWidth="1"/>
    <col min="3092" max="3092" width="4" style="314" customWidth="1"/>
    <col min="3093" max="3093" width="9.140625" style="314"/>
    <col min="3094" max="3094" width="12.85546875" style="314" customWidth="1"/>
    <col min="3095" max="3095" width="14.140625" style="314" customWidth="1"/>
    <col min="3096" max="3096" width="11.140625" style="314" customWidth="1"/>
    <col min="3097" max="3328" width="9.140625" style="314"/>
    <col min="3329" max="3329" width="7.140625" style="314" customWidth="1"/>
    <col min="3330" max="3330" width="8.42578125" style="314" customWidth="1"/>
    <col min="3331" max="3331" width="9.140625" style="314"/>
    <col min="3332" max="3332" width="6.7109375" style="314" customWidth="1"/>
    <col min="3333" max="3333" width="5.140625" style="314" customWidth="1"/>
    <col min="3334" max="3334" width="2" style="314" customWidth="1"/>
    <col min="3335" max="3335" width="28.7109375" style="314" customWidth="1"/>
    <col min="3336" max="3340" width="0" style="314" hidden="1" customWidth="1"/>
    <col min="3341" max="3341" width="8.7109375" style="314" customWidth="1"/>
    <col min="3342" max="3342" width="8.85546875" style="314" customWidth="1"/>
    <col min="3343" max="3347" width="8.7109375" style="314" customWidth="1"/>
    <col min="3348" max="3348" width="4" style="314" customWidth="1"/>
    <col min="3349" max="3349" width="9.140625" style="314"/>
    <col min="3350" max="3350" width="12.85546875" style="314" customWidth="1"/>
    <col min="3351" max="3351" width="14.140625" style="314" customWidth="1"/>
    <col min="3352" max="3352" width="11.140625" style="314" customWidth="1"/>
    <col min="3353" max="3584" width="9.140625" style="314"/>
    <col min="3585" max="3585" width="7.140625" style="314" customWidth="1"/>
    <col min="3586" max="3586" width="8.42578125" style="314" customWidth="1"/>
    <col min="3587" max="3587" width="9.140625" style="314"/>
    <col min="3588" max="3588" width="6.7109375" style="314" customWidth="1"/>
    <col min="3589" max="3589" width="5.140625" style="314" customWidth="1"/>
    <col min="3590" max="3590" width="2" style="314" customWidth="1"/>
    <col min="3591" max="3591" width="28.7109375" style="314" customWidth="1"/>
    <col min="3592" max="3596" width="0" style="314" hidden="1" customWidth="1"/>
    <col min="3597" max="3597" width="8.7109375" style="314" customWidth="1"/>
    <col min="3598" max="3598" width="8.85546875" style="314" customWidth="1"/>
    <col min="3599" max="3603" width="8.7109375" style="314" customWidth="1"/>
    <col min="3604" max="3604" width="4" style="314" customWidth="1"/>
    <col min="3605" max="3605" width="9.140625" style="314"/>
    <col min="3606" max="3606" width="12.85546875" style="314" customWidth="1"/>
    <col min="3607" max="3607" width="14.140625" style="314" customWidth="1"/>
    <col min="3608" max="3608" width="11.140625" style="314" customWidth="1"/>
    <col min="3609" max="3840" width="9.140625" style="314"/>
    <col min="3841" max="3841" width="7.140625" style="314" customWidth="1"/>
    <col min="3842" max="3842" width="8.42578125" style="314" customWidth="1"/>
    <col min="3843" max="3843" width="9.140625" style="314"/>
    <col min="3844" max="3844" width="6.7109375" style="314" customWidth="1"/>
    <col min="3845" max="3845" width="5.140625" style="314" customWidth="1"/>
    <col min="3846" max="3846" width="2" style="314" customWidth="1"/>
    <col min="3847" max="3847" width="28.7109375" style="314" customWidth="1"/>
    <col min="3848" max="3852" width="0" style="314" hidden="1" customWidth="1"/>
    <col min="3853" max="3853" width="8.7109375" style="314" customWidth="1"/>
    <col min="3854" max="3854" width="8.85546875" style="314" customWidth="1"/>
    <col min="3855" max="3859" width="8.7109375" style="314" customWidth="1"/>
    <col min="3860" max="3860" width="4" style="314" customWidth="1"/>
    <col min="3861" max="3861" width="9.140625" style="314"/>
    <col min="3862" max="3862" width="12.85546875" style="314" customWidth="1"/>
    <col min="3863" max="3863" width="14.140625" style="314" customWidth="1"/>
    <col min="3864" max="3864" width="11.140625" style="314" customWidth="1"/>
    <col min="3865" max="4096" width="9.140625" style="314"/>
    <col min="4097" max="4097" width="7.140625" style="314" customWidth="1"/>
    <col min="4098" max="4098" width="8.42578125" style="314" customWidth="1"/>
    <col min="4099" max="4099" width="9.140625" style="314"/>
    <col min="4100" max="4100" width="6.7109375" style="314" customWidth="1"/>
    <col min="4101" max="4101" width="5.140625" style="314" customWidth="1"/>
    <col min="4102" max="4102" width="2" style="314" customWidth="1"/>
    <col min="4103" max="4103" width="28.7109375" style="314" customWidth="1"/>
    <col min="4104" max="4108" width="0" style="314" hidden="1" customWidth="1"/>
    <col min="4109" max="4109" width="8.7109375" style="314" customWidth="1"/>
    <col min="4110" max="4110" width="8.85546875" style="314" customWidth="1"/>
    <col min="4111" max="4115" width="8.7109375" style="314" customWidth="1"/>
    <col min="4116" max="4116" width="4" style="314" customWidth="1"/>
    <col min="4117" max="4117" width="9.140625" style="314"/>
    <col min="4118" max="4118" width="12.85546875" style="314" customWidth="1"/>
    <col min="4119" max="4119" width="14.140625" style="314" customWidth="1"/>
    <col min="4120" max="4120" width="11.140625" style="314" customWidth="1"/>
    <col min="4121" max="4352" width="9.140625" style="314"/>
    <col min="4353" max="4353" width="7.140625" style="314" customWidth="1"/>
    <col min="4354" max="4354" width="8.42578125" style="314" customWidth="1"/>
    <col min="4355" max="4355" width="9.140625" style="314"/>
    <col min="4356" max="4356" width="6.7109375" style="314" customWidth="1"/>
    <col min="4357" max="4357" width="5.140625" style="314" customWidth="1"/>
    <col min="4358" max="4358" width="2" style="314" customWidth="1"/>
    <col min="4359" max="4359" width="28.7109375" style="314" customWidth="1"/>
    <col min="4360" max="4364" width="0" style="314" hidden="1" customWidth="1"/>
    <col min="4365" max="4365" width="8.7109375" style="314" customWidth="1"/>
    <col min="4366" max="4366" width="8.85546875" style="314" customWidth="1"/>
    <col min="4367" max="4371" width="8.7109375" style="314" customWidth="1"/>
    <col min="4372" max="4372" width="4" style="314" customWidth="1"/>
    <col min="4373" max="4373" width="9.140625" style="314"/>
    <col min="4374" max="4374" width="12.85546875" style="314" customWidth="1"/>
    <col min="4375" max="4375" width="14.140625" style="314" customWidth="1"/>
    <col min="4376" max="4376" width="11.140625" style="314" customWidth="1"/>
    <col min="4377" max="4608" width="9.140625" style="314"/>
    <col min="4609" max="4609" width="7.140625" style="314" customWidth="1"/>
    <col min="4610" max="4610" width="8.42578125" style="314" customWidth="1"/>
    <col min="4611" max="4611" width="9.140625" style="314"/>
    <col min="4612" max="4612" width="6.7109375" style="314" customWidth="1"/>
    <col min="4613" max="4613" width="5.140625" style="314" customWidth="1"/>
    <col min="4614" max="4614" width="2" style="314" customWidth="1"/>
    <col min="4615" max="4615" width="28.7109375" style="314" customWidth="1"/>
    <col min="4616" max="4620" width="0" style="314" hidden="1" customWidth="1"/>
    <col min="4621" max="4621" width="8.7109375" style="314" customWidth="1"/>
    <col min="4622" max="4622" width="8.85546875" style="314" customWidth="1"/>
    <col min="4623" max="4627" width="8.7109375" style="314" customWidth="1"/>
    <col min="4628" max="4628" width="4" style="314" customWidth="1"/>
    <col min="4629" max="4629" width="9.140625" style="314"/>
    <col min="4630" max="4630" width="12.85546875" style="314" customWidth="1"/>
    <col min="4631" max="4631" width="14.140625" style="314" customWidth="1"/>
    <col min="4632" max="4632" width="11.140625" style="314" customWidth="1"/>
    <col min="4633" max="4864" width="9.140625" style="314"/>
    <col min="4865" max="4865" width="7.140625" style="314" customWidth="1"/>
    <col min="4866" max="4866" width="8.42578125" style="314" customWidth="1"/>
    <col min="4867" max="4867" width="9.140625" style="314"/>
    <col min="4868" max="4868" width="6.7109375" style="314" customWidth="1"/>
    <col min="4869" max="4869" width="5.140625" style="314" customWidth="1"/>
    <col min="4870" max="4870" width="2" style="314" customWidth="1"/>
    <col min="4871" max="4871" width="28.7109375" style="314" customWidth="1"/>
    <col min="4872" max="4876" width="0" style="314" hidden="1" customWidth="1"/>
    <col min="4877" max="4877" width="8.7109375" style="314" customWidth="1"/>
    <col min="4878" max="4878" width="8.85546875" style="314" customWidth="1"/>
    <col min="4879" max="4883" width="8.7109375" style="314" customWidth="1"/>
    <col min="4884" max="4884" width="4" style="314" customWidth="1"/>
    <col min="4885" max="4885" width="9.140625" style="314"/>
    <col min="4886" max="4886" width="12.85546875" style="314" customWidth="1"/>
    <col min="4887" max="4887" width="14.140625" style="314" customWidth="1"/>
    <col min="4888" max="4888" width="11.140625" style="314" customWidth="1"/>
    <col min="4889" max="5120" width="9.140625" style="314"/>
    <col min="5121" max="5121" width="7.140625" style="314" customWidth="1"/>
    <col min="5122" max="5122" width="8.42578125" style="314" customWidth="1"/>
    <col min="5123" max="5123" width="9.140625" style="314"/>
    <col min="5124" max="5124" width="6.7109375" style="314" customWidth="1"/>
    <col min="5125" max="5125" width="5.140625" style="314" customWidth="1"/>
    <col min="5126" max="5126" width="2" style="314" customWidth="1"/>
    <col min="5127" max="5127" width="28.7109375" style="314" customWidth="1"/>
    <col min="5128" max="5132" width="0" style="314" hidden="1" customWidth="1"/>
    <col min="5133" max="5133" width="8.7109375" style="314" customWidth="1"/>
    <col min="5134" max="5134" width="8.85546875" style="314" customWidth="1"/>
    <col min="5135" max="5139" width="8.7109375" style="314" customWidth="1"/>
    <col min="5140" max="5140" width="4" style="314" customWidth="1"/>
    <col min="5141" max="5141" width="9.140625" style="314"/>
    <col min="5142" max="5142" width="12.85546875" style="314" customWidth="1"/>
    <col min="5143" max="5143" width="14.140625" style="314" customWidth="1"/>
    <col min="5144" max="5144" width="11.140625" style="314" customWidth="1"/>
    <col min="5145" max="5376" width="9.140625" style="314"/>
    <col min="5377" max="5377" width="7.140625" style="314" customWidth="1"/>
    <col min="5378" max="5378" width="8.42578125" style="314" customWidth="1"/>
    <col min="5379" max="5379" width="9.140625" style="314"/>
    <col min="5380" max="5380" width="6.7109375" style="314" customWidth="1"/>
    <col min="5381" max="5381" width="5.140625" style="314" customWidth="1"/>
    <col min="5382" max="5382" width="2" style="314" customWidth="1"/>
    <col min="5383" max="5383" width="28.7109375" style="314" customWidth="1"/>
    <col min="5384" max="5388" width="0" style="314" hidden="1" customWidth="1"/>
    <col min="5389" max="5389" width="8.7109375" style="314" customWidth="1"/>
    <col min="5390" max="5390" width="8.85546875" style="314" customWidth="1"/>
    <col min="5391" max="5395" width="8.7109375" style="314" customWidth="1"/>
    <col min="5396" max="5396" width="4" style="314" customWidth="1"/>
    <col min="5397" max="5397" width="9.140625" style="314"/>
    <col min="5398" max="5398" width="12.85546875" style="314" customWidth="1"/>
    <col min="5399" max="5399" width="14.140625" style="314" customWidth="1"/>
    <col min="5400" max="5400" width="11.140625" style="314" customWidth="1"/>
    <col min="5401" max="5632" width="9.140625" style="314"/>
    <col min="5633" max="5633" width="7.140625" style="314" customWidth="1"/>
    <col min="5634" max="5634" width="8.42578125" style="314" customWidth="1"/>
    <col min="5635" max="5635" width="9.140625" style="314"/>
    <col min="5636" max="5636" width="6.7109375" style="314" customWidth="1"/>
    <col min="5637" max="5637" width="5.140625" style="314" customWidth="1"/>
    <col min="5638" max="5638" width="2" style="314" customWidth="1"/>
    <col min="5639" max="5639" width="28.7109375" style="314" customWidth="1"/>
    <col min="5640" max="5644" width="0" style="314" hidden="1" customWidth="1"/>
    <col min="5645" max="5645" width="8.7109375" style="314" customWidth="1"/>
    <col min="5646" max="5646" width="8.85546875" style="314" customWidth="1"/>
    <col min="5647" max="5651" width="8.7109375" style="314" customWidth="1"/>
    <col min="5652" max="5652" width="4" style="314" customWidth="1"/>
    <col min="5653" max="5653" width="9.140625" style="314"/>
    <col min="5654" max="5654" width="12.85546875" style="314" customWidth="1"/>
    <col min="5655" max="5655" width="14.140625" style="314" customWidth="1"/>
    <col min="5656" max="5656" width="11.140625" style="314" customWidth="1"/>
    <col min="5657" max="5888" width="9.140625" style="314"/>
    <col min="5889" max="5889" width="7.140625" style="314" customWidth="1"/>
    <col min="5890" max="5890" width="8.42578125" style="314" customWidth="1"/>
    <col min="5891" max="5891" width="9.140625" style="314"/>
    <col min="5892" max="5892" width="6.7109375" style="314" customWidth="1"/>
    <col min="5893" max="5893" width="5.140625" style="314" customWidth="1"/>
    <col min="5894" max="5894" width="2" style="314" customWidth="1"/>
    <col min="5895" max="5895" width="28.7109375" style="314" customWidth="1"/>
    <col min="5896" max="5900" width="0" style="314" hidden="1" customWidth="1"/>
    <col min="5901" max="5901" width="8.7109375" style="314" customWidth="1"/>
    <col min="5902" max="5902" width="8.85546875" style="314" customWidth="1"/>
    <col min="5903" max="5907" width="8.7109375" style="314" customWidth="1"/>
    <col min="5908" max="5908" width="4" style="314" customWidth="1"/>
    <col min="5909" max="5909" width="9.140625" style="314"/>
    <col min="5910" max="5910" width="12.85546875" style="314" customWidth="1"/>
    <col min="5911" max="5911" width="14.140625" style="314" customWidth="1"/>
    <col min="5912" max="5912" width="11.140625" style="314" customWidth="1"/>
    <col min="5913" max="6144" width="9.140625" style="314"/>
    <col min="6145" max="6145" width="7.140625" style="314" customWidth="1"/>
    <col min="6146" max="6146" width="8.42578125" style="314" customWidth="1"/>
    <col min="6147" max="6147" width="9.140625" style="314"/>
    <col min="6148" max="6148" width="6.7109375" style="314" customWidth="1"/>
    <col min="6149" max="6149" width="5.140625" style="314" customWidth="1"/>
    <col min="6150" max="6150" width="2" style="314" customWidth="1"/>
    <col min="6151" max="6151" width="28.7109375" style="314" customWidth="1"/>
    <col min="6152" max="6156" width="0" style="314" hidden="1" customWidth="1"/>
    <col min="6157" max="6157" width="8.7109375" style="314" customWidth="1"/>
    <col min="6158" max="6158" width="8.85546875" style="314" customWidth="1"/>
    <col min="6159" max="6163" width="8.7109375" style="314" customWidth="1"/>
    <col min="6164" max="6164" width="4" style="314" customWidth="1"/>
    <col min="6165" max="6165" width="9.140625" style="314"/>
    <col min="6166" max="6166" width="12.85546875" style="314" customWidth="1"/>
    <col min="6167" max="6167" width="14.140625" style="314" customWidth="1"/>
    <col min="6168" max="6168" width="11.140625" style="314" customWidth="1"/>
    <col min="6169" max="6400" width="9.140625" style="314"/>
    <col min="6401" max="6401" width="7.140625" style="314" customWidth="1"/>
    <col min="6402" max="6402" width="8.42578125" style="314" customWidth="1"/>
    <col min="6403" max="6403" width="9.140625" style="314"/>
    <col min="6404" max="6404" width="6.7109375" style="314" customWidth="1"/>
    <col min="6405" max="6405" width="5.140625" style="314" customWidth="1"/>
    <col min="6406" max="6406" width="2" style="314" customWidth="1"/>
    <col min="6407" max="6407" width="28.7109375" style="314" customWidth="1"/>
    <col min="6408" max="6412" width="0" style="314" hidden="1" customWidth="1"/>
    <col min="6413" max="6413" width="8.7109375" style="314" customWidth="1"/>
    <col min="6414" max="6414" width="8.85546875" style="314" customWidth="1"/>
    <col min="6415" max="6419" width="8.7109375" style="314" customWidth="1"/>
    <col min="6420" max="6420" width="4" style="314" customWidth="1"/>
    <col min="6421" max="6421" width="9.140625" style="314"/>
    <col min="6422" max="6422" width="12.85546875" style="314" customWidth="1"/>
    <col min="6423" max="6423" width="14.140625" style="314" customWidth="1"/>
    <col min="6424" max="6424" width="11.140625" style="314" customWidth="1"/>
    <col min="6425" max="6656" width="9.140625" style="314"/>
    <col min="6657" max="6657" width="7.140625" style="314" customWidth="1"/>
    <col min="6658" max="6658" width="8.42578125" style="314" customWidth="1"/>
    <col min="6659" max="6659" width="9.140625" style="314"/>
    <col min="6660" max="6660" width="6.7109375" style="314" customWidth="1"/>
    <col min="6661" max="6661" width="5.140625" style="314" customWidth="1"/>
    <col min="6662" max="6662" width="2" style="314" customWidth="1"/>
    <col min="6663" max="6663" width="28.7109375" style="314" customWidth="1"/>
    <col min="6664" max="6668" width="0" style="314" hidden="1" customWidth="1"/>
    <col min="6669" max="6669" width="8.7109375" style="314" customWidth="1"/>
    <col min="6670" max="6670" width="8.85546875" style="314" customWidth="1"/>
    <col min="6671" max="6675" width="8.7109375" style="314" customWidth="1"/>
    <col min="6676" max="6676" width="4" style="314" customWidth="1"/>
    <col min="6677" max="6677" width="9.140625" style="314"/>
    <col min="6678" max="6678" width="12.85546875" style="314" customWidth="1"/>
    <col min="6679" max="6679" width="14.140625" style="314" customWidth="1"/>
    <col min="6680" max="6680" width="11.140625" style="314" customWidth="1"/>
    <col min="6681" max="6912" width="9.140625" style="314"/>
    <col min="6913" max="6913" width="7.140625" style="314" customWidth="1"/>
    <col min="6914" max="6914" width="8.42578125" style="314" customWidth="1"/>
    <col min="6915" max="6915" width="9.140625" style="314"/>
    <col min="6916" max="6916" width="6.7109375" style="314" customWidth="1"/>
    <col min="6917" max="6917" width="5.140625" style="314" customWidth="1"/>
    <col min="6918" max="6918" width="2" style="314" customWidth="1"/>
    <col min="6919" max="6919" width="28.7109375" style="314" customWidth="1"/>
    <col min="6920" max="6924" width="0" style="314" hidden="1" customWidth="1"/>
    <col min="6925" max="6925" width="8.7109375" style="314" customWidth="1"/>
    <col min="6926" max="6926" width="8.85546875" style="314" customWidth="1"/>
    <col min="6927" max="6931" width="8.7109375" style="314" customWidth="1"/>
    <col min="6932" max="6932" width="4" style="314" customWidth="1"/>
    <col min="6933" max="6933" width="9.140625" style="314"/>
    <col min="6934" max="6934" width="12.85546875" style="314" customWidth="1"/>
    <col min="6935" max="6935" width="14.140625" style="314" customWidth="1"/>
    <col min="6936" max="6936" width="11.140625" style="314" customWidth="1"/>
    <col min="6937" max="7168" width="9.140625" style="314"/>
    <col min="7169" max="7169" width="7.140625" style="314" customWidth="1"/>
    <col min="7170" max="7170" width="8.42578125" style="314" customWidth="1"/>
    <col min="7171" max="7171" width="9.140625" style="314"/>
    <col min="7172" max="7172" width="6.7109375" style="314" customWidth="1"/>
    <col min="7173" max="7173" width="5.140625" style="314" customWidth="1"/>
    <col min="7174" max="7174" width="2" style="314" customWidth="1"/>
    <col min="7175" max="7175" width="28.7109375" style="314" customWidth="1"/>
    <col min="7176" max="7180" width="0" style="314" hidden="1" customWidth="1"/>
    <col min="7181" max="7181" width="8.7109375" style="314" customWidth="1"/>
    <col min="7182" max="7182" width="8.85546875" style="314" customWidth="1"/>
    <col min="7183" max="7187" width="8.7109375" style="314" customWidth="1"/>
    <col min="7188" max="7188" width="4" style="314" customWidth="1"/>
    <col min="7189" max="7189" width="9.140625" style="314"/>
    <col min="7190" max="7190" width="12.85546875" style="314" customWidth="1"/>
    <col min="7191" max="7191" width="14.140625" style="314" customWidth="1"/>
    <col min="7192" max="7192" width="11.140625" style="314" customWidth="1"/>
    <col min="7193" max="7424" width="9.140625" style="314"/>
    <col min="7425" max="7425" width="7.140625" style="314" customWidth="1"/>
    <col min="7426" max="7426" width="8.42578125" style="314" customWidth="1"/>
    <col min="7427" max="7427" width="9.140625" style="314"/>
    <col min="7428" max="7428" width="6.7109375" style="314" customWidth="1"/>
    <col min="7429" max="7429" width="5.140625" style="314" customWidth="1"/>
    <col min="7430" max="7430" width="2" style="314" customWidth="1"/>
    <col min="7431" max="7431" width="28.7109375" style="314" customWidth="1"/>
    <col min="7432" max="7436" width="0" style="314" hidden="1" customWidth="1"/>
    <col min="7437" max="7437" width="8.7109375" style="314" customWidth="1"/>
    <col min="7438" max="7438" width="8.85546875" style="314" customWidth="1"/>
    <col min="7439" max="7443" width="8.7109375" style="314" customWidth="1"/>
    <col min="7444" max="7444" width="4" style="314" customWidth="1"/>
    <col min="7445" max="7445" width="9.140625" style="314"/>
    <col min="7446" max="7446" width="12.85546875" style="314" customWidth="1"/>
    <col min="7447" max="7447" width="14.140625" style="314" customWidth="1"/>
    <col min="7448" max="7448" width="11.140625" style="314" customWidth="1"/>
    <col min="7449" max="7680" width="9.140625" style="314"/>
    <col min="7681" max="7681" width="7.140625" style="314" customWidth="1"/>
    <col min="7682" max="7682" width="8.42578125" style="314" customWidth="1"/>
    <col min="7683" max="7683" width="9.140625" style="314"/>
    <col min="7684" max="7684" width="6.7109375" style="314" customWidth="1"/>
    <col min="7685" max="7685" width="5.140625" style="314" customWidth="1"/>
    <col min="7686" max="7686" width="2" style="314" customWidth="1"/>
    <col min="7687" max="7687" width="28.7109375" style="314" customWidth="1"/>
    <col min="7688" max="7692" width="0" style="314" hidden="1" customWidth="1"/>
    <col min="7693" max="7693" width="8.7109375" style="314" customWidth="1"/>
    <col min="7694" max="7694" width="8.85546875" style="314" customWidth="1"/>
    <col min="7695" max="7699" width="8.7109375" style="314" customWidth="1"/>
    <col min="7700" max="7700" width="4" style="314" customWidth="1"/>
    <col min="7701" max="7701" width="9.140625" style="314"/>
    <col min="7702" max="7702" width="12.85546875" style="314" customWidth="1"/>
    <col min="7703" max="7703" width="14.140625" style="314" customWidth="1"/>
    <col min="7704" max="7704" width="11.140625" style="314" customWidth="1"/>
    <col min="7705" max="7936" width="9.140625" style="314"/>
    <col min="7937" max="7937" width="7.140625" style="314" customWidth="1"/>
    <col min="7938" max="7938" width="8.42578125" style="314" customWidth="1"/>
    <col min="7939" max="7939" width="9.140625" style="314"/>
    <col min="7940" max="7940" width="6.7109375" style="314" customWidth="1"/>
    <col min="7941" max="7941" width="5.140625" style="314" customWidth="1"/>
    <col min="7942" max="7942" width="2" style="314" customWidth="1"/>
    <col min="7943" max="7943" width="28.7109375" style="314" customWidth="1"/>
    <col min="7944" max="7948" width="0" style="314" hidden="1" customWidth="1"/>
    <col min="7949" max="7949" width="8.7109375" style="314" customWidth="1"/>
    <col min="7950" max="7950" width="8.85546875" style="314" customWidth="1"/>
    <col min="7951" max="7955" width="8.7109375" style="314" customWidth="1"/>
    <col min="7956" max="7956" width="4" style="314" customWidth="1"/>
    <col min="7957" max="7957" width="9.140625" style="314"/>
    <col min="7958" max="7958" width="12.85546875" style="314" customWidth="1"/>
    <col min="7959" max="7959" width="14.140625" style="314" customWidth="1"/>
    <col min="7960" max="7960" width="11.140625" style="314" customWidth="1"/>
    <col min="7961" max="8192" width="9.140625" style="314"/>
    <col min="8193" max="8193" width="7.140625" style="314" customWidth="1"/>
    <col min="8194" max="8194" width="8.42578125" style="314" customWidth="1"/>
    <col min="8195" max="8195" width="9.140625" style="314"/>
    <col min="8196" max="8196" width="6.7109375" style="314" customWidth="1"/>
    <col min="8197" max="8197" width="5.140625" style="314" customWidth="1"/>
    <col min="8198" max="8198" width="2" style="314" customWidth="1"/>
    <col min="8199" max="8199" width="28.7109375" style="314" customWidth="1"/>
    <col min="8200" max="8204" width="0" style="314" hidden="1" customWidth="1"/>
    <col min="8205" max="8205" width="8.7109375" style="314" customWidth="1"/>
    <col min="8206" max="8206" width="8.85546875" style="314" customWidth="1"/>
    <col min="8207" max="8211" width="8.7109375" style="314" customWidth="1"/>
    <col min="8212" max="8212" width="4" style="314" customWidth="1"/>
    <col min="8213" max="8213" width="9.140625" style="314"/>
    <col min="8214" max="8214" width="12.85546875" style="314" customWidth="1"/>
    <col min="8215" max="8215" width="14.140625" style="314" customWidth="1"/>
    <col min="8216" max="8216" width="11.140625" style="314" customWidth="1"/>
    <col min="8217" max="8448" width="9.140625" style="314"/>
    <col min="8449" max="8449" width="7.140625" style="314" customWidth="1"/>
    <col min="8450" max="8450" width="8.42578125" style="314" customWidth="1"/>
    <col min="8451" max="8451" width="9.140625" style="314"/>
    <col min="8452" max="8452" width="6.7109375" style="314" customWidth="1"/>
    <col min="8453" max="8453" width="5.140625" style="314" customWidth="1"/>
    <col min="8454" max="8454" width="2" style="314" customWidth="1"/>
    <col min="8455" max="8455" width="28.7109375" style="314" customWidth="1"/>
    <col min="8456" max="8460" width="0" style="314" hidden="1" customWidth="1"/>
    <col min="8461" max="8461" width="8.7109375" style="314" customWidth="1"/>
    <col min="8462" max="8462" width="8.85546875" style="314" customWidth="1"/>
    <col min="8463" max="8467" width="8.7109375" style="314" customWidth="1"/>
    <col min="8468" max="8468" width="4" style="314" customWidth="1"/>
    <col min="8469" max="8469" width="9.140625" style="314"/>
    <col min="8470" max="8470" width="12.85546875" style="314" customWidth="1"/>
    <col min="8471" max="8471" width="14.140625" style="314" customWidth="1"/>
    <col min="8472" max="8472" width="11.140625" style="314" customWidth="1"/>
    <col min="8473" max="8704" width="9.140625" style="314"/>
    <col min="8705" max="8705" width="7.140625" style="314" customWidth="1"/>
    <col min="8706" max="8706" width="8.42578125" style="314" customWidth="1"/>
    <col min="8707" max="8707" width="9.140625" style="314"/>
    <col min="8708" max="8708" width="6.7109375" style="314" customWidth="1"/>
    <col min="8709" max="8709" width="5.140625" style="314" customWidth="1"/>
    <col min="8710" max="8710" width="2" style="314" customWidth="1"/>
    <col min="8711" max="8711" width="28.7109375" style="314" customWidth="1"/>
    <col min="8712" max="8716" width="0" style="314" hidden="1" customWidth="1"/>
    <col min="8717" max="8717" width="8.7109375" style="314" customWidth="1"/>
    <col min="8718" max="8718" width="8.85546875" style="314" customWidth="1"/>
    <col min="8719" max="8723" width="8.7109375" style="314" customWidth="1"/>
    <col min="8724" max="8724" width="4" style="314" customWidth="1"/>
    <col min="8725" max="8725" width="9.140625" style="314"/>
    <col min="8726" max="8726" width="12.85546875" style="314" customWidth="1"/>
    <col min="8727" max="8727" width="14.140625" style="314" customWidth="1"/>
    <col min="8728" max="8728" width="11.140625" style="314" customWidth="1"/>
    <col min="8729" max="8960" width="9.140625" style="314"/>
    <col min="8961" max="8961" width="7.140625" style="314" customWidth="1"/>
    <col min="8962" max="8962" width="8.42578125" style="314" customWidth="1"/>
    <col min="8963" max="8963" width="9.140625" style="314"/>
    <col min="8964" max="8964" width="6.7109375" style="314" customWidth="1"/>
    <col min="8965" max="8965" width="5.140625" style="314" customWidth="1"/>
    <col min="8966" max="8966" width="2" style="314" customWidth="1"/>
    <col min="8967" max="8967" width="28.7109375" style="314" customWidth="1"/>
    <col min="8968" max="8972" width="0" style="314" hidden="1" customWidth="1"/>
    <col min="8973" max="8973" width="8.7109375" style="314" customWidth="1"/>
    <col min="8974" max="8974" width="8.85546875" style="314" customWidth="1"/>
    <col min="8975" max="8979" width="8.7109375" style="314" customWidth="1"/>
    <col min="8980" max="8980" width="4" style="314" customWidth="1"/>
    <col min="8981" max="8981" width="9.140625" style="314"/>
    <col min="8982" max="8982" width="12.85546875" style="314" customWidth="1"/>
    <col min="8983" max="8983" width="14.140625" style="314" customWidth="1"/>
    <col min="8984" max="8984" width="11.140625" style="314" customWidth="1"/>
    <col min="8985" max="9216" width="9.140625" style="314"/>
    <col min="9217" max="9217" width="7.140625" style="314" customWidth="1"/>
    <col min="9218" max="9218" width="8.42578125" style="314" customWidth="1"/>
    <col min="9219" max="9219" width="9.140625" style="314"/>
    <col min="9220" max="9220" width="6.7109375" style="314" customWidth="1"/>
    <col min="9221" max="9221" width="5.140625" style="314" customWidth="1"/>
    <col min="9222" max="9222" width="2" style="314" customWidth="1"/>
    <col min="9223" max="9223" width="28.7109375" style="314" customWidth="1"/>
    <col min="9224" max="9228" width="0" style="314" hidden="1" customWidth="1"/>
    <col min="9229" max="9229" width="8.7109375" style="314" customWidth="1"/>
    <col min="9230" max="9230" width="8.85546875" style="314" customWidth="1"/>
    <col min="9231" max="9235" width="8.7109375" style="314" customWidth="1"/>
    <col min="9236" max="9236" width="4" style="314" customWidth="1"/>
    <col min="9237" max="9237" width="9.140625" style="314"/>
    <col min="9238" max="9238" width="12.85546875" style="314" customWidth="1"/>
    <col min="9239" max="9239" width="14.140625" style="314" customWidth="1"/>
    <col min="9240" max="9240" width="11.140625" style="314" customWidth="1"/>
    <col min="9241" max="9472" width="9.140625" style="314"/>
    <col min="9473" max="9473" width="7.140625" style="314" customWidth="1"/>
    <col min="9474" max="9474" width="8.42578125" style="314" customWidth="1"/>
    <col min="9475" max="9475" width="9.140625" style="314"/>
    <col min="9476" max="9476" width="6.7109375" style="314" customWidth="1"/>
    <col min="9477" max="9477" width="5.140625" style="314" customWidth="1"/>
    <col min="9478" max="9478" width="2" style="314" customWidth="1"/>
    <col min="9479" max="9479" width="28.7109375" style="314" customWidth="1"/>
    <col min="9480" max="9484" width="0" style="314" hidden="1" customWidth="1"/>
    <col min="9485" max="9485" width="8.7109375" style="314" customWidth="1"/>
    <col min="9486" max="9486" width="8.85546875" style="314" customWidth="1"/>
    <col min="9487" max="9491" width="8.7109375" style="314" customWidth="1"/>
    <col min="9492" max="9492" width="4" style="314" customWidth="1"/>
    <col min="9493" max="9493" width="9.140625" style="314"/>
    <col min="9494" max="9494" width="12.85546875" style="314" customWidth="1"/>
    <col min="9495" max="9495" width="14.140625" style="314" customWidth="1"/>
    <col min="9496" max="9496" width="11.140625" style="314" customWidth="1"/>
    <col min="9497" max="9728" width="9.140625" style="314"/>
    <col min="9729" max="9729" width="7.140625" style="314" customWidth="1"/>
    <col min="9730" max="9730" width="8.42578125" style="314" customWidth="1"/>
    <col min="9731" max="9731" width="9.140625" style="314"/>
    <col min="9732" max="9732" width="6.7109375" style="314" customWidth="1"/>
    <col min="9733" max="9733" width="5.140625" style="314" customWidth="1"/>
    <col min="9734" max="9734" width="2" style="314" customWidth="1"/>
    <col min="9735" max="9735" width="28.7109375" style="314" customWidth="1"/>
    <col min="9736" max="9740" width="0" style="314" hidden="1" customWidth="1"/>
    <col min="9741" max="9741" width="8.7109375" style="314" customWidth="1"/>
    <col min="9742" max="9742" width="8.85546875" style="314" customWidth="1"/>
    <col min="9743" max="9747" width="8.7109375" style="314" customWidth="1"/>
    <col min="9748" max="9748" width="4" style="314" customWidth="1"/>
    <col min="9749" max="9749" width="9.140625" style="314"/>
    <col min="9750" max="9750" width="12.85546875" style="314" customWidth="1"/>
    <col min="9751" max="9751" width="14.140625" style="314" customWidth="1"/>
    <col min="9752" max="9752" width="11.140625" style="314" customWidth="1"/>
    <col min="9753" max="9984" width="9.140625" style="314"/>
    <col min="9985" max="9985" width="7.140625" style="314" customWidth="1"/>
    <col min="9986" max="9986" width="8.42578125" style="314" customWidth="1"/>
    <col min="9987" max="9987" width="9.140625" style="314"/>
    <col min="9988" max="9988" width="6.7109375" style="314" customWidth="1"/>
    <col min="9989" max="9989" width="5.140625" style="314" customWidth="1"/>
    <col min="9990" max="9990" width="2" style="314" customWidth="1"/>
    <col min="9991" max="9991" width="28.7109375" style="314" customWidth="1"/>
    <col min="9992" max="9996" width="0" style="314" hidden="1" customWidth="1"/>
    <col min="9997" max="9997" width="8.7109375" style="314" customWidth="1"/>
    <col min="9998" max="9998" width="8.85546875" style="314" customWidth="1"/>
    <col min="9999" max="10003" width="8.7109375" style="314" customWidth="1"/>
    <col min="10004" max="10004" width="4" style="314" customWidth="1"/>
    <col min="10005" max="10005" width="9.140625" style="314"/>
    <col min="10006" max="10006" width="12.85546875" style="314" customWidth="1"/>
    <col min="10007" max="10007" width="14.140625" style="314" customWidth="1"/>
    <col min="10008" max="10008" width="11.140625" style="314" customWidth="1"/>
    <col min="10009" max="10240" width="9.140625" style="314"/>
    <col min="10241" max="10241" width="7.140625" style="314" customWidth="1"/>
    <col min="10242" max="10242" width="8.42578125" style="314" customWidth="1"/>
    <col min="10243" max="10243" width="9.140625" style="314"/>
    <col min="10244" max="10244" width="6.7109375" style="314" customWidth="1"/>
    <col min="10245" max="10245" width="5.140625" style="314" customWidth="1"/>
    <col min="10246" max="10246" width="2" style="314" customWidth="1"/>
    <col min="10247" max="10247" width="28.7109375" style="314" customWidth="1"/>
    <col min="10248" max="10252" width="0" style="314" hidden="1" customWidth="1"/>
    <col min="10253" max="10253" width="8.7109375" style="314" customWidth="1"/>
    <col min="10254" max="10254" width="8.85546875" style="314" customWidth="1"/>
    <col min="10255" max="10259" width="8.7109375" style="314" customWidth="1"/>
    <col min="10260" max="10260" width="4" style="314" customWidth="1"/>
    <col min="10261" max="10261" width="9.140625" style="314"/>
    <col min="10262" max="10262" width="12.85546875" style="314" customWidth="1"/>
    <col min="10263" max="10263" width="14.140625" style="314" customWidth="1"/>
    <col min="10264" max="10264" width="11.140625" style="314" customWidth="1"/>
    <col min="10265" max="10496" width="9.140625" style="314"/>
    <col min="10497" max="10497" width="7.140625" style="314" customWidth="1"/>
    <col min="10498" max="10498" width="8.42578125" style="314" customWidth="1"/>
    <col min="10499" max="10499" width="9.140625" style="314"/>
    <col min="10500" max="10500" width="6.7109375" style="314" customWidth="1"/>
    <col min="10501" max="10501" width="5.140625" style="314" customWidth="1"/>
    <col min="10502" max="10502" width="2" style="314" customWidth="1"/>
    <col min="10503" max="10503" width="28.7109375" style="314" customWidth="1"/>
    <col min="10504" max="10508" width="0" style="314" hidden="1" customWidth="1"/>
    <col min="10509" max="10509" width="8.7109375" style="314" customWidth="1"/>
    <col min="10510" max="10510" width="8.85546875" style="314" customWidth="1"/>
    <col min="10511" max="10515" width="8.7109375" style="314" customWidth="1"/>
    <col min="10516" max="10516" width="4" style="314" customWidth="1"/>
    <col min="10517" max="10517" width="9.140625" style="314"/>
    <col min="10518" max="10518" width="12.85546875" style="314" customWidth="1"/>
    <col min="10519" max="10519" width="14.140625" style="314" customWidth="1"/>
    <col min="10520" max="10520" width="11.140625" style="314" customWidth="1"/>
    <col min="10521" max="10752" width="9.140625" style="314"/>
    <col min="10753" max="10753" width="7.140625" style="314" customWidth="1"/>
    <col min="10754" max="10754" width="8.42578125" style="314" customWidth="1"/>
    <col min="10755" max="10755" width="9.140625" style="314"/>
    <col min="10756" max="10756" width="6.7109375" style="314" customWidth="1"/>
    <col min="10757" max="10757" width="5.140625" style="314" customWidth="1"/>
    <col min="10758" max="10758" width="2" style="314" customWidth="1"/>
    <col min="10759" max="10759" width="28.7109375" style="314" customWidth="1"/>
    <col min="10760" max="10764" width="0" style="314" hidden="1" customWidth="1"/>
    <col min="10765" max="10765" width="8.7109375" style="314" customWidth="1"/>
    <col min="10766" max="10766" width="8.85546875" style="314" customWidth="1"/>
    <col min="10767" max="10771" width="8.7109375" style="314" customWidth="1"/>
    <col min="10772" max="10772" width="4" style="314" customWidth="1"/>
    <col min="10773" max="10773" width="9.140625" style="314"/>
    <col min="10774" max="10774" width="12.85546875" style="314" customWidth="1"/>
    <col min="10775" max="10775" width="14.140625" style="314" customWidth="1"/>
    <col min="10776" max="10776" width="11.140625" style="314" customWidth="1"/>
    <col min="10777" max="11008" width="9.140625" style="314"/>
    <col min="11009" max="11009" width="7.140625" style="314" customWidth="1"/>
    <col min="11010" max="11010" width="8.42578125" style="314" customWidth="1"/>
    <col min="11011" max="11011" width="9.140625" style="314"/>
    <col min="11012" max="11012" width="6.7109375" style="314" customWidth="1"/>
    <col min="11013" max="11013" width="5.140625" style="314" customWidth="1"/>
    <col min="11014" max="11014" width="2" style="314" customWidth="1"/>
    <col min="11015" max="11015" width="28.7109375" style="314" customWidth="1"/>
    <col min="11016" max="11020" width="0" style="314" hidden="1" customWidth="1"/>
    <col min="11021" max="11021" width="8.7109375" style="314" customWidth="1"/>
    <col min="11022" max="11022" width="8.85546875" style="314" customWidth="1"/>
    <col min="11023" max="11027" width="8.7109375" style="314" customWidth="1"/>
    <col min="11028" max="11028" width="4" style="314" customWidth="1"/>
    <col min="11029" max="11029" width="9.140625" style="314"/>
    <col min="11030" max="11030" width="12.85546875" style="314" customWidth="1"/>
    <col min="11031" max="11031" width="14.140625" style="314" customWidth="1"/>
    <col min="11032" max="11032" width="11.140625" style="314" customWidth="1"/>
    <col min="11033" max="11264" width="9.140625" style="314"/>
    <col min="11265" max="11265" width="7.140625" style="314" customWidth="1"/>
    <col min="11266" max="11266" width="8.42578125" style="314" customWidth="1"/>
    <col min="11267" max="11267" width="9.140625" style="314"/>
    <col min="11268" max="11268" width="6.7109375" style="314" customWidth="1"/>
    <col min="11269" max="11269" width="5.140625" style="314" customWidth="1"/>
    <col min="11270" max="11270" width="2" style="314" customWidth="1"/>
    <col min="11271" max="11271" width="28.7109375" style="314" customWidth="1"/>
    <col min="11272" max="11276" width="0" style="314" hidden="1" customWidth="1"/>
    <col min="11277" max="11277" width="8.7109375" style="314" customWidth="1"/>
    <col min="11278" max="11278" width="8.85546875" style="314" customWidth="1"/>
    <col min="11279" max="11283" width="8.7109375" style="314" customWidth="1"/>
    <col min="11284" max="11284" width="4" style="314" customWidth="1"/>
    <col min="11285" max="11285" width="9.140625" style="314"/>
    <col min="11286" max="11286" width="12.85546875" style="314" customWidth="1"/>
    <col min="11287" max="11287" width="14.140625" style="314" customWidth="1"/>
    <col min="11288" max="11288" width="11.140625" style="314" customWidth="1"/>
    <col min="11289" max="11520" width="9.140625" style="314"/>
    <col min="11521" max="11521" width="7.140625" style="314" customWidth="1"/>
    <col min="11522" max="11522" width="8.42578125" style="314" customWidth="1"/>
    <col min="11523" max="11523" width="9.140625" style="314"/>
    <col min="11524" max="11524" width="6.7109375" style="314" customWidth="1"/>
    <col min="11525" max="11525" width="5.140625" style="314" customWidth="1"/>
    <col min="11526" max="11526" width="2" style="314" customWidth="1"/>
    <col min="11527" max="11527" width="28.7109375" style="314" customWidth="1"/>
    <col min="11528" max="11532" width="0" style="314" hidden="1" customWidth="1"/>
    <col min="11533" max="11533" width="8.7109375" style="314" customWidth="1"/>
    <col min="11534" max="11534" width="8.85546875" style="314" customWidth="1"/>
    <col min="11535" max="11539" width="8.7109375" style="314" customWidth="1"/>
    <col min="11540" max="11540" width="4" style="314" customWidth="1"/>
    <col min="11541" max="11541" width="9.140625" style="314"/>
    <col min="11542" max="11542" width="12.85546875" style="314" customWidth="1"/>
    <col min="11543" max="11543" width="14.140625" style="314" customWidth="1"/>
    <col min="11544" max="11544" width="11.140625" style="314" customWidth="1"/>
    <col min="11545" max="11776" width="9.140625" style="314"/>
    <col min="11777" max="11777" width="7.140625" style="314" customWidth="1"/>
    <col min="11778" max="11778" width="8.42578125" style="314" customWidth="1"/>
    <col min="11779" max="11779" width="9.140625" style="314"/>
    <col min="11780" max="11780" width="6.7109375" style="314" customWidth="1"/>
    <col min="11781" max="11781" width="5.140625" style="314" customWidth="1"/>
    <col min="11782" max="11782" width="2" style="314" customWidth="1"/>
    <col min="11783" max="11783" width="28.7109375" style="314" customWidth="1"/>
    <col min="11784" max="11788" width="0" style="314" hidden="1" customWidth="1"/>
    <col min="11789" max="11789" width="8.7109375" style="314" customWidth="1"/>
    <col min="11790" max="11790" width="8.85546875" style="314" customWidth="1"/>
    <col min="11791" max="11795" width="8.7109375" style="314" customWidth="1"/>
    <col min="11796" max="11796" width="4" style="314" customWidth="1"/>
    <col min="11797" max="11797" width="9.140625" style="314"/>
    <col min="11798" max="11798" width="12.85546875" style="314" customWidth="1"/>
    <col min="11799" max="11799" width="14.140625" style="314" customWidth="1"/>
    <col min="11800" max="11800" width="11.140625" style="314" customWidth="1"/>
    <col min="11801" max="12032" width="9.140625" style="314"/>
    <col min="12033" max="12033" width="7.140625" style="314" customWidth="1"/>
    <col min="12034" max="12034" width="8.42578125" style="314" customWidth="1"/>
    <col min="12035" max="12035" width="9.140625" style="314"/>
    <col min="12036" max="12036" width="6.7109375" style="314" customWidth="1"/>
    <col min="12037" max="12037" width="5.140625" style="314" customWidth="1"/>
    <col min="12038" max="12038" width="2" style="314" customWidth="1"/>
    <col min="12039" max="12039" width="28.7109375" style="314" customWidth="1"/>
    <col min="12040" max="12044" width="0" style="314" hidden="1" customWidth="1"/>
    <col min="12045" max="12045" width="8.7109375" style="314" customWidth="1"/>
    <col min="12046" max="12046" width="8.85546875" style="314" customWidth="1"/>
    <col min="12047" max="12051" width="8.7109375" style="314" customWidth="1"/>
    <col min="12052" max="12052" width="4" style="314" customWidth="1"/>
    <col min="12053" max="12053" width="9.140625" style="314"/>
    <col min="12054" max="12054" width="12.85546875" style="314" customWidth="1"/>
    <col min="12055" max="12055" width="14.140625" style="314" customWidth="1"/>
    <col min="12056" max="12056" width="11.140625" style="314" customWidth="1"/>
    <col min="12057" max="12288" width="9.140625" style="314"/>
    <col min="12289" max="12289" width="7.140625" style="314" customWidth="1"/>
    <col min="12290" max="12290" width="8.42578125" style="314" customWidth="1"/>
    <col min="12291" max="12291" width="9.140625" style="314"/>
    <col min="12292" max="12292" width="6.7109375" style="314" customWidth="1"/>
    <col min="12293" max="12293" width="5.140625" style="314" customWidth="1"/>
    <col min="12294" max="12294" width="2" style="314" customWidth="1"/>
    <col min="12295" max="12295" width="28.7109375" style="314" customWidth="1"/>
    <col min="12296" max="12300" width="0" style="314" hidden="1" customWidth="1"/>
    <col min="12301" max="12301" width="8.7109375" style="314" customWidth="1"/>
    <col min="12302" max="12302" width="8.85546875" style="314" customWidth="1"/>
    <col min="12303" max="12307" width="8.7109375" style="314" customWidth="1"/>
    <col min="12308" max="12308" width="4" style="314" customWidth="1"/>
    <col min="12309" max="12309" width="9.140625" style="314"/>
    <col min="12310" max="12310" width="12.85546875" style="314" customWidth="1"/>
    <col min="12311" max="12311" width="14.140625" style="314" customWidth="1"/>
    <col min="12312" max="12312" width="11.140625" style="314" customWidth="1"/>
    <col min="12313" max="12544" width="9.140625" style="314"/>
    <col min="12545" max="12545" width="7.140625" style="314" customWidth="1"/>
    <col min="12546" max="12546" width="8.42578125" style="314" customWidth="1"/>
    <col min="12547" max="12547" width="9.140625" style="314"/>
    <col min="12548" max="12548" width="6.7109375" style="314" customWidth="1"/>
    <col min="12549" max="12549" width="5.140625" style="314" customWidth="1"/>
    <col min="12550" max="12550" width="2" style="314" customWidth="1"/>
    <col min="12551" max="12551" width="28.7109375" style="314" customWidth="1"/>
    <col min="12552" max="12556" width="0" style="314" hidden="1" customWidth="1"/>
    <col min="12557" max="12557" width="8.7109375" style="314" customWidth="1"/>
    <col min="12558" max="12558" width="8.85546875" style="314" customWidth="1"/>
    <col min="12559" max="12563" width="8.7109375" style="314" customWidth="1"/>
    <col min="12564" max="12564" width="4" style="314" customWidth="1"/>
    <col min="12565" max="12565" width="9.140625" style="314"/>
    <col min="12566" max="12566" width="12.85546875" style="314" customWidth="1"/>
    <col min="12567" max="12567" width="14.140625" style="314" customWidth="1"/>
    <col min="12568" max="12568" width="11.140625" style="314" customWidth="1"/>
    <col min="12569" max="12800" width="9.140625" style="314"/>
    <col min="12801" max="12801" width="7.140625" style="314" customWidth="1"/>
    <col min="12802" max="12802" width="8.42578125" style="314" customWidth="1"/>
    <col min="12803" max="12803" width="9.140625" style="314"/>
    <col min="12804" max="12804" width="6.7109375" style="314" customWidth="1"/>
    <col min="12805" max="12805" width="5.140625" style="314" customWidth="1"/>
    <col min="12806" max="12806" width="2" style="314" customWidth="1"/>
    <col min="12807" max="12807" width="28.7109375" style="314" customWidth="1"/>
    <col min="12808" max="12812" width="0" style="314" hidden="1" customWidth="1"/>
    <col min="12813" max="12813" width="8.7109375" style="314" customWidth="1"/>
    <col min="12814" max="12814" width="8.85546875" style="314" customWidth="1"/>
    <col min="12815" max="12819" width="8.7109375" style="314" customWidth="1"/>
    <col min="12820" max="12820" width="4" style="314" customWidth="1"/>
    <col min="12821" max="12821" width="9.140625" style="314"/>
    <col min="12822" max="12822" width="12.85546875" style="314" customWidth="1"/>
    <col min="12823" max="12823" width="14.140625" style="314" customWidth="1"/>
    <col min="12824" max="12824" width="11.140625" style="314" customWidth="1"/>
    <col min="12825" max="13056" width="9.140625" style="314"/>
    <col min="13057" max="13057" width="7.140625" style="314" customWidth="1"/>
    <col min="13058" max="13058" width="8.42578125" style="314" customWidth="1"/>
    <col min="13059" max="13059" width="9.140625" style="314"/>
    <col min="13060" max="13060" width="6.7109375" style="314" customWidth="1"/>
    <col min="13061" max="13061" width="5.140625" style="314" customWidth="1"/>
    <col min="13062" max="13062" width="2" style="314" customWidth="1"/>
    <col min="13063" max="13063" width="28.7109375" style="314" customWidth="1"/>
    <col min="13064" max="13068" width="0" style="314" hidden="1" customWidth="1"/>
    <col min="13069" max="13069" width="8.7109375" style="314" customWidth="1"/>
    <col min="13070" max="13070" width="8.85546875" style="314" customWidth="1"/>
    <col min="13071" max="13075" width="8.7109375" style="314" customWidth="1"/>
    <col min="13076" max="13076" width="4" style="314" customWidth="1"/>
    <col min="13077" max="13077" width="9.140625" style="314"/>
    <col min="13078" max="13078" width="12.85546875" style="314" customWidth="1"/>
    <col min="13079" max="13079" width="14.140625" style="314" customWidth="1"/>
    <col min="13080" max="13080" width="11.140625" style="314" customWidth="1"/>
    <col min="13081" max="13312" width="9.140625" style="314"/>
    <col min="13313" max="13313" width="7.140625" style="314" customWidth="1"/>
    <col min="13314" max="13314" width="8.42578125" style="314" customWidth="1"/>
    <col min="13315" max="13315" width="9.140625" style="314"/>
    <col min="13316" max="13316" width="6.7109375" style="314" customWidth="1"/>
    <col min="13317" max="13317" width="5.140625" style="314" customWidth="1"/>
    <col min="13318" max="13318" width="2" style="314" customWidth="1"/>
    <col min="13319" max="13319" width="28.7109375" style="314" customWidth="1"/>
    <col min="13320" max="13324" width="0" style="314" hidden="1" customWidth="1"/>
    <col min="13325" max="13325" width="8.7109375" style="314" customWidth="1"/>
    <col min="13326" max="13326" width="8.85546875" style="314" customWidth="1"/>
    <col min="13327" max="13331" width="8.7109375" style="314" customWidth="1"/>
    <col min="13332" max="13332" width="4" style="314" customWidth="1"/>
    <col min="13333" max="13333" width="9.140625" style="314"/>
    <col min="13334" max="13334" width="12.85546875" style="314" customWidth="1"/>
    <col min="13335" max="13335" width="14.140625" style="314" customWidth="1"/>
    <col min="13336" max="13336" width="11.140625" style="314" customWidth="1"/>
    <col min="13337" max="13568" width="9.140625" style="314"/>
    <col min="13569" max="13569" width="7.140625" style="314" customWidth="1"/>
    <col min="13570" max="13570" width="8.42578125" style="314" customWidth="1"/>
    <col min="13571" max="13571" width="9.140625" style="314"/>
    <col min="13572" max="13572" width="6.7109375" style="314" customWidth="1"/>
    <col min="13573" max="13573" width="5.140625" style="314" customWidth="1"/>
    <col min="13574" max="13574" width="2" style="314" customWidth="1"/>
    <col min="13575" max="13575" width="28.7109375" style="314" customWidth="1"/>
    <col min="13576" max="13580" width="0" style="314" hidden="1" customWidth="1"/>
    <col min="13581" max="13581" width="8.7109375" style="314" customWidth="1"/>
    <col min="13582" max="13582" width="8.85546875" style="314" customWidth="1"/>
    <col min="13583" max="13587" width="8.7109375" style="314" customWidth="1"/>
    <col min="13588" max="13588" width="4" style="314" customWidth="1"/>
    <col min="13589" max="13589" width="9.140625" style="314"/>
    <col min="13590" max="13590" width="12.85546875" style="314" customWidth="1"/>
    <col min="13591" max="13591" width="14.140625" style="314" customWidth="1"/>
    <col min="13592" max="13592" width="11.140625" style="314" customWidth="1"/>
    <col min="13593" max="13824" width="9.140625" style="314"/>
    <col min="13825" max="13825" width="7.140625" style="314" customWidth="1"/>
    <col min="13826" max="13826" width="8.42578125" style="314" customWidth="1"/>
    <col min="13827" max="13827" width="9.140625" style="314"/>
    <col min="13828" max="13828" width="6.7109375" style="314" customWidth="1"/>
    <col min="13829" max="13829" width="5.140625" style="314" customWidth="1"/>
    <col min="13830" max="13830" width="2" style="314" customWidth="1"/>
    <col min="13831" max="13831" width="28.7109375" style="314" customWidth="1"/>
    <col min="13832" max="13836" width="0" style="314" hidden="1" customWidth="1"/>
    <col min="13837" max="13837" width="8.7109375" style="314" customWidth="1"/>
    <col min="13838" max="13838" width="8.85546875" style="314" customWidth="1"/>
    <col min="13839" max="13843" width="8.7109375" style="314" customWidth="1"/>
    <col min="13844" max="13844" width="4" style="314" customWidth="1"/>
    <col min="13845" max="13845" width="9.140625" style="314"/>
    <col min="13846" max="13846" width="12.85546875" style="314" customWidth="1"/>
    <col min="13847" max="13847" width="14.140625" style="314" customWidth="1"/>
    <col min="13848" max="13848" width="11.140625" style="314" customWidth="1"/>
    <col min="13849" max="14080" width="9.140625" style="314"/>
    <col min="14081" max="14081" width="7.140625" style="314" customWidth="1"/>
    <col min="14082" max="14082" width="8.42578125" style="314" customWidth="1"/>
    <col min="14083" max="14083" width="9.140625" style="314"/>
    <col min="14084" max="14084" width="6.7109375" style="314" customWidth="1"/>
    <col min="14085" max="14085" width="5.140625" style="314" customWidth="1"/>
    <col min="14086" max="14086" width="2" style="314" customWidth="1"/>
    <col min="14087" max="14087" width="28.7109375" style="314" customWidth="1"/>
    <col min="14088" max="14092" width="0" style="314" hidden="1" customWidth="1"/>
    <col min="14093" max="14093" width="8.7109375" style="314" customWidth="1"/>
    <col min="14094" max="14094" width="8.85546875" style="314" customWidth="1"/>
    <col min="14095" max="14099" width="8.7109375" style="314" customWidth="1"/>
    <col min="14100" max="14100" width="4" style="314" customWidth="1"/>
    <col min="14101" max="14101" width="9.140625" style="314"/>
    <col min="14102" max="14102" width="12.85546875" style="314" customWidth="1"/>
    <col min="14103" max="14103" width="14.140625" style="314" customWidth="1"/>
    <col min="14104" max="14104" width="11.140625" style="314" customWidth="1"/>
    <col min="14105" max="14336" width="9.140625" style="314"/>
    <col min="14337" max="14337" width="7.140625" style="314" customWidth="1"/>
    <col min="14338" max="14338" width="8.42578125" style="314" customWidth="1"/>
    <col min="14339" max="14339" width="9.140625" style="314"/>
    <col min="14340" max="14340" width="6.7109375" style="314" customWidth="1"/>
    <col min="14341" max="14341" width="5.140625" style="314" customWidth="1"/>
    <col min="14342" max="14342" width="2" style="314" customWidth="1"/>
    <col min="14343" max="14343" width="28.7109375" style="314" customWidth="1"/>
    <col min="14344" max="14348" width="0" style="314" hidden="1" customWidth="1"/>
    <col min="14349" max="14349" width="8.7109375" style="314" customWidth="1"/>
    <col min="14350" max="14350" width="8.85546875" style="314" customWidth="1"/>
    <col min="14351" max="14355" width="8.7109375" style="314" customWidth="1"/>
    <col min="14356" max="14356" width="4" style="314" customWidth="1"/>
    <col min="14357" max="14357" width="9.140625" style="314"/>
    <col min="14358" max="14358" width="12.85546875" style="314" customWidth="1"/>
    <col min="14359" max="14359" width="14.140625" style="314" customWidth="1"/>
    <col min="14360" max="14360" width="11.140625" style="314" customWidth="1"/>
    <col min="14361" max="14592" width="9.140625" style="314"/>
    <col min="14593" max="14593" width="7.140625" style="314" customWidth="1"/>
    <col min="14594" max="14594" width="8.42578125" style="314" customWidth="1"/>
    <col min="14595" max="14595" width="9.140625" style="314"/>
    <col min="14596" max="14596" width="6.7109375" style="314" customWidth="1"/>
    <col min="14597" max="14597" width="5.140625" style="314" customWidth="1"/>
    <col min="14598" max="14598" width="2" style="314" customWidth="1"/>
    <col min="14599" max="14599" width="28.7109375" style="314" customWidth="1"/>
    <col min="14600" max="14604" width="0" style="314" hidden="1" customWidth="1"/>
    <col min="14605" max="14605" width="8.7109375" style="314" customWidth="1"/>
    <col min="14606" max="14606" width="8.85546875" style="314" customWidth="1"/>
    <col min="14607" max="14611" width="8.7109375" style="314" customWidth="1"/>
    <col min="14612" max="14612" width="4" style="314" customWidth="1"/>
    <col min="14613" max="14613" width="9.140625" style="314"/>
    <col min="14614" max="14614" width="12.85546875" style="314" customWidth="1"/>
    <col min="14615" max="14615" width="14.140625" style="314" customWidth="1"/>
    <col min="14616" max="14616" width="11.140625" style="314" customWidth="1"/>
    <col min="14617" max="14848" width="9.140625" style="314"/>
    <col min="14849" max="14849" width="7.140625" style="314" customWidth="1"/>
    <col min="14850" max="14850" width="8.42578125" style="314" customWidth="1"/>
    <col min="14851" max="14851" width="9.140625" style="314"/>
    <col min="14852" max="14852" width="6.7109375" style="314" customWidth="1"/>
    <col min="14853" max="14853" width="5.140625" style="314" customWidth="1"/>
    <col min="14854" max="14854" width="2" style="314" customWidth="1"/>
    <col min="14855" max="14855" width="28.7109375" style="314" customWidth="1"/>
    <col min="14856" max="14860" width="0" style="314" hidden="1" customWidth="1"/>
    <col min="14861" max="14861" width="8.7109375" style="314" customWidth="1"/>
    <col min="14862" max="14862" width="8.85546875" style="314" customWidth="1"/>
    <col min="14863" max="14867" width="8.7109375" style="314" customWidth="1"/>
    <col min="14868" max="14868" width="4" style="314" customWidth="1"/>
    <col min="14869" max="14869" width="9.140625" style="314"/>
    <col min="14870" max="14870" width="12.85546875" style="314" customWidth="1"/>
    <col min="14871" max="14871" width="14.140625" style="314" customWidth="1"/>
    <col min="14872" max="14872" width="11.140625" style="314" customWidth="1"/>
    <col min="14873" max="15104" width="9.140625" style="314"/>
    <col min="15105" max="15105" width="7.140625" style="314" customWidth="1"/>
    <col min="15106" max="15106" width="8.42578125" style="314" customWidth="1"/>
    <col min="15107" max="15107" width="9.140625" style="314"/>
    <col min="15108" max="15108" width="6.7109375" style="314" customWidth="1"/>
    <col min="15109" max="15109" width="5.140625" style="314" customWidth="1"/>
    <col min="15110" max="15110" width="2" style="314" customWidth="1"/>
    <col min="15111" max="15111" width="28.7109375" style="314" customWidth="1"/>
    <col min="15112" max="15116" width="0" style="314" hidden="1" customWidth="1"/>
    <col min="15117" max="15117" width="8.7109375" style="314" customWidth="1"/>
    <col min="15118" max="15118" width="8.85546875" style="314" customWidth="1"/>
    <col min="15119" max="15123" width="8.7109375" style="314" customWidth="1"/>
    <col min="15124" max="15124" width="4" style="314" customWidth="1"/>
    <col min="15125" max="15125" width="9.140625" style="314"/>
    <col min="15126" max="15126" width="12.85546875" style="314" customWidth="1"/>
    <col min="15127" max="15127" width="14.140625" style="314" customWidth="1"/>
    <col min="15128" max="15128" width="11.140625" style="314" customWidth="1"/>
    <col min="15129" max="15360" width="9.140625" style="314"/>
    <col min="15361" max="15361" width="7.140625" style="314" customWidth="1"/>
    <col min="15362" max="15362" width="8.42578125" style="314" customWidth="1"/>
    <col min="15363" max="15363" width="9.140625" style="314"/>
    <col min="15364" max="15364" width="6.7109375" style="314" customWidth="1"/>
    <col min="15365" max="15365" width="5.140625" style="314" customWidth="1"/>
    <col min="15366" max="15366" width="2" style="314" customWidth="1"/>
    <col min="15367" max="15367" width="28.7109375" style="314" customWidth="1"/>
    <col min="15368" max="15372" width="0" style="314" hidden="1" customWidth="1"/>
    <col min="15373" max="15373" width="8.7109375" style="314" customWidth="1"/>
    <col min="15374" max="15374" width="8.85546875" style="314" customWidth="1"/>
    <col min="15375" max="15379" width="8.7109375" style="314" customWidth="1"/>
    <col min="15380" max="15380" width="4" style="314" customWidth="1"/>
    <col min="15381" max="15381" width="9.140625" style="314"/>
    <col min="15382" max="15382" width="12.85546875" style="314" customWidth="1"/>
    <col min="15383" max="15383" width="14.140625" style="314" customWidth="1"/>
    <col min="15384" max="15384" width="11.140625" style="314" customWidth="1"/>
    <col min="15385" max="15616" width="9.140625" style="314"/>
    <col min="15617" max="15617" width="7.140625" style="314" customWidth="1"/>
    <col min="15618" max="15618" width="8.42578125" style="314" customWidth="1"/>
    <col min="15619" max="15619" width="9.140625" style="314"/>
    <col min="15620" max="15620" width="6.7109375" style="314" customWidth="1"/>
    <col min="15621" max="15621" width="5.140625" style="314" customWidth="1"/>
    <col min="15622" max="15622" width="2" style="314" customWidth="1"/>
    <col min="15623" max="15623" width="28.7109375" style="314" customWidth="1"/>
    <col min="15624" max="15628" width="0" style="314" hidden="1" customWidth="1"/>
    <col min="15629" max="15629" width="8.7109375" style="314" customWidth="1"/>
    <col min="15630" max="15630" width="8.85546875" style="314" customWidth="1"/>
    <col min="15631" max="15635" width="8.7109375" style="314" customWidth="1"/>
    <col min="15636" max="15636" width="4" style="314" customWidth="1"/>
    <col min="15637" max="15637" width="9.140625" style="314"/>
    <col min="15638" max="15638" width="12.85546875" style="314" customWidth="1"/>
    <col min="15639" max="15639" width="14.140625" style="314" customWidth="1"/>
    <col min="15640" max="15640" width="11.140625" style="314" customWidth="1"/>
    <col min="15641" max="15872" width="9.140625" style="314"/>
    <col min="15873" max="15873" width="7.140625" style="314" customWidth="1"/>
    <col min="15874" max="15874" width="8.42578125" style="314" customWidth="1"/>
    <col min="15875" max="15875" width="9.140625" style="314"/>
    <col min="15876" max="15876" width="6.7109375" style="314" customWidth="1"/>
    <col min="15877" max="15877" width="5.140625" style="314" customWidth="1"/>
    <col min="15878" max="15878" width="2" style="314" customWidth="1"/>
    <col min="15879" max="15879" width="28.7109375" style="314" customWidth="1"/>
    <col min="15880" max="15884" width="0" style="314" hidden="1" customWidth="1"/>
    <col min="15885" max="15885" width="8.7109375" style="314" customWidth="1"/>
    <col min="15886" max="15886" width="8.85546875" style="314" customWidth="1"/>
    <col min="15887" max="15891" width="8.7109375" style="314" customWidth="1"/>
    <col min="15892" max="15892" width="4" style="314" customWidth="1"/>
    <col min="15893" max="15893" width="9.140625" style="314"/>
    <col min="15894" max="15894" width="12.85546875" style="314" customWidth="1"/>
    <col min="15895" max="15895" width="14.140625" style="314" customWidth="1"/>
    <col min="15896" max="15896" width="11.140625" style="314" customWidth="1"/>
    <col min="15897" max="16128" width="9.140625" style="314"/>
    <col min="16129" max="16129" width="7.140625" style="314" customWidth="1"/>
    <col min="16130" max="16130" width="8.42578125" style="314" customWidth="1"/>
    <col min="16131" max="16131" width="9.140625" style="314"/>
    <col min="16132" max="16132" width="6.7109375" style="314" customWidth="1"/>
    <col min="16133" max="16133" width="5.140625" style="314" customWidth="1"/>
    <col min="16134" max="16134" width="2" style="314" customWidth="1"/>
    <col min="16135" max="16135" width="28.7109375" style="314" customWidth="1"/>
    <col min="16136" max="16140" width="0" style="314" hidden="1" customWidth="1"/>
    <col min="16141" max="16141" width="8.7109375" style="314" customWidth="1"/>
    <col min="16142" max="16142" width="8.85546875" style="314" customWidth="1"/>
    <col min="16143" max="16147" width="8.7109375" style="314" customWidth="1"/>
    <col min="16148" max="16148" width="4" style="314" customWidth="1"/>
    <col min="16149" max="16149" width="9.140625" style="314"/>
    <col min="16150" max="16150" width="12.85546875" style="314" customWidth="1"/>
    <col min="16151" max="16151" width="14.140625" style="314" customWidth="1"/>
    <col min="16152" max="16152" width="11.140625" style="314" customWidth="1"/>
    <col min="16153" max="16384" width="9.140625" style="314"/>
  </cols>
  <sheetData>
    <row r="1" spans="1:27" x14ac:dyDescent="0.2">
      <c r="A1" s="310"/>
      <c r="B1" s="311"/>
      <c r="C1" s="312"/>
      <c r="D1" s="312"/>
      <c r="E1" s="310"/>
      <c r="F1" s="310"/>
      <c r="G1" s="313"/>
      <c r="H1" s="313"/>
      <c r="I1" s="313"/>
      <c r="J1" s="313"/>
      <c r="K1" s="313"/>
      <c r="L1" s="313"/>
      <c r="M1" s="313"/>
      <c r="N1" s="313"/>
      <c r="O1" s="313"/>
      <c r="P1" s="313"/>
      <c r="Q1" s="313"/>
      <c r="R1" s="313"/>
    </row>
    <row r="2" spans="1:27" x14ac:dyDescent="0.2">
      <c r="A2" s="312" t="s">
        <v>0</v>
      </c>
      <c r="B2" s="315" t="s">
        <v>1</v>
      </c>
      <c r="C2" s="312" t="s">
        <v>2</v>
      </c>
      <c r="D2" s="312"/>
      <c r="E2" s="310" t="s">
        <v>3</v>
      </c>
      <c r="F2" s="310"/>
      <c r="G2" s="316" t="s">
        <v>477</v>
      </c>
      <c r="H2" s="317"/>
      <c r="I2" s="318"/>
      <c r="J2" s="318"/>
      <c r="K2" s="317"/>
      <c r="L2" s="319"/>
      <c r="M2" s="320" t="s">
        <v>366</v>
      </c>
      <c r="N2" s="321" t="s">
        <v>478</v>
      </c>
      <c r="O2" s="322"/>
      <c r="P2" s="322"/>
      <c r="Q2" s="322"/>
      <c r="R2" s="323"/>
    </row>
    <row r="3" spans="1:27" ht="15" x14ac:dyDescent="0.25">
      <c r="A3" s="310"/>
      <c r="B3" s="324"/>
      <c r="C3" s="312"/>
      <c r="D3" s="312"/>
      <c r="E3" s="310"/>
      <c r="F3" s="310"/>
      <c r="G3" s="325" t="s">
        <v>4</v>
      </c>
      <c r="H3" s="326">
        <v>40908</v>
      </c>
      <c r="I3" s="326">
        <v>41274</v>
      </c>
      <c r="J3" s="327">
        <v>41639</v>
      </c>
      <c r="K3" s="326">
        <v>42004</v>
      </c>
      <c r="L3" s="326">
        <v>42369</v>
      </c>
      <c r="M3" s="326">
        <v>42735</v>
      </c>
      <c r="N3" s="326">
        <v>43100</v>
      </c>
      <c r="O3" s="326">
        <v>43465</v>
      </c>
      <c r="P3" s="326">
        <v>43830</v>
      </c>
      <c r="Q3" s="326">
        <v>44196</v>
      </c>
      <c r="R3" s="326">
        <v>44561</v>
      </c>
      <c r="S3" s="326">
        <v>44926</v>
      </c>
      <c r="V3" s="328"/>
      <c r="W3" s="328"/>
      <c r="X3" s="328"/>
      <c r="Y3" s="328"/>
      <c r="Z3" s="328"/>
      <c r="AA3" s="328"/>
    </row>
    <row r="4" spans="1:27" ht="15" x14ac:dyDescent="0.25">
      <c r="A4" s="329"/>
      <c r="B4" s="311" t="s">
        <v>5</v>
      </c>
      <c r="C4" s="312">
        <v>1</v>
      </c>
      <c r="D4" s="312"/>
      <c r="E4" s="315"/>
      <c r="F4" s="329"/>
      <c r="G4" s="330" t="s">
        <v>6</v>
      </c>
      <c r="H4" s="331">
        <f t="shared" ref="H4:S4" si="0">H5+H10</f>
        <v>4450.5</v>
      </c>
      <c r="I4" s="331">
        <f t="shared" si="0"/>
        <v>4428.1379999999999</v>
      </c>
      <c r="J4" s="331">
        <f t="shared" si="0"/>
        <v>3991.8219999999997</v>
      </c>
      <c r="K4" s="331">
        <f t="shared" si="0"/>
        <v>3826.0880000000002</v>
      </c>
      <c r="L4" s="331">
        <f t="shared" si="0"/>
        <v>5359.4880000000003</v>
      </c>
      <c r="M4" s="331">
        <f t="shared" si="0"/>
        <v>6271.0995500000008</v>
      </c>
      <c r="N4" s="331">
        <f t="shared" si="0"/>
        <v>6424</v>
      </c>
      <c r="O4" s="331">
        <f t="shared" si="0"/>
        <v>6332</v>
      </c>
      <c r="P4" s="331">
        <f t="shared" si="0"/>
        <v>6349</v>
      </c>
      <c r="Q4" s="331">
        <f t="shared" si="0"/>
        <v>6245</v>
      </c>
      <c r="R4" s="331">
        <f t="shared" si="0"/>
        <v>6321</v>
      </c>
      <c r="S4" s="331">
        <f t="shared" si="0"/>
        <v>6221</v>
      </c>
      <c r="V4" s="332"/>
      <c r="W4" s="332"/>
      <c r="X4" s="332"/>
      <c r="Y4" s="332"/>
      <c r="Z4" s="332"/>
      <c r="AA4" s="332"/>
    </row>
    <row r="5" spans="1:27" ht="15" x14ac:dyDescent="0.25">
      <c r="A5" s="333"/>
      <c r="B5" s="311" t="s">
        <v>7</v>
      </c>
      <c r="C5" s="312">
        <v>10</v>
      </c>
      <c r="D5" s="312"/>
      <c r="E5" s="334"/>
      <c r="G5" s="335" t="s">
        <v>8</v>
      </c>
      <c r="H5" s="331">
        <f t="shared" ref="H5:S5" si="1">SUM(H6:H9)</f>
        <v>858.221</v>
      </c>
      <c r="I5" s="331">
        <f t="shared" si="1"/>
        <v>1027.5989999999999</v>
      </c>
      <c r="J5" s="331">
        <f t="shared" si="1"/>
        <v>914.649</v>
      </c>
      <c r="K5" s="331">
        <f t="shared" si="1"/>
        <v>798.71699999999998</v>
      </c>
      <c r="L5" s="331">
        <f t="shared" si="1"/>
        <v>2149.0320000000002</v>
      </c>
      <c r="M5" s="331">
        <f t="shared" si="1"/>
        <v>1538.6481399999998</v>
      </c>
      <c r="N5" s="331">
        <f t="shared" si="1"/>
        <v>1856</v>
      </c>
      <c r="O5" s="331">
        <f t="shared" si="1"/>
        <v>1799</v>
      </c>
      <c r="P5" s="331">
        <f t="shared" si="1"/>
        <v>1800</v>
      </c>
      <c r="Q5" s="331">
        <f t="shared" si="1"/>
        <v>1800</v>
      </c>
      <c r="R5" s="331">
        <f t="shared" si="1"/>
        <v>2080</v>
      </c>
      <c r="S5" s="331">
        <f t="shared" si="1"/>
        <v>2184</v>
      </c>
      <c r="V5" s="332"/>
      <c r="W5" s="332"/>
      <c r="X5" s="332"/>
      <c r="Y5" s="332"/>
      <c r="Z5" s="332"/>
      <c r="AA5" s="332"/>
    </row>
    <row r="6" spans="1:27" ht="15" x14ac:dyDescent="0.25">
      <c r="A6" s="333"/>
      <c r="B6" s="311" t="s">
        <v>9</v>
      </c>
      <c r="C6" s="336" t="s">
        <v>10</v>
      </c>
      <c r="D6" s="336"/>
      <c r="E6" s="337" t="s">
        <v>11</v>
      </c>
      <c r="G6" s="335" t="s">
        <v>12</v>
      </c>
      <c r="H6" s="338">
        <v>492.00099999999998</v>
      </c>
      <c r="I6" s="338">
        <v>640.46799999999996</v>
      </c>
      <c r="J6" s="321">
        <v>589.98900000000003</v>
      </c>
      <c r="K6" s="338">
        <v>722.06700000000001</v>
      </c>
      <c r="L6" s="338">
        <v>2025.6690000000001</v>
      </c>
      <c r="M6" s="338">
        <v>1425.2511399999999</v>
      </c>
      <c r="N6" s="339">
        <v>1745</v>
      </c>
      <c r="O6" s="339">
        <v>1700</v>
      </c>
      <c r="P6" s="339">
        <v>1700</v>
      </c>
      <c r="Q6" s="339">
        <v>1700</v>
      </c>
      <c r="R6" s="339">
        <f>1700+280</f>
        <v>1980</v>
      </c>
      <c r="S6" s="338">
        <f>1700+384</f>
        <v>2084</v>
      </c>
      <c r="V6" s="332"/>
      <c r="W6" s="332"/>
      <c r="X6" s="332"/>
      <c r="Y6" s="332"/>
      <c r="Z6" s="332"/>
      <c r="AA6" s="332"/>
    </row>
    <row r="7" spans="1:27" ht="15" x14ac:dyDescent="0.25">
      <c r="A7" s="333"/>
      <c r="B7" s="311" t="s">
        <v>13</v>
      </c>
      <c r="C7" s="336" t="s">
        <v>14</v>
      </c>
      <c r="D7" s="336"/>
      <c r="E7" s="337" t="s">
        <v>11</v>
      </c>
      <c r="G7" s="335" t="s">
        <v>15</v>
      </c>
      <c r="H7" s="338">
        <v>355.40499999999997</v>
      </c>
      <c r="I7" s="338">
        <v>375.774</v>
      </c>
      <c r="J7" s="321">
        <v>313.108</v>
      </c>
      <c r="K7" s="338">
        <v>64.727999999999994</v>
      </c>
      <c r="L7" s="338">
        <v>112.212</v>
      </c>
      <c r="M7" s="338">
        <v>95.254000000000005</v>
      </c>
      <c r="N7" s="339">
        <v>91</v>
      </c>
      <c r="O7" s="339">
        <v>80</v>
      </c>
      <c r="P7" s="339">
        <v>80</v>
      </c>
      <c r="Q7" s="339">
        <v>80</v>
      </c>
      <c r="R7" s="339">
        <v>80</v>
      </c>
      <c r="S7" s="338">
        <v>80</v>
      </c>
      <c r="V7" s="332"/>
      <c r="W7" s="332"/>
      <c r="X7" s="332"/>
      <c r="Y7" s="332"/>
      <c r="Z7" s="332"/>
      <c r="AA7" s="332"/>
    </row>
    <row r="8" spans="1:27" ht="15" x14ac:dyDescent="0.25">
      <c r="A8" s="333"/>
      <c r="B8" s="311" t="s">
        <v>16</v>
      </c>
      <c r="C8" s="336" t="s">
        <v>17</v>
      </c>
      <c r="D8" s="336"/>
      <c r="E8" s="337" t="s">
        <v>11</v>
      </c>
      <c r="G8" s="335" t="s">
        <v>18</v>
      </c>
      <c r="H8" s="338">
        <v>0</v>
      </c>
      <c r="I8" s="338">
        <v>0</v>
      </c>
      <c r="J8" s="321">
        <v>0</v>
      </c>
      <c r="K8" s="338">
        <v>0</v>
      </c>
      <c r="L8" s="338">
        <v>0</v>
      </c>
      <c r="M8" s="338">
        <v>0</v>
      </c>
      <c r="N8" s="339">
        <v>0</v>
      </c>
      <c r="O8" s="339">
        <v>0</v>
      </c>
      <c r="P8" s="339">
        <v>0</v>
      </c>
      <c r="Q8" s="339">
        <v>0</v>
      </c>
      <c r="R8" s="339">
        <v>0</v>
      </c>
      <c r="S8" s="338">
        <v>0</v>
      </c>
      <c r="V8" s="332"/>
      <c r="W8" s="332"/>
      <c r="X8" s="332"/>
      <c r="Y8" s="332"/>
      <c r="Z8" s="332"/>
      <c r="AA8" s="332"/>
    </row>
    <row r="9" spans="1:27" ht="15" x14ac:dyDescent="0.25">
      <c r="A9" s="333"/>
      <c r="B9" s="311" t="s">
        <v>19</v>
      </c>
      <c r="C9" s="336">
        <v>108</v>
      </c>
      <c r="D9" s="336"/>
      <c r="E9" s="340"/>
      <c r="G9" s="335" t="s">
        <v>20</v>
      </c>
      <c r="H9" s="338">
        <v>10.815</v>
      </c>
      <c r="I9" s="338">
        <v>11.356999999999999</v>
      </c>
      <c r="J9" s="321">
        <v>11.552</v>
      </c>
      <c r="K9" s="338">
        <v>11.922000000000001</v>
      </c>
      <c r="L9" s="338">
        <v>11.151</v>
      </c>
      <c r="M9" s="338">
        <v>18.143000000000001</v>
      </c>
      <c r="N9" s="339">
        <v>20</v>
      </c>
      <c r="O9" s="339">
        <v>19</v>
      </c>
      <c r="P9" s="339">
        <v>20</v>
      </c>
      <c r="Q9" s="339">
        <v>20</v>
      </c>
      <c r="R9" s="339">
        <v>20</v>
      </c>
      <c r="S9" s="338">
        <v>20</v>
      </c>
      <c r="V9" s="332"/>
      <c r="W9" s="332"/>
      <c r="X9" s="332"/>
      <c r="Y9" s="332"/>
      <c r="Z9" s="332"/>
      <c r="AA9" s="332"/>
    </row>
    <row r="10" spans="1:27" ht="15" x14ac:dyDescent="0.25">
      <c r="A10" s="341"/>
      <c r="B10" s="311" t="s">
        <v>21</v>
      </c>
      <c r="C10" s="342">
        <v>15</v>
      </c>
      <c r="D10" s="342"/>
      <c r="E10" s="340"/>
      <c r="F10" s="341"/>
      <c r="G10" s="335" t="s">
        <v>22</v>
      </c>
      <c r="H10" s="331">
        <f t="shared" ref="H10:S10" si="2">SUM(H11:H16)</f>
        <v>3592.279</v>
      </c>
      <c r="I10" s="331">
        <f t="shared" si="2"/>
        <v>3400.5389999999998</v>
      </c>
      <c r="J10" s="331">
        <f t="shared" si="2"/>
        <v>3077.1729999999998</v>
      </c>
      <c r="K10" s="331">
        <f t="shared" si="2"/>
        <v>3027.3710000000001</v>
      </c>
      <c r="L10" s="331">
        <f t="shared" si="2"/>
        <v>3210.4560000000001</v>
      </c>
      <c r="M10" s="331">
        <f t="shared" si="2"/>
        <v>4732.4514100000006</v>
      </c>
      <c r="N10" s="331">
        <f t="shared" si="2"/>
        <v>4568</v>
      </c>
      <c r="O10" s="343">
        <f t="shared" si="2"/>
        <v>4533</v>
      </c>
      <c r="P10" s="343">
        <f t="shared" si="2"/>
        <v>4549</v>
      </c>
      <c r="Q10" s="343">
        <f t="shared" si="2"/>
        <v>4445</v>
      </c>
      <c r="R10" s="343">
        <f t="shared" si="2"/>
        <v>4241</v>
      </c>
      <c r="S10" s="331">
        <f t="shared" si="2"/>
        <v>4037</v>
      </c>
      <c r="V10" s="332"/>
      <c r="W10" s="332"/>
      <c r="X10" s="332"/>
      <c r="Y10" s="332"/>
      <c r="Z10" s="332"/>
      <c r="AA10" s="332"/>
    </row>
    <row r="11" spans="1:27" ht="15" x14ac:dyDescent="0.25">
      <c r="A11" s="341"/>
      <c r="B11" s="311" t="s">
        <v>23</v>
      </c>
      <c r="C11" s="342">
        <v>150</v>
      </c>
      <c r="D11" s="342"/>
      <c r="E11" s="337" t="s">
        <v>11</v>
      </c>
      <c r="F11" s="341"/>
      <c r="G11" s="335" t="s">
        <v>24</v>
      </c>
      <c r="H11" s="338">
        <v>0</v>
      </c>
      <c r="I11" s="338">
        <v>0</v>
      </c>
      <c r="J11" s="321">
        <v>0</v>
      </c>
      <c r="K11" s="338">
        <v>0</v>
      </c>
      <c r="L11" s="338">
        <v>0</v>
      </c>
      <c r="M11" s="338">
        <v>0</v>
      </c>
      <c r="N11" s="339">
        <v>0</v>
      </c>
      <c r="O11" s="339">
        <v>0</v>
      </c>
      <c r="P11" s="339">
        <v>0</v>
      </c>
      <c r="Q11" s="339">
        <v>0</v>
      </c>
      <c r="R11" s="339">
        <v>0</v>
      </c>
      <c r="S11" s="338">
        <v>0</v>
      </c>
      <c r="V11" s="332"/>
      <c r="W11" s="332"/>
      <c r="X11" s="332"/>
      <c r="Y11" s="332"/>
      <c r="Z11" s="332"/>
      <c r="AA11" s="332"/>
    </row>
    <row r="12" spans="1:27" ht="15" x14ac:dyDescent="0.25">
      <c r="A12" s="341"/>
      <c r="B12" s="311" t="s">
        <v>25</v>
      </c>
      <c r="C12" s="342">
        <v>151</v>
      </c>
      <c r="D12" s="342"/>
      <c r="E12" s="337" t="s">
        <v>11</v>
      </c>
      <c r="F12" s="341"/>
      <c r="G12" s="335" t="s">
        <v>26</v>
      </c>
      <c r="H12" s="338">
        <v>0</v>
      </c>
      <c r="I12" s="338">
        <v>0</v>
      </c>
      <c r="J12" s="321">
        <v>0</v>
      </c>
      <c r="K12" s="338">
        <v>0</v>
      </c>
      <c r="L12" s="338">
        <v>0</v>
      </c>
      <c r="M12" s="338">
        <v>0</v>
      </c>
      <c r="N12" s="339">
        <v>0</v>
      </c>
      <c r="O12" s="339">
        <v>0</v>
      </c>
      <c r="P12" s="339">
        <v>0</v>
      </c>
      <c r="Q12" s="339">
        <v>0</v>
      </c>
      <c r="R12" s="339">
        <v>0</v>
      </c>
      <c r="S12" s="338">
        <v>0</v>
      </c>
      <c r="V12" s="332"/>
      <c r="W12" s="332"/>
      <c r="X12" s="332"/>
      <c r="Y12" s="332"/>
      <c r="Z12" s="332"/>
      <c r="AA12" s="332"/>
    </row>
    <row r="13" spans="1:27" ht="15" x14ac:dyDescent="0.25">
      <c r="A13" s="333"/>
      <c r="B13" s="311" t="s">
        <v>27</v>
      </c>
      <c r="C13" s="336" t="s">
        <v>28</v>
      </c>
      <c r="D13" s="336"/>
      <c r="E13" s="337" t="s">
        <v>11</v>
      </c>
      <c r="G13" s="335" t="s">
        <v>29</v>
      </c>
      <c r="H13" s="338">
        <v>630.26099999999997</v>
      </c>
      <c r="I13" s="338">
        <v>260.20699999999999</v>
      </c>
      <c r="J13" s="321">
        <v>0</v>
      </c>
      <c r="K13" s="338">
        <v>0</v>
      </c>
      <c r="L13" s="338">
        <v>0</v>
      </c>
      <c r="M13" s="338">
        <v>0</v>
      </c>
      <c r="N13" s="339">
        <v>0</v>
      </c>
      <c r="O13" s="339">
        <v>0</v>
      </c>
      <c r="P13" s="339">
        <v>0</v>
      </c>
      <c r="Q13" s="339">
        <v>0</v>
      </c>
      <c r="R13" s="339">
        <v>0</v>
      </c>
      <c r="S13" s="338">
        <v>0</v>
      </c>
      <c r="V13" s="332"/>
      <c r="W13" s="332"/>
      <c r="X13" s="332"/>
      <c r="Y13" s="332"/>
      <c r="Z13" s="332"/>
      <c r="AA13" s="332"/>
    </row>
    <row r="14" spans="1:27" ht="15" x14ac:dyDescent="0.25">
      <c r="A14" s="333"/>
      <c r="B14" s="311" t="s">
        <v>30</v>
      </c>
      <c r="C14" s="336">
        <v>154</v>
      </c>
      <c r="D14" s="336"/>
      <c r="E14" s="337" t="s">
        <v>11</v>
      </c>
      <c r="G14" s="335" t="s">
        <v>31</v>
      </c>
      <c r="H14" s="338">
        <v>0</v>
      </c>
      <c r="I14" s="338">
        <v>0</v>
      </c>
      <c r="J14" s="321">
        <v>0</v>
      </c>
      <c r="K14" s="338">
        <v>0</v>
      </c>
      <c r="L14" s="338">
        <v>0</v>
      </c>
      <c r="M14" s="338">
        <v>0</v>
      </c>
      <c r="N14" s="339">
        <v>0</v>
      </c>
      <c r="O14" s="339">
        <v>0</v>
      </c>
      <c r="P14" s="339">
        <v>0</v>
      </c>
      <c r="Q14" s="339">
        <v>0</v>
      </c>
      <c r="R14" s="339">
        <v>0</v>
      </c>
      <c r="S14" s="338">
        <v>0</v>
      </c>
      <c r="V14" s="332"/>
      <c r="W14" s="332"/>
      <c r="X14" s="332"/>
      <c r="Y14" s="332"/>
      <c r="Z14" s="332"/>
      <c r="AA14" s="332"/>
    </row>
    <row r="15" spans="1:27" ht="15" x14ac:dyDescent="0.25">
      <c r="A15" s="333"/>
      <c r="B15" s="311" t="s">
        <v>32</v>
      </c>
      <c r="C15" s="336" t="s">
        <v>33</v>
      </c>
      <c r="D15" s="336"/>
      <c r="E15" s="337" t="s">
        <v>11</v>
      </c>
      <c r="G15" s="335" t="s">
        <v>34</v>
      </c>
      <c r="H15" s="338">
        <v>2962.018</v>
      </c>
      <c r="I15" s="338">
        <v>3140.3319999999999</v>
      </c>
      <c r="J15" s="321">
        <v>3077.1729999999998</v>
      </c>
      <c r="K15" s="338">
        <v>3027.3710000000001</v>
      </c>
      <c r="L15" s="338">
        <v>3210.4560000000001</v>
      </c>
      <c r="M15" s="338">
        <v>4732.4514100000006</v>
      </c>
      <c r="N15" s="339">
        <v>4568</v>
      </c>
      <c r="O15" s="339">
        <v>4533</v>
      </c>
      <c r="P15" s="339">
        <v>4549</v>
      </c>
      <c r="Q15" s="339">
        <v>4445</v>
      </c>
      <c r="R15" s="339">
        <v>4241</v>
      </c>
      <c r="S15" s="338">
        <v>4037</v>
      </c>
      <c r="V15" s="332"/>
      <c r="W15" s="332"/>
      <c r="X15" s="332"/>
      <c r="Y15" s="332"/>
      <c r="Z15" s="332"/>
      <c r="AA15" s="332"/>
    </row>
    <row r="16" spans="1:27" ht="15" x14ac:dyDescent="0.25">
      <c r="A16" s="333"/>
      <c r="B16" s="311" t="s">
        <v>35</v>
      </c>
      <c r="C16" s="336">
        <v>157</v>
      </c>
      <c r="D16" s="336"/>
      <c r="E16" s="337" t="s">
        <v>11</v>
      </c>
      <c r="G16" s="335" t="s">
        <v>36</v>
      </c>
      <c r="H16" s="338">
        <v>0</v>
      </c>
      <c r="I16" s="338">
        <v>0</v>
      </c>
      <c r="J16" s="321">
        <v>0</v>
      </c>
      <c r="K16" s="338">
        <v>0</v>
      </c>
      <c r="L16" s="338">
        <v>0</v>
      </c>
      <c r="M16" s="338">
        <v>0</v>
      </c>
      <c r="N16" s="339">
        <v>0</v>
      </c>
      <c r="O16" s="339">
        <v>0</v>
      </c>
      <c r="P16" s="339">
        <v>0</v>
      </c>
      <c r="Q16" s="339">
        <v>0</v>
      </c>
      <c r="R16" s="339">
        <v>0</v>
      </c>
      <c r="S16" s="338">
        <v>0</v>
      </c>
      <c r="V16" s="332"/>
      <c r="W16" s="332"/>
      <c r="X16" s="332"/>
      <c r="Y16" s="332"/>
      <c r="Z16" s="332"/>
      <c r="AA16" s="332"/>
    </row>
    <row r="17" spans="1:27" ht="15" x14ac:dyDescent="0.25">
      <c r="A17" s="344"/>
      <c r="B17" s="311" t="s">
        <v>37</v>
      </c>
      <c r="C17" s="345" t="s">
        <v>38</v>
      </c>
      <c r="D17" s="344"/>
      <c r="E17" s="337" t="s">
        <v>11</v>
      </c>
      <c r="F17" s="346"/>
      <c r="G17" s="347" t="s">
        <v>39</v>
      </c>
      <c r="H17" s="348">
        <v>0</v>
      </c>
      <c r="I17" s="348">
        <v>0</v>
      </c>
      <c r="J17" s="349">
        <v>0</v>
      </c>
      <c r="K17" s="348">
        <v>0</v>
      </c>
      <c r="L17" s="348">
        <v>0</v>
      </c>
      <c r="M17" s="348">
        <v>0</v>
      </c>
      <c r="N17" s="350">
        <v>0</v>
      </c>
      <c r="O17" s="350">
        <v>0</v>
      </c>
      <c r="P17" s="350">
        <v>0</v>
      </c>
      <c r="Q17" s="350">
        <v>0</v>
      </c>
      <c r="R17" s="350">
        <v>0</v>
      </c>
      <c r="S17" s="348">
        <v>0</v>
      </c>
      <c r="V17" s="332"/>
      <c r="W17" s="332"/>
      <c r="X17" s="332"/>
      <c r="Y17" s="332"/>
      <c r="Z17" s="332"/>
      <c r="AA17" s="332"/>
    </row>
    <row r="18" spans="1:27" ht="15" x14ac:dyDescent="0.25">
      <c r="A18" s="333"/>
      <c r="B18" s="311" t="s">
        <v>40</v>
      </c>
      <c r="C18" s="336">
        <v>2</v>
      </c>
      <c r="D18" s="336"/>
      <c r="E18" s="340"/>
      <c r="G18" s="335" t="s">
        <v>41</v>
      </c>
      <c r="H18" s="331">
        <f t="shared" ref="H18:S18" si="3">H19+H27</f>
        <v>4450.4989999999998</v>
      </c>
      <c r="I18" s="331">
        <f t="shared" si="3"/>
        <v>4428.1390000000001</v>
      </c>
      <c r="J18" s="331">
        <f t="shared" si="3"/>
        <v>3991.8209999999999</v>
      </c>
      <c r="K18" s="331">
        <f t="shared" si="3"/>
        <v>3826.087</v>
      </c>
      <c r="L18" s="331">
        <f t="shared" si="3"/>
        <v>5359.4890000000005</v>
      </c>
      <c r="M18" s="331">
        <f t="shared" si="3"/>
        <v>6271.0988299999999</v>
      </c>
      <c r="N18" s="331">
        <f t="shared" si="3"/>
        <v>6424</v>
      </c>
      <c r="O18" s="343">
        <f t="shared" si="3"/>
        <v>6332</v>
      </c>
      <c r="P18" s="343">
        <f t="shared" si="3"/>
        <v>6349</v>
      </c>
      <c r="Q18" s="343">
        <f t="shared" si="3"/>
        <v>6245</v>
      </c>
      <c r="R18" s="343">
        <f t="shared" si="3"/>
        <v>6321</v>
      </c>
      <c r="S18" s="331">
        <f t="shared" si="3"/>
        <v>6221</v>
      </c>
      <c r="V18" s="332"/>
      <c r="W18" s="332"/>
      <c r="X18" s="332"/>
      <c r="Y18" s="332"/>
      <c r="Z18" s="332"/>
      <c r="AA18" s="332"/>
    </row>
    <row r="19" spans="1:27" ht="15" x14ac:dyDescent="0.25">
      <c r="A19" s="333"/>
      <c r="B19" s="311" t="s">
        <v>42</v>
      </c>
      <c r="C19" s="336" t="s">
        <v>43</v>
      </c>
      <c r="D19" s="336"/>
      <c r="E19" s="340"/>
      <c r="G19" s="335" t="s">
        <v>44</v>
      </c>
      <c r="H19" s="331">
        <f t="shared" ref="H19:S19" si="4">SUM(H21:H26)</f>
        <v>1127.4949999999999</v>
      </c>
      <c r="I19" s="331">
        <f t="shared" si="4"/>
        <v>867.88499999999999</v>
      </c>
      <c r="J19" s="331">
        <f t="shared" si="4"/>
        <v>551.5</v>
      </c>
      <c r="K19" s="331">
        <f t="shared" si="4"/>
        <v>334.11199999999997</v>
      </c>
      <c r="L19" s="331">
        <f t="shared" si="4"/>
        <v>1296.367</v>
      </c>
      <c r="M19" s="331">
        <f t="shared" si="4"/>
        <v>343.58100000000002</v>
      </c>
      <c r="N19" s="343">
        <f t="shared" si="4"/>
        <v>405</v>
      </c>
      <c r="O19" s="343">
        <f t="shared" si="4"/>
        <v>313</v>
      </c>
      <c r="P19" s="343">
        <f t="shared" si="4"/>
        <v>330</v>
      </c>
      <c r="Q19" s="343">
        <f t="shared" si="4"/>
        <v>226</v>
      </c>
      <c r="R19" s="343">
        <f t="shared" si="4"/>
        <v>302</v>
      </c>
      <c r="S19" s="331">
        <f t="shared" si="4"/>
        <v>202</v>
      </c>
      <c r="V19" s="332"/>
      <c r="W19" s="332"/>
      <c r="X19" s="332"/>
      <c r="Y19" s="332"/>
      <c r="Z19" s="332"/>
      <c r="AA19" s="332"/>
    </row>
    <row r="20" spans="1:27" ht="15" x14ac:dyDescent="0.25">
      <c r="A20" s="351"/>
      <c r="B20" s="311" t="s">
        <v>45</v>
      </c>
      <c r="C20" s="345" t="s">
        <v>46</v>
      </c>
      <c r="D20" s="344"/>
      <c r="E20" s="337" t="s">
        <v>11</v>
      </c>
      <c r="F20" s="351"/>
      <c r="G20" s="347" t="s">
        <v>47</v>
      </c>
      <c r="H20" s="352">
        <v>556.45699999999999</v>
      </c>
      <c r="I20" s="352">
        <v>607.67700000000002</v>
      </c>
      <c r="J20" s="353">
        <v>551.5</v>
      </c>
      <c r="K20" s="352">
        <v>334.11200000000002</v>
      </c>
      <c r="L20" s="352">
        <v>1296.367</v>
      </c>
      <c r="M20" s="352">
        <v>343.58100000000002</v>
      </c>
      <c r="N20" s="354">
        <v>0</v>
      </c>
      <c r="O20" s="354">
        <v>0</v>
      </c>
      <c r="P20" s="354">
        <v>0</v>
      </c>
      <c r="Q20" s="354">
        <v>0</v>
      </c>
      <c r="R20" s="354">
        <v>0</v>
      </c>
      <c r="S20" s="352">
        <v>0</v>
      </c>
      <c r="V20" s="332"/>
      <c r="W20" s="332"/>
      <c r="X20" s="332"/>
      <c r="Y20" s="332"/>
      <c r="Z20" s="332"/>
      <c r="AA20" s="332"/>
    </row>
    <row r="21" spans="1:27" ht="15" x14ac:dyDescent="0.25">
      <c r="A21" s="333"/>
      <c r="B21" s="311" t="s">
        <v>48</v>
      </c>
      <c r="C21" s="355" t="s">
        <v>49</v>
      </c>
      <c r="D21" s="355"/>
      <c r="E21" s="337" t="s">
        <v>11</v>
      </c>
      <c r="G21" s="335" t="s">
        <v>50</v>
      </c>
      <c r="H21" s="338">
        <v>249.94899999999998</v>
      </c>
      <c r="I21" s="338">
        <v>291.08699999999999</v>
      </c>
      <c r="J21" s="321">
        <v>291.33499999999998</v>
      </c>
      <c r="K21" s="338">
        <v>334.11199999999997</v>
      </c>
      <c r="L21" s="338">
        <v>1296.367</v>
      </c>
      <c r="M21" s="338">
        <v>343.58100000000002</v>
      </c>
      <c r="N21" s="339">
        <v>405</v>
      </c>
      <c r="O21" s="339">
        <v>313</v>
      </c>
      <c r="P21" s="339">
        <v>330</v>
      </c>
      <c r="Q21" s="339">
        <v>226</v>
      </c>
      <c r="R21" s="339">
        <v>302</v>
      </c>
      <c r="S21" s="338">
        <v>202</v>
      </c>
      <c r="V21" s="332"/>
      <c r="W21" s="332"/>
      <c r="X21" s="332"/>
      <c r="Y21" s="332"/>
      <c r="Z21" s="332"/>
      <c r="AA21" s="332"/>
    </row>
    <row r="22" spans="1:27" ht="15" x14ac:dyDescent="0.25">
      <c r="A22" s="333"/>
      <c r="B22" s="311" t="s">
        <v>51</v>
      </c>
      <c r="C22" s="336" t="s">
        <v>52</v>
      </c>
      <c r="D22" s="336"/>
      <c r="E22" s="337" t="s">
        <v>11</v>
      </c>
      <c r="G22" s="335" t="s">
        <v>53</v>
      </c>
      <c r="H22" s="338">
        <v>7.65</v>
      </c>
      <c r="I22" s="338">
        <v>7.98</v>
      </c>
      <c r="J22" s="321">
        <v>0</v>
      </c>
      <c r="K22" s="338">
        <v>0</v>
      </c>
      <c r="L22" s="338">
        <v>0</v>
      </c>
      <c r="M22" s="338">
        <v>0</v>
      </c>
      <c r="N22" s="339">
        <v>0</v>
      </c>
      <c r="O22" s="339">
        <v>0</v>
      </c>
      <c r="P22" s="339">
        <v>0</v>
      </c>
      <c r="Q22" s="339">
        <v>0</v>
      </c>
      <c r="R22" s="339">
        <v>0</v>
      </c>
      <c r="S22" s="338">
        <v>0</v>
      </c>
      <c r="V22" s="332"/>
      <c r="W22" s="332"/>
      <c r="X22" s="332"/>
      <c r="Y22" s="332"/>
      <c r="Z22" s="332"/>
      <c r="AA22" s="332"/>
    </row>
    <row r="23" spans="1:27" ht="15" x14ac:dyDescent="0.25">
      <c r="A23" s="333"/>
      <c r="B23" s="311" t="s">
        <v>54</v>
      </c>
      <c r="C23" s="336">
        <v>257</v>
      </c>
      <c r="D23" s="336"/>
      <c r="E23" s="337" t="s">
        <v>11</v>
      </c>
      <c r="G23" s="335" t="s">
        <v>55</v>
      </c>
      <c r="H23" s="338">
        <v>0</v>
      </c>
      <c r="I23" s="338">
        <v>0</v>
      </c>
      <c r="J23" s="321">
        <v>0</v>
      </c>
      <c r="K23" s="338">
        <v>0</v>
      </c>
      <c r="L23" s="338">
        <v>0</v>
      </c>
      <c r="M23" s="338">
        <v>0</v>
      </c>
      <c r="N23" s="339">
        <v>0</v>
      </c>
      <c r="O23" s="339">
        <v>0</v>
      </c>
      <c r="P23" s="339">
        <v>0</v>
      </c>
      <c r="Q23" s="339">
        <v>0</v>
      </c>
      <c r="R23" s="339">
        <v>0</v>
      </c>
      <c r="S23" s="338">
        <v>0</v>
      </c>
      <c r="V23" s="332"/>
      <c r="W23" s="332"/>
      <c r="X23" s="332"/>
      <c r="Y23" s="332"/>
      <c r="Z23" s="332"/>
      <c r="AA23" s="332"/>
    </row>
    <row r="24" spans="1:27" ht="15" x14ac:dyDescent="0.25">
      <c r="A24" s="356"/>
      <c r="B24" s="311" t="s">
        <v>56</v>
      </c>
      <c r="C24" s="336" t="s">
        <v>57</v>
      </c>
      <c r="D24" s="336"/>
      <c r="E24" s="337" t="s">
        <v>11</v>
      </c>
      <c r="F24" s="356"/>
      <c r="G24" s="335" t="s">
        <v>58</v>
      </c>
      <c r="H24" s="338">
        <v>869.89599999999996</v>
      </c>
      <c r="I24" s="338">
        <v>568.81799999999998</v>
      </c>
      <c r="J24" s="321">
        <v>260.16500000000002</v>
      </c>
      <c r="K24" s="338">
        <v>0</v>
      </c>
      <c r="L24" s="338">
        <v>0</v>
      </c>
      <c r="M24" s="338">
        <v>0</v>
      </c>
      <c r="N24" s="339">
        <v>0</v>
      </c>
      <c r="O24" s="339">
        <v>0</v>
      </c>
      <c r="P24" s="339">
        <v>0</v>
      </c>
      <c r="Q24" s="339">
        <v>0</v>
      </c>
      <c r="R24" s="339">
        <v>0</v>
      </c>
      <c r="S24" s="338">
        <v>0</v>
      </c>
      <c r="V24" s="332"/>
      <c r="W24" s="332"/>
      <c r="X24" s="332"/>
      <c r="Y24" s="332"/>
      <c r="Z24" s="332"/>
      <c r="AA24" s="332"/>
    </row>
    <row r="25" spans="1:27" ht="15" x14ac:dyDescent="0.25">
      <c r="A25" s="356"/>
      <c r="B25" s="311" t="s">
        <v>59</v>
      </c>
      <c r="C25" s="336" t="s">
        <v>60</v>
      </c>
      <c r="D25" s="336"/>
      <c r="E25" s="337" t="s">
        <v>11</v>
      </c>
      <c r="F25" s="356"/>
      <c r="G25" s="335" t="s">
        <v>61</v>
      </c>
      <c r="H25" s="338">
        <v>0</v>
      </c>
      <c r="I25" s="338">
        <v>0</v>
      </c>
      <c r="J25" s="321">
        <v>0</v>
      </c>
      <c r="K25" s="338">
        <v>0</v>
      </c>
      <c r="L25" s="338">
        <v>0</v>
      </c>
      <c r="M25" s="338">
        <v>0</v>
      </c>
      <c r="N25" s="339">
        <v>0</v>
      </c>
      <c r="O25" s="339">
        <v>0</v>
      </c>
      <c r="P25" s="339">
        <v>0</v>
      </c>
      <c r="Q25" s="339">
        <v>0</v>
      </c>
      <c r="R25" s="339">
        <v>0</v>
      </c>
      <c r="S25" s="338">
        <v>0</v>
      </c>
      <c r="V25" s="332"/>
      <c r="W25" s="332"/>
      <c r="X25" s="332"/>
      <c r="Y25" s="332"/>
      <c r="Z25" s="332"/>
      <c r="AA25" s="332"/>
    </row>
    <row r="26" spans="1:27" ht="15" x14ac:dyDescent="0.25">
      <c r="A26" s="333"/>
      <c r="B26" s="311" t="s">
        <v>62</v>
      </c>
      <c r="C26" s="336">
        <v>28</v>
      </c>
      <c r="D26" s="336"/>
      <c r="E26" s="337" t="s">
        <v>11</v>
      </c>
      <c r="G26" s="335" t="s">
        <v>63</v>
      </c>
      <c r="H26" s="338">
        <v>0</v>
      </c>
      <c r="I26" s="338">
        <v>0</v>
      </c>
      <c r="J26" s="321">
        <v>0</v>
      </c>
      <c r="K26" s="338">
        <v>0</v>
      </c>
      <c r="L26" s="338">
        <v>0</v>
      </c>
      <c r="M26" s="338">
        <v>0</v>
      </c>
      <c r="N26" s="339">
        <v>0</v>
      </c>
      <c r="O26" s="339">
        <v>0</v>
      </c>
      <c r="P26" s="339">
        <v>0</v>
      </c>
      <c r="Q26" s="339">
        <v>0</v>
      </c>
      <c r="R26" s="339">
        <v>0</v>
      </c>
      <c r="S26" s="338">
        <v>0</v>
      </c>
      <c r="V26" s="332"/>
      <c r="W26" s="332"/>
      <c r="X26" s="332"/>
      <c r="Y26" s="332"/>
      <c r="Z26" s="332"/>
      <c r="AA26" s="332"/>
    </row>
    <row r="27" spans="1:27" ht="15" x14ac:dyDescent="0.25">
      <c r="A27" s="333"/>
      <c r="B27" s="311" t="s">
        <v>64</v>
      </c>
      <c r="C27" s="336">
        <v>29</v>
      </c>
      <c r="D27" s="336"/>
      <c r="E27" s="340"/>
      <c r="G27" s="335" t="s">
        <v>65</v>
      </c>
      <c r="H27" s="331">
        <f t="shared" ref="H27:S27" si="5">SUM(H28:H30)</f>
        <v>3323.0039999999999</v>
      </c>
      <c r="I27" s="331">
        <f t="shared" si="5"/>
        <v>3560.2539999999999</v>
      </c>
      <c r="J27" s="331">
        <f t="shared" si="5"/>
        <v>3440.3209999999999</v>
      </c>
      <c r="K27" s="331">
        <f t="shared" si="5"/>
        <v>3491.9749999999999</v>
      </c>
      <c r="L27" s="331">
        <f t="shared" si="5"/>
        <v>4063.1220000000003</v>
      </c>
      <c r="M27" s="331">
        <f t="shared" si="5"/>
        <v>5927.5178299999998</v>
      </c>
      <c r="N27" s="343">
        <f t="shared" si="5"/>
        <v>6019</v>
      </c>
      <c r="O27" s="343">
        <f t="shared" si="5"/>
        <v>6019</v>
      </c>
      <c r="P27" s="343">
        <f t="shared" si="5"/>
        <v>6019</v>
      </c>
      <c r="Q27" s="343">
        <f t="shared" si="5"/>
        <v>6019</v>
      </c>
      <c r="R27" s="343">
        <f t="shared" si="5"/>
        <v>6019</v>
      </c>
      <c r="S27" s="331">
        <f t="shared" si="5"/>
        <v>6019</v>
      </c>
      <c r="V27" s="332"/>
      <c r="W27" s="332"/>
      <c r="X27" s="332"/>
      <c r="Y27" s="332"/>
      <c r="Z27" s="332"/>
      <c r="AA27" s="332"/>
    </row>
    <row r="28" spans="1:27" ht="15" x14ac:dyDescent="0.25">
      <c r="A28" s="333"/>
      <c r="B28" s="311" t="s">
        <v>66</v>
      </c>
      <c r="C28" s="333" t="s">
        <v>67</v>
      </c>
      <c r="D28" s="333"/>
      <c r="E28" s="337" t="s">
        <v>11</v>
      </c>
      <c r="G28" s="335" t="s">
        <v>68</v>
      </c>
      <c r="H28" s="338">
        <v>678.23299999999995</v>
      </c>
      <c r="I28" s="338">
        <v>678.23299999999995</v>
      </c>
      <c r="J28" s="321">
        <v>678.23299999999995</v>
      </c>
      <c r="K28" s="338">
        <v>678.23299999999995</v>
      </c>
      <c r="L28" s="338">
        <v>678.23299999999995</v>
      </c>
      <c r="M28" s="338">
        <v>678.23309999999992</v>
      </c>
      <c r="N28" s="339">
        <v>678</v>
      </c>
      <c r="O28" s="339">
        <v>678</v>
      </c>
      <c r="P28" s="339">
        <v>678</v>
      </c>
      <c r="Q28" s="339">
        <v>678</v>
      </c>
      <c r="R28" s="339">
        <v>678</v>
      </c>
      <c r="S28" s="338">
        <v>678</v>
      </c>
      <c r="V28" s="332"/>
      <c r="W28" s="332"/>
      <c r="X28" s="332"/>
      <c r="Y28" s="332"/>
      <c r="Z28" s="332"/>
      <c r="AA28" s="332"/>
    </row>
    <row r="29" spans="1:27" ht="15" x14ac:dyDescent="0.25">
      <c r="A29" s="333"/>
      <c r="B29" s="311" t="s">
        <v>69</v>
      </c>
      <c r="C29" s="336">
        <v>298</v>
      </c>
      <c r="D29" s="336"/>
      <c r="E29" s="337" t="s">
        <v>11</v>
      </c>
      <c r="G29" s="335" t="s">
        <v>70</v>
      </c>
      <c r="H29" s="338">
        <v>2693.038</v>
      </c>
      <c r="I29" s="338">
        <v>2644.7710000000002</v>
      </c>
      <c r="J29" s="321">
        <v>2882.0210000000002</v>
      </c>
      <c r="K29" s="338">
        <v>2762.0880000000002</v>
      </c>
      <c r="L29" s="338">
        <v>2813.7420000000002</v>
      </c>
      <c r="M29" s="338">
        <v>3384.8887300000001</v>
      </c>
      <c r="N29" s="339">
        <v>5249</v>
      </c>
      <c r="O29" s="339">
        <v>5341</v>
      </c>
      <c r="P29" s="339">
        <v>5341</v>
      </c>
      <c r="Q29" s="339">
        <v>5341</v>
      </c>
      <c r="R29" s="339">
        <v>5341</v>
      </c>
      <c r="S29" s="338">
        <v>5341</v>
      </c>
      <c r="V29" s="332"/>
      <c r="W29" s="332"/>
      <c r="X29" s="332"/>
      <c r="Y29" s="332"/>
      <c r="Z29" s="332"/>
      <c r="AA29" s="332"/>
    </row>
    <row r="30" spans="1:27" ht="15" x14ac:dyDescent="0.25">
      <c r="A30" s="333"/>
      <c r="B30" s="311" t="s">
        <v>71</v>
      </c>
      <c r="C30" s="336">
        <v>299</v>
      </c>
      <c r="D30" s="336"/>
      <c r="E30" s="337" t="s">
        <v>479</v>
      </c>
      <c r="G30" s="335" t="s">
        <v>73</v>
      </c>
      <c r="H30" s="338">
        <v>-48.267000000000003</v>
      </c>
      <c r="I30" s="338">
        <v>237.25</v>
      </c>
      <c r="J30" s="321">
        <v>-119.93300000000001</v>
      </c>
      <c r="K30" s="338">
        <v>51.654000000000003</v>
      </c>
      <c r="L30" s="338">
        <v>571.14700000000005</v>
      </c>
      <c r="M30" s="338">
        <v>1864.396</v>
      </c>
      <c r="N30" s="339">
        <v>92</v>
      </c>
      <c r="O30" s="339">
        <v>0</v>
      </c>
      <c r="P30" s="339">
        <v>0</v>
      </c>
      <c r="Q30" s="339">
        <v>0</v>
      </c>
      <c r="R30" s="339">
        <v>0</v>
      </c>
      <c r="S30" s="338">
        <v>0</v>
      </c>
      <c r="V30" s="332"/>
      <c r="W30" s="332"/>
      <c r="X30" s="332"/>
      <c r="Y30" s="332"/>
      <c r="Z30" s="332"/>
      <c r="AA30" s="332"/>
    </row>
    <row r="31" spans="1:27" ht="15" x14ac:dyDescent="0.25">
      <c r="A31" s="357"/>
      <c r="B31" s="311" t="s">
        <v>368</v>
      </c>
      <c r="C31" s="358" t="s">
        <v>369</v>
      </c>
      <c r="D31" s="359"/>
      <c r="E31" s="360"/>
      <c r="F31" s="357"/>
      <c r="G31" s="361" t="s">
        <v>74</v>
      </c>
      <c r="H31" s="362">
        <f t="shared" ref="H31:S31" si="6">H4-H18</f>
        <v>1.0000000002037268E-3</v>
      </c>
      <c r="I31" s="362">
        <f t="shared" si="6"/>
        <v>-1.0000000002037268E-3</v>
      </c>
      <c r="J31" s="362">
        <f t="shared" si="6"/>
        <v>9.9999999974897946E-4</v>
      </c>
      <c r="K31" s="362">
        <f t="shared" si="6"/>
        <v>1.0000000002037268E-3</v>
      </c>
      <c r="L31" s="362">
        <f t="shared" si="6"/>
        <v>-1.0000000002037268E-3</v>
      </c>
      <c r="M31" s="362">
        <f t="shared" si="6"/>
        <v>7.2000000091065885E-4</v>
      </c>
      <c r="N31" s="363">
        <f t="shared" si="6"/>
        <v>0</v>
      </c>
      <c r="O31" s="363">
        <f t="shared" si="6"/>
        <v>0</v>
      </c>
      <c r="P31" s="363">
        <f t="shared" si="6"/>
        <v>0</v>
      </c>
      <c r="Q31" s="363">
        <f t="shared" si="6"/>
        <v>0</v>
      </c>
      <c r="R31" s="363">
        <f t="shared" si="6"/>
        <v>0</v>
      </c>
      <c r="S31" s="362">
        <f t="shared" si="6"/>
        <v>0</v>
      </c>
      <c r="V31" s="332"/>
      <c r="W31" s="332"/>
      <c r="X31" s="332"/>
      <c r="Y31" s="332"/>
      <c r="Z31" s="332"/>
      <c r="AA31" s="332"/>
    </row>
    <row r="32" spans="1:27" ht="15" x14ac:dyDescent="0.25">
      <c r="A32" s="333"/>
      <c r="B32" s="311"/>
      <c r="C32" s="336"/>
      <c r="D32" s="336"/>
      <c r="E32" s="334"/>
      <c r="G32" s="325" t="s">
        <v>75</v>
      </c>
      <c r="H32" s="364">
        <v>2011</v>
      </c>
      <c r="I32" s="364">
        <v>2012</v>
      </c>
      <c r="J32" s="365">
        <v>2013</v>
      </c>
      <c r="K32" s="364">
        <v>2014</v>
      </c>
      <c r="L32" s="364">
        <v>2015</v>
      </c>
      <c r="M32" s="364">
        <v>2016</v>
      </c>
      <c r="N32" s="366">
        <f>M32+1</f>
        <v>2017</v>
      </c>
      <c r="O32" s="366">
        <f>N32+1</f>
        <v>2018</v>
      </c>
      <c r="P32" s="366">
        <f>O32+1</f>
        <v>2019</v>
      </c>
      <c r="Q32" s="366">
        <f>P32+1</f>
        <v>2020</v>
      </c>
      <c r="R32" s="366">
        <f>Q32+1</f>
        <v>2021</v>
      </c>
      <c r="S32" s="364">
        <v>2022</v>
      </c>
      <c r="V32" s="367"/>
      <c r="W32" s="367"/>
      <c r="X32" s="367"/>
      <c r="Y32" s="367"/>
      <c r="Z32" s="367"/>
      <c r="AA32" s="367"/>
    </row>
    <row r="33" spans="1:27" ht="15" x14ac:dyDescent="0.25">
      <c r="A33" s="333"/>
      <c r="B33" s="311" t="s">
        <v>76</v>
      </c>
      <c r="C33" s="336">
        <v>3</v>
      </c>
      <c r="D33" s="336"/>
      <c r="E33" s="334"/>
      <c r="G33" s="330" t="s">
        <v>77</v>
      </c>
      <c r="H33" s="331">
        <f t="shared" ref="H33:S33" si="7">SUM(H34:H37)</f>
        <v>1729.027</v>
      </c>
      <c r="I33" s="331">
        <f t="shared" si="7"/>
        <v>2345.212</v>
      </c>
      <c r="J33" s="331">
        <f t="shared" si="7"/>
        <v>2017.9409999999998</v>
      </c>
      <c r="K33" s="331">
        <f t="shared" si="7"/>
        <v>2348.7240000000002</v>
      </c>
      <c r="L33" s="331">
        <f t="shared" si="7"/>
        <v>2786.97</v>
      </c>
      <c r="M33" s="331">
        <f t="shared" si="7"/>
        <v>4814.4741199999999</v>
      </c>
      <c r="N33" s="343">
        <f t="shared" si="7"/>
        <v>2802</v>
      </c>
      <c r="O33" s="343">
        <f t="shared" si="7"/>
        <v>3265</v>
      </c>
      <c r="P33" s="343">
        <f t="shared" si="7"/>
        <v>4027.61</v>
      </c>
      <c r="Q33" s="343">
        <f t="shared" si="7"/>
        <v>4317.3783000000003</v>
      </c>
      <c r="R33" s="343">
        <f t="shared" si="7"/>
        <v>4130.3396489999996</v>
      </c>
      <c r="S33" s="331">
        <f t="shared" si="7"/>
        <v>4223.52983847</v>
      </c>
      <c r="V33" s="332"/>
      <c r="W33" s="332"/>
      <c r="X33" s="332"/>
      <c r="Y33" s="332"/>
      <c r="Z33" s="332"/>
      <c r="AA33" s="332"/>
    </row>
    <row r="34" spans="1:27" ht="15" x14ac:dyDescent="0.25">
      <c r="A34" s="333"/>
      <c r="B34" s="311" t="s">
        <v>78</v>
      </c>
      <c r="C34" s="336">
        <v>30</v>
      </c>
      <c r="D34" s="336"/>
      <c r="E34" s="337" t="s">
        <v>11</v>
      </c>
      <c r="G34" s="335" t="s">
        <v>79</v>
      </c>
      <c r="H34" s="338">
        <v>0</v>
      </c>
      <c r="I34" s="338">
        <v>0</v>
      </c>
      <c r="J34" s="321">
        <v>0</v>
      </c>
      <c r="K34" s="338">
        <v>0</v>
      </c>
      <c r="L34" s="338">
        <v>0</v>
      </c>
      <c r="M34" s="338">
        <v>0</v>
      </c>
      <c r="N34" s="339">
        <v>0</v>
      </c>
      <c r="O34" s="339">
        <v>0</v>
      </c>
      <c r="P34" s="339">
        <v>0</v>
      </c>
      <c r="Q34" s="339">
        <v>0</v>
      </c>
      <c r="R34" s="339">
        <v>0</v>
      </c>
      <c r="S34" s="338">
        <v>0</v>
      </c>
      <c r="V34" s="332"/>
      <c r="W34" s="332"/>
      <c r="X34" s="332"/>
      <c r="Y34" s="332"/>
      <c r="Z34" s="332"/>
      <c r="AA34" s="332"/>
    </row>
    <row r="35" spans="1:27" ht="15" x14ac:dyDescent="0.25">
      <c r="A35" s="333"/>
      <c r="B35" s="311" t="s">
        <v>80</v>
      </c>
      <c r="C35" s="336">
        <v>32</v>
      </c>
      <c r="D35" s="336"/>
      <c r="E35" s="337" t="s">
        <v>11</v>
      </c>
      <c r="G35" s="335" t="s">
        <v>81</v>
      </c>
      <c r="H35" s="338">
        <v>732.75900000000001</v>
      </c>
      <c r="I35" s="338">
        <v>885.71600000000001</v>
      </c>
      <c r="J35" s="321">
        <v>856.49400000000003</v>
      </c>
      <c r="K35" s="338">
        <v>940.27499999999998</v>
      </c>
      <c r="L35" s="338">
        <v>1066.6120000000001</v>
      </c>
      <c r="M35" s="338">
        <v>1295.9000000000001</v>
      </c>
      <c r="N35" s="339">
        <v>1399</v>
      </c>
      <c r="O35" s="339">
        <v>1287</v>
      </c>
      <c r="P35" s="339">
        <f>+O35*1.03</f>
        <v>1325.6100000000001</v>
      </c>
      <c r="Q35" s="339">
        <f>+P35*1.03</f>
        <v>1365.3783000000001</v>
      </c>
      <c r="R35" s="339">
        <f>+Q35*1.03</f>
        <v>1406.339649</v>
      </c>
      <c r="S35" s="338">
        <f>+R35*1.03</f>
        <v>1448.52983847</v>
      </c>
      <c r="V35" s="332"/>
      <c r="W35" s="332"/>
      <c r="X35" s="332"/>
      <c r="Y35" s="332"/>
      <c r="Z35" s="332"/>
      <c r="AA35" s="332"/>
    </row>
    <row r="36" spans="1:27" ht="15" x14ac:dyDescent="0.25">
      <c r="A36" s="341"/>
      <c r="B36" s="311" t="s">
        <v>82</v>
      </c>
      <c r="C36" s="336">
        <v>35</v>
      </c>
      <c r="D36" s="336"/>
      <c r="E36" s="337" t="s">
        <v>11</v>
      </c>
      <c r="F36" s="341"/>
      <c r="G36" s="335" t="s">
        <v>83</v>
      </c>
      <c r="H36" s="338">
        <v>996.26800000000003</v>
      </c>
      <c r="I36" s="338">
        <v>1476.682</v>
      </c>
      <c r="J36" s="321">
        <v>1161.3</v>
      </c>
      <c r="K36" s="338">
        <v>1408.4490000000001</v>
      </c>
      <c r="L36" s="338">
        <v>1492.7449999999999</v>
      </c>
      <c r="M36" s="338">
        <v>3512.3760000000002</v>
      </c>
      <c r="N36" s="339">
        <v>1395</v>
      </c>
      <c r="O36" s="339">
        <f>1636+247</f>
        <v>1883</v>
      </c>
      <c r="P36" s="339">
        <v>2498</v>
      </c>
      <c r="Q36" s="339">
        <f>2498+250</f>
        <v>2748</v>
      </c>
      <c r="R36" s="339">
        <v>2520</v>
      </c>
      <c r="S36" s="338">
        <v>2571</v>
      </c>
      <c r="V36" s="332"/>
      <c r="W36" s="332"/>
      <c r="X36" s="332"/>
      <c r="Y36" s="332"/>
      <c r="Z36" s="332"/>
      <c r="AA36" s="332"/>
    </row>
    <row r="37" spans="1:27" ht="15" x14ac:dyDescent="0.25">
      <c r="A37" s="333"/>
      <c r="B37" s="311" t="s">
        <v>84</v>
      </c>
      <c r="C37" s="336">
        <v>38</v>
      </c>
      <c r="D37" s="336"/>
      <c r="E37" s="337" t="s">
        <v>479</v>
      </c>
      <c r="G37" s="335" t="s">
        <v>85</v>
      </c>
      <c r="H37" s="338">
        <v>0</v>
      </c>
      <c r="I37" s="338">
        <v>-17.186</v>
      </c>
      <c r="J37" s="321">
        <v>0.14699999999999999</v>
      </c>
      <c r="K37" s="338">
        <v>0</v>
      </c>
      <c r="L37" s="338">
        <v>227.613</v>
      </c>
      <c r="M37" s="338">
        <v>6.1981200000000003</v>
      </c>
      <c r="N37" s="339">
        <v>8</v>
      </c>
      <c r="O37" s="339">
        <v>95</v>
      </c>
      <c r="P37" s="339">
        <v>204</v>
      </c>
      <c r="Q37" s="339">
        <v>204</v>
      </c>
      <c r="R37" s="339">
        <v>204</v>
      </c>
      <c r="S37" s="338">
        <v>204</v>
      </c>
      <c r="V37" s="332"/>
      <c r="W37" s="332"/>
      <c r="X37" s="332"/>
      <c r="Y37" s="332"/>
      <c r="Z37" s="332"/>
      <c r="AA37" s="332"/>
    </row>
    <row r="38" spans="1:27" ht="15" x14ac:dyDescent="0.25">
      <c r="A38" s="333"/>
      <c r="B38" s="311" t="s">
        <v>86</v>
      </c>
      <c r="C38" s="336">
        <v>4</v>
      </c>
      <c r="D38" s="336"/>
      <c r="E38" s="368"/>
      <c r="G38" s="335" t="s">
        <v>87</v>
      </c>
      <c r="H38" s="331">
        <f t="shared" ref="H38:S38" si="8">H39+H40</f>
        <v>0</v>
      </c>
      <c r="I38" s="331">
        <f t="shared" si="8"/>
        <v>0</v>
      </c>
      <c r="J38" s="331">
        <f t="shared" si="8"/>
        <v>0</v>
      </c>
      <c r="K38" s="331">
        <f t="shared" si="8"/>
        <v>-0.76100000000000001</v>
      </c>
      <c r="L38" s="331">
        <f t="shared" si="8"/>
        <v>0</v>
      </c>
      <c r="M38" s="331">
        <f t="shared" si="8"/>
        <v>0</v>
      </c>
      <c r="N38" s="343">
        <f t="shared" si="8"/>
        <v>0</v>
      </c>
      <c r="O38" s="343">
        <f t="shared" si="8"/>
        <v>0</v>
      </c>
      <c r="P38" s="343">
        <f t="shared" si="8"/>
        <v>0</v>
      </c>
      <c r="Q38" s="343">
        <f t="shared" si="8"/>
        <v>0</v>
      </c>
      <c r="R38" s="343">
        <f t="shared" si="8"/>
        <v>0</v>
      </c>
      <c r="S38" s="331">
        <f t="shared" si="8"/>
        <v>0</v>
      </c>
      <c r="V38" s="332"/>
      <c r="W38" s="332"/>
      <c r="X38" s="332"/>
      <c r="Y38" s="332"/>
      <c r="Z38" s="332"/>
      <c r="AA38" s="332"/>
    </row>
    <row r="39" spans="1:27" ht="15" x14ac:dyDescent="0.25">
      <c r="A39" s="333"/>
      <c r="B39" s="311" t="s">
        <v>88</v>
      </c>
      <c r="C39" s="336">
        <v>41</v>
      </c>
      <c r="D39" s="336"/>
      <c r="E39" s="337" t="s">
        <v>480</v>
      </c>
      <c r="G39" s="335" t="s">
        <v>90</v>
      </c>
      <c r="H39" s="338">
        <v>0</v>
      </c>
      <c r="I39" s="338">
        <v>0</v>
      </c>
      <c r="J39" s="321">
        <v>0</v>
      </c>
      <c r="K39" s="338">
        <v>0</v>
      </c>
      <c r="L39" s="338">
        <v>0</v>
      </c>
      <c r="M39" s="338">
        <v>0</v>
      </c>
      <c r="N39" s="339">
        <v>0</v>
      </c>
      <c r="O39" s="339">
        <v>0</v>
      </c>
      <c r="P39" s="339">
        <v>0</v>
      </c>
      <c r="Q39" s="339">
        <v>0</v>
      </c>
      <c r="R39" s="339">
        <v>0</v>
      </c>
      <c r="S39" s="338">
        <v>0</v>
      </c>
      <c r="V39" s="332"/>
      <c r="W39" s="332"/>
      <c r="X39" s="332"/>
      <c r="Y39" s="332"/>
      <c r="Z39" s="332"/>
      <c r="AA39" s="332"/>
    </row>
    <row r="40" spans="1:27" ht="15" x14ac:dyDescent="0.25">
      <c r="A40" s="333"/>
      <c r="B40" s="311" t="s">
        <v>91</v>
      </c>
      <c r="C40" s="336">
        <v>45</v>
      </c>
      <c r="D40" s="336"/>
      <c r="E40" s="337" t="s">
        <v>480</v>
      </c>
      <c r="G40" s="335" t="s">
        <v>92</v>
      </c>
      <c r="H40" s="338">
        <v>0</v>
      </c>
      <c r="I40" s="338">
        <v>0</v>
      </c>
      <c r="J40" s="321">
        <v>0</v>
      </c>
      <c r="K40" s="338">
        <v>-0.76100000000000001</v>
      </c>
      <c r="L40" s="338">
        <v>0</v>
      </c>
      <c r="M40" s="338">
        <v>0</v>
      </c>
      <c r="N40" s="339">
        <v>0</v>
      </c>
      <c r="O40" s="339">
        <v>0</v>
      </c>
      <c r="P40" s="339">
        <v>0</v>
      </c>
      <c r="Q40" s="339">
        <v>0</v>
      </c>
      <c r="R40" s="339">
        <v>0</v>
      </c>
      <c r="S40" s="338">
        <v>0</v>
      </c>
      <c r="V40" s="332"/>
      <c r="W40" s="332"/>
      <c r="X40" s="332"/>
      <c r="Y40" s="332"/>
      <c r="Z40" s="332"/>
      <c r="AA40" s="332"/>
    </row>
    <row r="41" spans="1:27" ht="15" x14ac:dyDescent="0.25">
      <c r="A41" s="341"/>
      <c r="B41" s="311" t="s">
        <v>93</v>
      </c>
      <c r="C41" s="336" t="s">
        <v>94</v>
      </c>
      <c r="D41" s="336"/>
      <c r="E41" s="368"/>
      <c r="F41" s="341"/>
      <c r="G41" s="335" t="s">
        <v>95</v>
      </c>
      <c r="H41" s="331">
        <f t="shared" ref="H41:S41" si="9">SUM(H42:H45)</f>
        <v>-1753.0419999999999</v>
      </c>
      <c r="I41" s="331">
        <f t="shared" si="9"/>
        <v>-2092.8980000000001</v>
      </c>
      <c r="J41" s="331">
        <f t="shared" si="9"/>
        <v>-2132.9770000000003</v>
      </c>
      <c r="K41" s="331">
        <f t="shared" si="9"/>
        <v>-2295.1179999999999</v>
      </c>
      <c r="L41" s="331">
        <f t="shared" si="9"/>
        <v>-2218.5269999999996</v>
      </c>
      <c r="M41" s="331">
        <f t="shared" si="9"/>
        <v>-2951.67292</v>
      </c>
      <c r="N41" s="343">
        <f t="shared" si="9"/>
        <v>-2710</v>
      </c>
      <c r="O41" s="343">
        <f t="shared" si="9"/>
        <v>-3265</v>
      </c>
      <c r="P41" s="343">
        <f t="shared" si="9"/>
        <v>-4028</v>
      </c>
      <c r="Q41" s="343">
        <f t="shared" si="9"/>
        <v>-4317</v>
      </c>
      <c r="R41" s="343">
        <f t="shared" si="9"/>
        <v>-4130</v>
      </c>
      <c r="S41" s="331">
        <f t="shared" si="9"/>
        <v>-4224</v>
      </c>
      <c r="V41" s="332"/>
      <c r="W41" s="332"/>
      <c r="X41" s="332"/>
      <c r="Y41" s="332"/>
      <c r="Z41" s="332"/>
      <c r="AA41" s="332"/>
    </row>
    <row r="42" spans="1:27" ht="15" x14ac:dyDescent="0.25">
      <c r="A42" s="333"/>
      <c r="B42" s="311" t="s">
        <v>96</v>
      </c>
      <c r="C42" s="336">
        <v>50</v>
      </c>
      <c r="D42" s="336"/>
      <c r="E42" s="337" t="s">
        <v>480</v>
      </c>
      <c r="G42" s="335" t="s">
        <v>97</v>
      </c>
      <c r="H42" s="338">
        <v>-931.74400000000003</v>
      </c>
      <c r="I42" s="338">
        <v>-1096.164</v>
      </c>
      <c r="J42" s="321">
        <v>-1144.4090000000001</v>
      </c>
      <c r="K42" s="338">
        <v>-1231.9010000000001</v>
      </c>
      <c r="L42" s="338">
        <v>-1273.4179999999999</v>
      </c>
      <c r="M42" s="338">
        <v>-1365.3809199999998</v>
      </c>
      <c r="N42" s="339">
        <v>-1490</v>
      </c>
      <c r="O42" s="339">
        <v>-1708</v>
      </c>
      <c r="P42" s="339">
        <v>-2278</v>
      </c>
      <c r="Q42" s="339">
        <v>-2397</v>
      </c>
      <c r="R42" s="339">
        <v>-2520</v>
      </c>
      <c r="S42" s="338">
        <v>-2571</v>
      </c>
      <c r="V42" s="332"/>
      <c r="W42" s="332"/>
      <c r="X42" s="332"/>
      <c r="Y42" s="332"/>
      <c r="Z42" s="332"/>
      <c r="AA42" s="332"/>
    </row>
    <row r="43" spans="1:27" ht="15" x14ac:dyDescent="0.25">
      <c r="A43" s="333"/>
      <c r="B43" s="311" t="s">
        <v>98</v>
      </c>
      <c r="C43" s="336">
        <v>55</v>
      </c>
      <c r="D43" s="336"/>
      <c r="E43" s="337" t="s">
        <v>480</v>
      </c>
      <c r="G43" s="335" t="s">
        <v>99</v>
      </c>
      <c r="H43" s="338">
        <v>-697.53</v>
      </c>
      <c r="I43" s="338">
        <v>-861.92100000000005</v>
      </c>
      <c r="J43" s="321">
        <v>-840.54300000000001</v>
      </c>
      <c r="K43" s="338">
        <v>-909.197</v>
      </c>
      <c r="L43" s="338">
        <v>-795.64300000000003</v>
      </c>
      <c r="M43" s="338">
        <f>-1395.467-M44</f>
        <v>-1394.7434600000001</v>
      </c>
      <c r="N43" s="339">
        <v>-1020</v>
      </c>
      <c r="O43" s="339">
        <v>-1357</v>
      </c>
      <c r="P43" s="339">
        <f>-1507-39</f>
        <v>-1546</v>
      </c>
      <c r="Q43" s="339">
        <f>-1638-78</f>
        <v>-1716</v>
      </c>
      <c r="R43" s="339">
        <v>-1406</v>
      </c>
      <c r="S43" s="338">
        <v>-1449</v>
      </c>
      <c r="V43" s="332"/>
      <c r="W43" s="332"/>
      <c r="X43" s="332"/>
      <c r="Y43" s="332"/>
      <c r="Z43" s="332"/>
      <c r="AA43" s="332"/>
    </row>
    <row r="44" spans="1:27" ht="15" x14ac:dyDescent="0.25">
      <c r="A44" s="341"/>
      <c r="B44" s="311" t="s">
        <v>100</v>
      </c>
      <c r="C44" s="336">
        <v>60</v>
      </c>
      <c r="D44" s="336"/>
      <c r="E44" s="337" t="s">
        <v>480</v>
      </c>
      <c r="F44" s="341"/>
      <c r="G44" s="335" t="s">
        <v>101</v>
      </c>
      <c r="H44" s="338">
        <v>-0.66500000000000004</v>
      </c>
      <c r="I44" s="338">
        <v>-1.1519999999999999</v>
      </c>
      <c r="J44" s="321">
        <v>-0.70599999999999996</v>
      </c>
      <c r="K44" s="338">
        <v>-1.02</v>
      </c>
      <c r="L44" s="338">
        <v>-0.51600000000000001</v>
      </c>
      <c r="M44" s="338">
        <v>-0.72353999999999996</v>
      </c>
      <c r="N44" s="339">
        <v>-1</v>
      </c>
      <c r="O44" s="339">
        <v>0</v>
      </c>
      <c r="P44" s="339">
        <v>0</v>
      </c>
      <c r="Q44" s="339">
        <v>0</v>
      </c>
      <c r="R44" s="339">
        <v>0</v>
      </c>
      <c r="S44" s="338">
        <v>0</v>
      </c>
      <c r="V44" s="332"/>
      <c r="W44" s="332"/>
      <c r="X44" s="332"/>
      <c r="Y44" s="332"/>
      <c r="Z44" s="332"/>
      <c r="AA44" s="332"/>
    </row>
    <row r="45" spans="1:27" ht="15" x14ac:dyDescent="0.25">
      <c r="A45" s="333"/>
      <c r="B45" s="311" t="s">
        <v>102</v>
      </c>
      <c r="C45" s="336">
        <v>61</v>
      </c>
      <c r="D45" s="336"/>
      <c r="E45" s="337" t="s">
        <v>480</v>
      </c>
      <c r="G45" s="335" t="s">
        <v>103</v>
      </c>
      <c r="H45" s="338">
        <v>-123.10299999999999</v>
      </c>
      <c r="I45" s="338">
        <v>-133.661</v>
      </c>
      <c r="J45" s="321">
        <v>-147.31899999999999</v>
      </c>
      <c r="K45" s="338">
        <v>-153</v>
      </c>
      <c r="L45" s="338">
        <v>-148.94999999999999</v>
      </c>
      <c r="M45" s="338">
        <v>-190.82499999999999</v>
      </c>
      <c r="N45" s="339">
        <v>-199</v>
      </c>
      <c r="O45" s="339">
        <v>-200</v>
      </c>
      <c r="P45" s="339">
        <v>-204</v>
      </c>
      <c r="Q45" s="339">
        <v>-204</v>
      </c>
      <c r="R45" s="339">
        <v>-204</v>
      </c>
      <c r="S45" s="338">
        <v>-204</v>
      </c>
      <c r="V45" s="332"/>
      <c r="W45" s="332"/>
      <c r="X45" s="332"/>
      <c r="Y45" s="332"/>
      <c r="Z45" s="332"/>
      <c r="AA45" s="332"/>
    </row>
    <row r="46" spans="1:27" ht="15" x14ac:dyDescent="0.25">
      <c r="A46" s="333"/>
      <c r="B46" s="311" t="s">
        <v>104</v>
      </c>
      <c r="C46" s="336"/>
      <c r="D46" s="336"/>
      <c r="E46" s="334"/>
      <c r="G46" s="335" t="s">
        <v>105</v>
      </c>
      <c r="H46" s="331">
        <f t="shared" ref="H46:S46" si="10">H33+H38+H41</f>
        <v>-24.014999999999873</v>
      </c>
      <c r="I46" s="331">
        <f t="shared" si="10"/>
        <v>252.31399999999985</v>
      </c>
      <c r="J46" s="331">
        <f t="shared" si="10"/>
        <v>-115.03600000000051</v>
      </c>
      <c r="K46" s="331">
        <f t="shared" si="10"/>
        <v>52.845000000000255</v>
      </c>
      <c r="L46" s="331">
        <f t="shared" si="10"/>
        <v>568.44300000000021</v>
      </c>
      <c r="M46" s="331">
        <f t="shared" si="10"/>
        <v>1862.8011999999999</v>
      </c>
      <c r="N46" s="343">
        <f t="shared" si="10"/>
        <v>92</v>
      </c>
      <c r="O46" s="343">
        <f t="shared" si="10"/>
        <v>0</v>
      </c>
      <c r="P46" s="343">
        <f t="shared" si="10"/>
        <v>-0.38999999999987267</v>
      </c>
      <c r="Q46" s="343">
        <f t="shared" si="10"/>
        <v>0.3783000000003085</v>
      </c>
      <c r="R46" s="343">
        <f t="shared" si="10"/>
        <v>0.33964899999955378</v>
      </c>
      <c r="S46" s="331">
        <f t="shared" si="10"/>
        <v>-0.47016153000004124</v>
      </c>
      <c r="V46" s="332"/>
      <c r="W46" s="332"/>
      <c r="X46" s="332"/>
      <c r="Y46" s="332"/>
      <c r="Z46" s="332"/>
      <c r="AA46" s="332"/>
    </row>
    <row r="47" spans="1:27" ht="15" x14ac:dyDescent="0.25">
      <c r="A47" s="333"/>
      <c r="B47" s="311" t="s">
        <v>106</v>
      </c>
      <c r="C47" s="336">
        <v>65</v>
      </c>
      <c r="D47" s="336"/>
      <c r="E47" s="337" t="s">
        <v>479</v>
      </c>
      <c r="G47" s="335" t="s">
        <v>107</v>
      </c>
      <c r="H47" s="338">
        <v>-24.251000000000001</v>
      </c>
      <c r="I47" s="338">
        <v>-15.064</v>
      </c>
      <c r="J47" s="321">
        <v>-4.8970000000000002</v>
      </c>
      <c r="K47" s="338">
        <v>-1.1910000000000001</v>
      </c>
      <c r="L47" s="338">
        <v>2.7040000000000002</v>
      </c>
      <c r="M47" s="338">
        <v>1.3394600000000001</v>
      </c>
      <c r="N47" s="338">
        <v>0</v>
      </c>
      <c r="O47" s="338">
        <v>0</v>
      </c>
      <c r="P47" s="338">
        <v>0</v>
      </c>
      <c r="Q47" s="338">
        <v>0</v>
      </c>
      <c r="R47" s="338">
        <v>0</v>
      </c>
      <c r="S47" s="338">
        <v>0</v>
      </c>
      <c r="V47" s="332"/>
      <c r="W47" s="332"/>
      <c r="X47" s="332"/>
      <c r="Y47" s="332"/>
      <c r="Z47" s="332"/>
      <c r="AA47" s="332"/>
    </row>
    <row r="48" spans="1:27" ht="15" x14ac:dyDescent="0.25">
      <c r="A48" s="333"/>
      <c r="B48" s="311" t="s">
        <v>108</v>
      </c>
      <c r="C48" s="336"/>
      <c r="D48" s="336"/>
      <c r="E48" s="334"/>
      <c r="G48" s="335" t="s">
        <v>109</v>
      </c>
      <c r="H48" s="331">
        <f t="shared" ref="H48:S48" si="11">H46+H47</f>
        <v>-48.265999999999877</v>
      </c>
      <c r="I48" s="331">
        <f t="shared" si="11"/>
        <v>237.24999999999986</v>
      </c>
      <c r="J48" s="331">
        <f t="shared" si="11"/>
        <v>-119.93300000000052</v>
      </c>
      <c r="K48" s="331">
        <f t="shared" si="11"/>
        <v>51.654000000000252</v>
      </c>
      <c r="L48" s="331">
        <f t="shared" si="11"/>
        <v>571.14700000000016</v>
      </c>
      <c r="M48" s="331">
        <f t="shared" si="11"/>
        <v>1864.1406599999998</v>
      </c>
      <c r="N48" s="343">
        <f t="shared" si="11"/>
        <v>92</v>
      </c>
      <c r="O48" s="343">
        <f t="shared" si="11"/>
        <v>0</v>
      </c>
      <c r="P48" s="343">
        <f t="shared" si="11"/>
        <v>-0.38999999999987267</v>
      </c>
      <c r="Q48" s="343">
        <f t="shared" si="11"/>
        <v>0.3783000000003085</v>
      </c>
      <c r="R48" s="343">
        <f t="shared" si="11"/>
        <v>0.33964899999955378</v>
      </c>
      <c r="S48" s="331">
        <f t="shared" si="11"/>
        <v>-0.47016153000004124</v>
      </c>
      <c r="V48" s="332"/>
      <c r="W48" s="332"/>
      <c r="X48" s="332"/>
      <c r="Y48" s="332"/>
      <c r="Z48" s="332"/>
      <c r="AA48" s="332"/>
    </row>
    <row r="49" spans="1:27" ht="15" x14ac:dyDescent="0.25">
      <c r="A49" s="333"/>
      <c r="B49" s="311" t="s">
        <v>110</v>
      </c>
      <c r="C49" s="336">
        <v>68</v>
      </c>
      <c r="D49" s="336"/>
      <c r="E49" s="337" t="s">
        <v>480</v>
      </c>
      <c r="G49" s="335" t="s">
        <v>111</v>
      </c>
      <c r="H49" s="338">
        <v>0</v>
      </c>
      <c r="I49" s="338">
        <v>0</v>
      </c>
      <c r="J49" s="321">
        <v>0</v>
      </c>
      <c r="K49" s="338">
        <v>0</v>
      </c>
      <c r="L49" s="338">
        <v>0</v>
      </c>
      <c r="M49" s="338">
        <v>0</v>
      </c>
      <c r="N49" s="339">
        <v>0</v>
      </c>
      <c r="O49" s="339">
        <v>0</v>
      </c>
      <c r="P49" s="339">
        <v>0</v>
      </c>
      <c r="Q49" s="339">
        <v>0</v>
      </c>
      <c r="R49" s="339">
        <v>0</v>
      </c>
      <c r="S49" s="338">
        <v>0</v>
      </c>
      <c r="V49" s="332"/>
      <c r="W49" s="332"/>
      <c r="X49" s="332"/>
      <c r="Y49" s="332"/>
      <c r="Z49" s="332"/>
      <c r="AA49" s="332"/>
    </row>
    <row r="50" spans="1:27" ht="15" x14ac:dyDescent="0.25">
      <c r="A50" s="333"/>
      <c r="B50" s="311" t="s">
        <v>112</v>
      </c>
      <c r="C50" s="336">
        <v>69</v>
      </c>
      <c r="D50" s="336"/>
      <c r="E50" s="337" t="s">
        <v>11</v>
      </c>
      <c r="G50" s="335" t="s">
        <v>113</v>
      </c>
      <c r="H50" s="338">
        <v>0</v>
      </c>
      <c r="I50" s="338">
        <v>0</v>
      </c>
      <c r="J50" s="321">
        <v>0</v>
      </c>
      <c r="K50" s="338">
        <v>0</v>
      </c>
      <c r="L50" s="338">
        <v>0</v>
      </c>
      <c r="M50" s="338">
        <v>0</v>
      </c>
      <c r="N50" s="339">
        <v>0</v>
      </c>
      <c r="O50" s="339">
        <v>0</v>
      </c>
      <c r="P50" s="339">
        <v>0</v>
      </c>
      <c r="Q50" s="339">
        <v>0</v>
      </c>
      <c r="R50" s="339">
        <v>0</v>
      </c>
      <c r="S50" s="338">
        <v>0</v>
      </c>
      <c r="V50" s="332"/>
      <c r="W50" s="332"/>
      <c r="X50" s="332"/>
      <c r="Y50" s="332"/>
      <c r="Z50" s="332"/>
      <c r="AA50" s="332"/>
    </row>
    <row r="51" spans="1:27" ht="15" x14ac:dyDescent="0.25">
      <c r="A51" s="333"/>
      <c r="B51" s="311" t="s">
        <v>114</v>
      </c>
      <c r="C51" s="336"/>
      <c r="D51" s="336"/>
      <c r="E51" s="334"/>
      <c r="G51" s="335" t="s">
        <v>115</v>
      </c>
      <c r="H51" s="331">
        <f t="shared" ref="H51:S51" si="12">H48+H49+H50</f>
        <v>-48.265999999999877</v>
      </c>
      <c r="I51" s="331">
        <f t="shared" si="12"/>
        <v>237.24999999999986</v>
      </c>
      <c r="J51" s="331">
        <f t="shared" si="12"/>
        <v>-119.93300000000052</v>
      </c>
      <c r="K51" s="331">
        <f t="shared" si="12"/>
        <v>51.654000000000252</v>
      </c>
      <c r="L51" s="331">
        <f t="shared" si="12"/>
        <v>571.14700000000016</v>
      </c>
      <c r="M51" s="331">
        <f t="shared" si="12"/>
        <v>1864.1406599999998</v>
      </c>
      <c r="N51" s="343">
        <f t="shared" si="12"/>
        <v>92</v>
      </c>
      <c r="O51" s="343">
        <f t="shared" si="12"/>
        <v>0</v>
      </c>
      <c r="P51" s="343">
        <f t="shared" si="12"/>
        <v>-0.38999999999987267</v>
      </c>
      <c r="Q51" s="343">
        <f t="shared" si="12"/>
        <v>0.3783000000003085</v>
      </c>
      <c r="R51" s="343">
        <f t="shared" si="12"/>
        <v>0.33964899999955378</v>
      </c>
      <c r="S51" s="331">
        <f t="shared" si="12"/>
        <v>-0.47016153000004124</v>
      </c>
      <c r="V51" s="332"/>
      <c r="W51" s="332"/>
      <c r="X51" s="332"/>
      <c r="Y51" s="332"/>
      <c r="Z51" s="332"/>
      <c r="AA51" s="332"/>
    </row>
    <row r="52" spans="1:27" ht="15" x14ac:dyDescent="0.25">
      <c r="A52" s="369"/>
      <c r="B52" s="311" t="s">
        <v>370</v>
      </c>
      <c r="C52" s="358" t="s">
        <v>371</v>
      </c>
      <c r="D52" s="370"/>
      <c r="E52" s="371"/>
      <c r="F52" s="369"/>
      <c r="G52" s="361" t="s">
        <v>116</v>
      </c>
      <c r="H52" s="362">
        <f t="shared" ref="H52:S52" si="13">H30-H51</f>
        <v>-1.0000000001255671E-3</v>
      </c>
      <c r="I52" s="362">
        <f t="shared" si="13"/>
        <v>0</v>
      </c>
      <c r="J52" s="362">
        <f t="shared" si="13"/>
        <v>5.1159076974727213E-13</v>
      </c>
      <c r="K52" s="362">
        <f t="shared" si="13"/>
        <v>-2.4868995751603507E-13</v>
      </c>
      <c r="L52" s="362">
        <f t="shared" si="13"/>
        <v>0</v>
      </c>
      <c r="M52" s="362">
        <f t="shared" si="13"/>
        <v>0.25534000000016022</v>
      </c>
      <c r="N52" s="363">
        <f t="shared" si="13"/>
        <v>0</v>
      </c>
      <c r="O52" s="363">
        <f t="shared" si="13"/>
        <v>0</v>
      </c>
      <c r="P52" s="363">
        <f t="shared" si="13"/>
        <v>0.38999999999987267</v>
      </c>
      <c r="Q52" s="363">
        <f t="shared" si="13"/>
        <v>-0.3783000000003085</v>
      </c>
      <c r="R52" s="363">
        <f t="shared" si="13"/>
        <v>-0.33964899999955378</v>
      </c>
      <c r="S52" s="362">
        <f t="shared" si="13"/>
        <v>0.47016153000004124</v>
      </c>
      <c r="V52" s="332"/>
      <c r="W52" s="332"/>
      <c r="X52" s="332"/>
      <c r="Y52" s="332"/>
      <c r="Z52" s="332"/>
      <c r="AA52" s="332"/>
    </row>
    <row r="53" spans="1:27" x14ac:dyDescent="0.2">
      <c r="A53" s="333"/>
      <c r="B53" s="311"/>
      <c r="C53" s="336"/>
      <c r="D53" s="336"/>
      <c r="E53" s="334"/>
      <c r="G53" s="372" t="s">
        <v>117</v>
      </c>
      <c r="H53" s="313"/>
      <c r="I53" s="313"/>
      <c r="J53" s="313"/>
      <c r="K53" s="313"/>
      <c r="L53" s="313"/>
      <c r="M53" s="313"/>
      <c r="N53" s="373"/>
      <c r="O53" s="373"/>
      <c r="P53" s="373"/>
      <c r="Q53" s="373"/>
      <c r="R53" s="373"/>
      <c r="S53" s="313"/>
    </row>
    <row r="54" spans="1:27" ht="12" x14ac:dyDescent="0.2">
      <c r="A54" s="333"/>
      <c r="B54" s="311"/>
      <c r="C54" s="336">
        <v>90</v>
      </c>
      <c r="D54" s="336"/>
      <c r="E54" s="337" t="s">
        <v>11</v>
      </c>
      <c r="G54" s="372" t="s">
        <v>118</v>
      </c>
      <c r="H54" s="338">
        <v>77</v>
      </c>
      <c r="I54" s="338">
        <v>78</v>
      </c>
      <c r="J54" s="338">
        <v>79</v>
      </c>
      <c r="K54" s="338">
        <v>79</v>
      </c>
      <c r="L54" s="338">
        <v>79</v>
      </c>
      <c r="M54" s="374">
        <v>77.06</v>
      </c>
      <c r="N54" s="375">
        <v>78.5</v>
      </c>
      <c r="O54" s="339">
        <f>81.15+2</f>
        <v>83.15</v>
      </c>
      <c r="P54" s="339">
        <f>+O54+1</f>
        <v>84.15</v>
      </c>
      <c r="Q54" s="339">
        <f>+P54+1</f>
        <v>85.15</v>
      </c>
      <c r="R54" s="339">
        <v>85</v>
      </c>
      <c r="S54" s="338">
        <v>85</v>
      </c>
    </row>
    <row r="55" spans="1:27" ht="12" x14ac:dyDescent="0.2">
      <c r="A55" s="333"/>
      <c r="B55" s="311"/>
      <c r="C55" s="336"/>
      <c r="D55" s="336"/>
      <c r="E55" s="337" t="s">
        <v>11</v>
      </c>
      <c r="G55" s="372" t="s">
        <v>119</v>
      </c>
      <c r="H55" s="338"/>
      <c r="I55" s="338"/>
      <c r="J55" s="338"/>
      <c r="K55" s="338"/>
      <c r="L55" s="376"/>
      <c r="M55" s="376"/>
      <c r="N55" s="377"/>
      <c r="O55" s="377"/>
      <c r="P55" s="377"/>
      <c r="Q55" s="377"/>
      <c r="R55" s="377"/>
      <c r="S55" s="376"/>
    </row>
    <row r="56" spans="1:27" ht="14.1" customHeight="1" x14ac:dyDescent="0.2">
      <c r="A56" s="333"/>
      <c r="B56" s="311"/>
      <c r="C56" s="336"/>
      <c r="D56" s="336"/>
      <c r="E56" s="334"/>
      <c r="G56" s="378"/>
      <c r="H56" s="313"/>
      <c r="I56" s="313"/>
      <c r="J56" s="313"/>
      <c r="K56" s="313"/>
      <c r="L56" s="313"/>
      <c r="M56" s="313"/>
      <c r="N56" s="373"/>
      <c r="O56" s="373"/>
      <c r="P56" s="373"/>
      <c r="Q56" s="373"/>
      <c r="R56" s="373"/>
      <c r="S56" s="313"/>
    </row>
    <row r="57" spans="1:27" ht="14.1" customHeight="1" x14ac:dyDescent="0.2">
      <c r="A57" s="333"/>
      <c r="B57" s="311"/>
      <c r="C57" s="336"/>
      <c r="D57" s="379" t="s">
        <v>120</v>
      </c>
      <c r="E57" s="380" t="s">
        <v>3</v>
      </c>
      <c r="F57" s="334"/>
      <c r="G57" s="325" t="s">
        <v>121</v>
      </c>
      <c r="H57" s="364">
        <v>2011</v>
      </c>
      <c r="I57" s="364">
        <v>2012</v>
      </c>
      <c r="J57" s="364">
        <v>2013</v>
      </c>
      <c r="K57" s="364">
        <v>2014</v>
      </c>
      <c r="L57" s="364">
        <v>2015</v>
      </c>
      <c r="M57" s="364">
        <v>2016</v>
      </c>
      <c r="N57" s="366">
        <f>N32</f>
        <v>2017</v>
      </c>
      <c r="O57" s="366">
        <f>O32</f>
        <v>2018</v>
      </c>
      <c r="P57" s="366">
        <f>P32</f>
        <v>2019</v>
      </c>
      <c r="Q57" s="366">
        <f>Q32</f>
        <v>2020</v>
      </c>
      <c r="R57" s="366">
        <f>R32</f>
        <v>2021</v>
      </c>
      <c r="S57" s="364">
        <v>2021</v>
      </c>
    </row>
    <row r="58" spans="1:27" ht="14.1" customHeight="1" x14ac:dyDescent="0.2">
      <c r="A58" s="333"/>
      <c r="B58" s="381" t="s">
        <v>122</v>
      </c>
      <c r="C58" s="333" t="s">
        <v>123</v>
      </c>
      <c r="D58" s="382" t="s">
        <v>124</v>
      </c>
      <c r="E58" s="337" t="s">
        <v>480</v>
      </c>
      <c r="F58" s="340"/>
      <c r="G58" s="330" t="s">
        <v>125</v>
      </c>
      <c r="H58" s="338">
        <v>-25.201000000000001</v>
      </c>
      <c r="I58" s="338">
        <v>0</v>
      </c>
      <c r="J58" s="338">
        <v>-56.554000000000002</v>
      </c>
      <c r="K58" s="338">
        <v>-103.19799999999999</v>
      </c>
      <c r="L58" s="338">
        <v>-332.03399999999999</v>
      </c>
      <c r="M58" s="338">
        <v>-1712.8209999999999</v>
      </c>
      <c r="N58" s="339">
        <v>-35</v>
      </c>
      <c r="O58" s="339">
        <v>-165</v>
      </c>
      <c r="P58" s="339">
        <v>-220</v>
      </c>
      <c r="Q58" s="339">
        <v>-100</v>
      </c>
      <c r="R58" s="339">
        <v>0</v>
      </c>
      <c r="S58" s="338">
        <v>0</v>
      </c>
    </row>
    <row r="59" spans="1:27" ht="14.1" customHeight="1" x14ac:dyDescent="0.2">
      <c r="A59" s="333"/>
      <c r="B59" s="381" t="s">
        <v>126</v>
      </c>
      <c r="C59" s="383" t="s">
        <v>127</v>
      </c>
      <c r="D59" s="382" t="s">
        <v>128</v>
      </c>
      <c r="E59" s="337" t="s">
        <v>11</v>
      </c>
      <c r="F59" s="340"/>
      <c r="G59" s="384" t="s">
        <v>129</v>
      </c>
      <c r="H59" s="338">
        <v>0</v>
      </c>
      <c r="I59" s="338">
        <v>9.9770000000000003</v>
      </c>
      <c r="J59" s="338">
        <v>0.15</v>
      </c>
      <c r="K59" s="338">
        <v>0</v>
      </c>
      <c r="L59" s="338">
        <v>0</v>
      </c>
      <c r="M59" s="338">
        <v>0</v>
      </c>
      <c r="N59" s="339">
        <v>0</v>
      </c>
      <c r="O59" s="339">
        <v>0</v>
      </c>
      <c r="P59" s="339">
        <v>0</v>
      </c>
      <c r="Q59" s="339">
        <v>0</v>
      </c>
      <c r="R59" s="339">
        <v>0</v>
      </c>
      <c r="S59" s="338">
        <v>0</v>
      </c>
    </row>
    <row r="60" spans="1:27" ht="14.1" customHeight="1" x14ac:dyDescent="0.2">
      <c r="A60" s="333"/>
      <c r="B60" s="381" t="s">
        <v>130</v>
      </c>
      <c r="C60" s="333" t="s">
        <v>372</v>
      </c>
      <c r="D60" s="382" t="s">
        <v>131</v>
      </c>
      <c r="E60" s="337" t="s">
        <v>11</v>
      </c>
      <c r="F60" s="340"/>
      <c r="G60" s="335" t="s">
        <v>132</v>
      </c>
      <c r="H60" s="338">
        <v>321.63799999999998</v>
      </c>
      <c r="I60" s="338">
        <v>333.03399999999999</v>
      </c>
      <c r="J60" s="338">
        <v>434.60899999999998</v>
      </c>
      <c r="K60" s="338">
        <v>422.88900000000001</v>
      </c>
      <c r="L60" s="338">
        <v>1090</v>
      </c>
      <c r="M60" s="338">
        <v>1220.5039999999999</v>
      </c>
      <c r="N60" s="339">
        <v>35</v>
      </c>
      <c r="O60" s="339">
        <v>165</v>
      </c>
      <c r="P60" s="339">
        <v>220</v>
      </c>
      <c r="Q60" s="339">
        <v>100</v>
      </c>
      <c r="R60" s="339">
        <v>0</v>
      </c>
      <c r="S60" s="338">
        <v>0</v>
      </c>
    </row>
    <row r="61" spans="1:27" ht="14.1" customHeight="1" x14ac:dyDescent="0.2">
      <c r="A61" s="333"/>
      <c r="B61" s="381" t="s">
        <v>133</v>
      </c>
      <c r="C61" s="333" t="s">
        <v>134</v>
      </c>
      <c r="D61" s="333" t="s">
        <v>135</v>
      </c>
      <c r="E61" s="337" t="s">
        <v>480</v>
      </c>
      <c r="F61" s="340"/>
      <c r="G61" s="335" t="s">
        <v>136</v>
      </c>
      <c r="H61" s="338">
        <v>0</v>
      </c>
      <c r="I61" s="338">
        <v>0</v>
      </c>
      <c r="J61" s="338">
        <v>0</v>
      </c>
      <c r="K61" s="338">
        <v>0</v>
      </c>
      <c r="L61" s="338">
        <v>0</v>
      </c>
      <c r="M61" s="338">
        <v>0</v>
      </c>
      <c r="N61" s="339">
        <v>0</v>
      </c>
      <c r="O61" s="339">
        <v>0</v>
      </c>
      <c r="P61" s="339">
        <v>0</v>
      </c>
      <c r="Q61" s="339">
        <v>0</v>
      </c>
      <c r="R61" s="339">
        <v>0</v>
      </c>
      <c r="S61" s="338">
        <v>0</v>
      </c>
    </row>
    <row r="62" spans="1:27" ht="14.1" customHeight="1" x14ac:dyDescent="0.2">
      <c r="A62" s="333"/>
      <c r="B62" s="381" t="s">
        <v>137</v>
      </c>
      <c r="C62" s="336">
        <v>253800</v>
      </c>
      <c r="D62" s="333" t="s">
        <v>131</v>
      </c>
      <c r="E62" s="337" t="s">
        <v>11</v>
      </c>
      <c r="F62" s="340"/>
      <c r="G62" s="335" t="s">
        <v>138</v>
      </c>
      <c r="H62" s="338">
        <v>0</v>
      </c>
      <c r="I62" s="338">
        <v>0</v>
      </c>
      <c r="J62" s="338">
        <v>0</v>
      </c>
      <c r="K62" s="338">
        <v>0</v>
      </c>
      <c r="L62" s="338">
        <v>0</v>
      </c>
      <c r="M62" s="338">
        <v>0</v>
      </c>
      <c r="N62" s="339">
        <v>0</v>
      </c>
      <c r="O62" s="339">
        <v>0</v>
      </c>
      <c r="P62" s="339">
        <v>0</v>
      </c>
      <c r="Q62" s="339">
        <v>0</v>
      </c>
      <c r="R62" s="339">
        <v>0</v>
      </c>
      <c r="S62" s="338">
        <v>0</v>
      </c>
    </row>
    <row r="63" spans="1:27" ht="14.1" customHeight="1" x14ac:dyDescent="0.2">
      <c r="A63" s="333"/>
      <c r="B63" s="381" t="s">
        <v>139</v>
      </c>
      <c r="C63" s="336">
        <v>150</v>
      </c>
      <c r="D63" s="333" t="s">
        <v>135</v>
      </c>
      <c r="E63" s="337" t="s">
        <v>480</v>
      </c>
      <c r="F63" s="340"/>
      <c r="G63" s="335" t="s">
        <v>140</v>
      </c>
      <c r="H63" s="338">
        <v>0</v>
      </c>
      <c r="I63" s="338">
        <v>0</v>
      </c>
      <c r="J63" s="338">
        <v>0</v>
      </c>
      <c r="K63" s="338">
        <v>0</v>
      </c>
      <c r="L63" s="338">
        <v>0</v>
      </c>
      <c r="M63" s="338">
        <v>0</v>
      </c>
      <c r="N63" s="339">
        <v>0</v>
      </c>
      <c r="O63" s="339">
        <v>0</v>
      </c>
      <c r="P63" s="339">
        <v>0</v>
      </c>
      <c r="Q63" s="339">
        <v>0</v>
      </c>
      <c r="R63" s="339">
        <v>0</v>
      </c>
      <c r="S63" s="338">
        <v>0</v>
      </c>
    </row>
    <row r="64" spans="1:27" ht="14.1" customHeight="1" x14ac:dyDescent="0.2">
      <c r="A64" s="333"/>
      <c r="B64" s="381" t="s">
        <v>141</v>
      </c>
      <c r="C64" s="333" t="s">
        <v>142</v>
      </c>
      <c r="D64" s="333" t="s">
        <v>131</v>
      </c>
      <c r="E64" s="337" t="s">
        <v>11</v>
      </c>
      <c r="F64" s="340"/>
      <c r="G64" s="335" t="s">
        <v>143</v>
      </c>
      <c r="H64" s="338">
        <v>0</v>
      </c>
      <c r="I64" s="338">
        <v>0</v>
      </c>
      <c r="J64" s="338">
        <v>0</v>
      </c>
      <c r="K64" s="338">
        <v>0</v>
      </c>
      <c r="L64" s="338">
        <v>0</v>
      </c>
      <c r="M64" s="338">
        <v>0</v>
      </c>
      <c r="N64" s="339">
        <v>0</v>
      </c>
      <c r="O64" s="339">
        <v>0</v>
      </c>
      <c r="P64" s="339">
        <v>0</v>
      </c>
      <c r="Q64" s="339">
        <v>0</v>
      </c>
      <c r="R64" s="339">
        <v>0</v>
      </c>
      <c r="S64" s="338">
        <v>0</v>
      </c>
    </row>
    <row r="65" spans="1:19" ht="14.1" customHeight="1" x14ac:dyDescent="0.2">
      <c r="A65" s="333"/>
      <c r="B65" s="381" t="s">
        <v>144</v>
      </c>
      <c r="C65" s="333" t="s">
        <v>373</v>
      </c>
      <c r="D65" s="333" t="s">
        <v>135</v>
      </c>
      <c r="E65" s="337" t="s">
        <v>480</v>
      </c>
      <c r="F65" s="340"/>
      <c r="G65" s="335" t="s">
        <v>145</v>
      </c>
      <c r="H65" s="338">
        <v>0</v>
      </c>
      <c r="I65" s="338">
        <v>0</v>
      </c>
      <c r="J65" s="338">
        <v>0</v>
      </c>
      <c r="K65" s="338">
        <v>0</v>
      </c>
      <c r="L65" s="338">
        <v>0</v>
      </c>
      <c r="M65" s="338">
        <v>0</v>
      </c>
      <c r="N65" s="339">
        <v>0</v>
      </c>
      <c r="O65" s="339">
        <v>0</v>
      </c>
      <c r="P65" s="339">
        <v>0</v>
      </c>
      <c r="Q65" s="339">
        <v>0</v>
      </c>
      <c r="R65" s="339">
        <v>0</v>
      </c>
      <c r="S65" s="338">
        <v>0</v>
      </c>
    </row>
    <row r="66" spans="1:19" ht="14.1" customHeight="1" x14ac:dyDescent="0.2">
      <c r="A66" s="333"/>
      <c r="B66" s="381" t="s">
        <v>146</v>
      </c>
      <c r="C66" s="333" t="s">
        <v>373</v>
      </c>
      <c r="D66" s="333" t="s">
        <v>131</v>
      </c>
      <c r="E66" s="337" t="s">
        <v>11</v>
      </c>
      <c r="F66" s="340"/>
      <c r="G66" s="335" t="s">
        <v>147</v>
      </c>
      <c r="H66" s="338">
        <v>0</v>
      </c>
      <c r="I66" s="338">
        <v>0</v>
      </c>
      <c r="J66" s="338">
        <v>0</v>
      </c>
      <c r="K66" s="338">
        <v>0</v>
      </c>
      <c r="L66" s="338">
        <v>0</v>
      </c>
      <c r="M66" s="338">
        <v>0</v>
      </c>
      <c r="N66" s="339">
        <v>0</v>
      </c>
      <c r="O66" s="339">
        <v>0</v>
      </c>
      <c r="P66" s="339">
        <v>0</v>
      </c>
      <c r="Q66" s="339">
        <v>0</v>
      </c>
      <c r="R66" s="339">
        <v>0</v>
      </c>
      <c r="S66" s="338">
        <v>0</v>
      </c>
    </row>
    <row r="67" spans="1:19" ht="14.1" customHeight="1" x14ac:dyDescent="0.2">
      <c r="A67" s="333"/>
      <c r="B67" s="381" t="s">
        <v>148</v>
      </c>
      <c r="C67" s="333" t="s">
        <v>149</v>
      </c>
      <c r="D67" s="333" t="s">
        <v>135</v>
      </c>
      <c r="E67" s="337" t="s">
        <v>480</v>
      </c>
      <c r="F67" s="340"/>
      <c r="G67" s="335" t="s">
        <v>150</v>
      </c>
      <c r="H67" s="338">
        <v>0</v>
      </c>
      <c r="I67" s="338">
        <v>-0.6</v>
      </c>
      <c r="J67" s="338">
        <v>-0.7</v>
      </c>
      <c r="K67" s="338">
        <v>0</v>
      </c>
      <c r="L67" s="338">
        <v>0</v>
      </c>
      <c r="M67" s="338">
        <v>0</v>
      </c>
      <c r="N67" s="339">
        <v>0</v>
      </c>
      <c r="O67" s="339">
        <v>0</v>
      </c>
      <c r="P67" s="339">
        <v>0</v>
      </c>
      <c r="Q67" s="339">
        <v>0</v>
      </c>
      <c r="R67" s="339">
        <v>0</v>
      </c>
      <c r="S67" s="338">
        <v>0</v>
      </c>
    </row>
    <row r="68" spans="1:19" ht="14.1" customHeight="1" x14ac:dyDescent="0.2">
      <c r="A68" s="333"/>
      <c r="B68" s="381" t="s">
        <v>151</v>
      </c>
      <c r="C68" s="333" t="s">
        <v>149</v>
      </c>
      <c r="D68" s="333" t="s">
        <v>131</v>
      </c>
      <c r="E68" s="337" t="s">
        <v>11</v>
      </c>
      <c r="F68" s="340"/>
      <c r="G68" s="335" t="s">
        <v>152</v>
      </c>
      <c r="H68" s="338">
        <v>0.183</v>
      </c>
      <c r="I68" s="338">
        <v>0.39900000000000002</v>
      </c>
      <c r="J68" s="338">
        <v>0.433</v>
      </c>
      <c r="K68" s="338">
        <v>0.46800000000000003</v>
      </c>
      <c r="L68" s="338">
        <v>0</v>
      </c>
      <c r="M68" s="338">
        <v>0</v>
      </c>
      <c r="N68" s="339">
        <v>0</v>
      </c>
      <c r="O68" s="339">
        <v>0</v>
      </c>
      <c r="P68" s="339">
        <v>0</v>
      </c>
      <c r="Q68" s="339">
        <v>0</v>
      </c>
      <c r="R68" s="339">
        <v>0</v>
      </c>
      <c r="S68" s="338">
        <v>0</v>
      </c>
    </row>
    <row r="69" spans="1:19" ht="14.1" customHeight="1" x14ac:dyDescent="0.2">
      <c r="A69" s="333"/>
      <c r="B69" s="381" t="s">
        <v>153</v>
      </c>
      <c r="C69" s="333" t="s">
        <v>142</v>
      </c>
      <c r="D69" s="333" t="s">
        <v>131</v>
      </c>
      <c r="E69" s="337" t="s">
        <v>11</v>
      </c>
      <c r="F69" s="340"/>
      <c r="G69" s="335" t="s">
        <v>154</v>
      </c>
      <c r="H69" s="338">
        <v>0</v>
      </c>
      <c r="I69" s="338">
        <v>0</v>
      </c>
      <c r="J69" s="338">
        <v>0</v>
      </c>
      <c r="K69" s="338">
        <v>0</v>
      </c>
      <c r="L69" s="338">
        <v>0</v>
      </c>
      <c r="M69" s="338">
        <v>0</v>
      </c>
      <c r="N69" s="339">
        <v>0</v>
      </c>
      <c r="O69" s="339">
        <v>0</v>
      </c>
      <c r="P69" s="339">
        <v>0</v>
      </c>
      <c r="Q69" s="339">
        <v>0</v>
      </c>
      <c r="R69" s="339">
        <v>0</v>
      </c>
      <c r="S69" s="338">
        <v>0</v>
      </c>
    </row>
    <row r="70" spans="1:19" ht="14.1" customHeight="1" x14ac:dyDescent="0.2">
      <c r="A70" s="333"/>
      <c r="B70" s="381" t="s">
        <v>155</v>
      </c>
      <c r="C70" s="355" t="s">
        <v>156</v>
      </c>
      <c r="D70" s="333"/>
      <c r="E70" s="337" t="s">
        <v>479</v>
      </c>
      <c r="F70" s="340"/>
      <c r="G70" s="335" t="s">
        <v>107</v>
      </c>
      <c r="H70" s="338">
        <v>0.81200000000000006</v>
      </c>
      <c r="I70" s="338">
        <v>0</v>
      </c>
      <c r="J70" s="338">
        <v>0.51900000000000002</v>
      </c>
      <c r="K70" s="338">
        <v>0.32800000000000001</v>
      </c>
      <c r="L70" s="338">
        <v>1.5840000000000001</v>
      </c>
      <c r="M70" s="338">
        <v>2.4660000000000002</v>
      </c>
      <c r="N70" s="339">
        <v>0</v>
      </c>
      <c r="O70" s="339">
        <v>0</v>
      </c>
      <c r="P70" s="339">
        <v>0</v>
      </c>
      <c r="Q70" s="339">
        <v>0</v>
      </c>
      <c r="R70" s="339">
        <v>0</v>
      </c>
      <c r="S70" s="338">
        <v>0</v>
      </c>
    </row>
    <row r="71" spans="1:19" ht="14.1" customHeight="1" x14ac:dyDescent="0.2">
      <c r="A71" s="333"/>
      <c r="B71" s="381" t="s">
        <v>157</v>
      </c>
      <c r="C71" s="336"/>
      <c r="D71" s="333"/>
      <c r="E71" s="340"/>
      <c r="F71" s="340"/>
      <c r="G71" s="316" t="s">
        <v>158</v>
      </c>
      <c r="H71" s="331">
        <f t="shared" ref="H71:S71" si="14">SUM(H58:H70)</f>
        <v>297.43199999999996</v>
      </c>
      <c r="I71" s="331">
        <f t="shared" si="14"/>
        <v>342.80999999999995</v>
      </c>
      <c r="J71" s="331">
        <f t="shared" si="14"/>
        <v>378.45699999999999</v>
      </c>
      <c r="K71" s="331">
        <f t="shared" si="14"/>
        <v>320.48700000000002</v>
      </c>
      <c r="L71" s="331">
        <f t="shared" si="14"/>
        <v>759.55</v>
      </c>
      <c r="M71" s="331">
        <f t="shared" si="14"/>
        <v>-489.851</v>
      </c>
      <c r="N71" s="343">
        <f t="shared" si="14"/>
        <v>0</v>
      </c>
      <c r="O71" s="343">
        <f t="shared" si="14"/>
        <v>0</v>
      </c>
      <c r="P71" s="343">
        <f t="shared" si="14"/>
        <v>0</v>
      </c>
      <c r="Q71" s="343">
        <f t="shared" si="14"/>
        <v>0</v>
      </c>
      <c r="R71" s="343">
        <f t="shared" si="14"/>
        <v>0</v>
      </c>
      <c r="S71" s="331">
        <f t="shared" si="14"/>
        <v>0</v>
      </c>
    </row>
    <row r="72" spans="1:19" ht="14.1" customHeight="1" x14ac:dyDescent="0.2">
      <c r="A72" s="333"/>
      <c r="B72" s="311"/>
      <c r="C72" s="336"/>
      <c r="D72" s="333"/>
      <c r="E72" s="334"/>
      <c r="G72" s="378"/>
      <c r="H72" s="313"/>
      <c r="I72" s="313"/>
      <c r="J72" s="313"/>
      <c r="K72" s="313"/>
      <c r="L72" s="313"/>
      <c r="M72" s="313"/>
      <c r="N72" s="373"/>
      <c r="O72" s="373"/>
      <c r="P72" s="373"/>
      <c r="Q72" s="373"/>
      <c r="R72" s="373"/>
      <c r="S72" s="313"/>
    </row>
    <row r="73" spans="1:19" ht="14.1" customHeight="1" x14ac:dyDescent="0.2">
      <c r="A73" s="333"/>
      <c r="B73" s="311"/>
      <c r="C73" s="336"/>
      <c r="D73" s="379" t="s">
        <v>120</v>
      </c>
      <c r="E73" s="380" t="s">
        <v>3</v>
      </c>
      <c r="F73" s="334"/>
      <c r="G73" s="325" t="s">
        <v>159</v>
      </c>
      <c r="H73" s="364">
        <f t="shared" ref="H73:S73" si="15">H57</f>
        <v>2011</v>
      </c>
      <c r="I73" s="364">
        <f t="shared" si="15"/>
        <v>2012</v>
      </c>
      <c r="J73" s="364">
        <f t="shared" si="15"/>
        <v>2013</v>
      </c>
      <c r="K73" s="364">
        <f t="shared" si="15"/>
        <v>2014</v>
      </c>
      <c r="L73" s="364">
        <f t="shared" si="15"/>
        <v>2015</v>
      </c>
      <c r="M73" s="364">
        <f t="shared" si="15"/>
        <v>2016</v>
      </c>
      <c r="N73" s="366">
        <f t="shared" si="15"/>
        <v>2017</v>
      </c>
      <c r="O73" s="366">
        <f t="shared" si="15"/>
        <v>2018</v>
      </c>
      <c r="P73" s="366">
        <f t="shared" si="15"/>
        <v>2019</v>
      </c>
      <c r="Q73" s="366">
        <f t="shared" si="15"/>
        <v>2020</v>
      </c>
      <c r="R73" s="366">
        <f t="shared" si="15"/>
        <v>2021</v>
      </c>
      <c r="S73" s="364">
        <f t="shared" si="15"/>
        <v>2021</v>
      </c>
    </row>
    <row r="74" spans="1:19" ht="14.1" customHeight="1" x14ac:dyDescent="0.2">
      <c r="A74" s="333"/>
      <c r="B74" s="311" t="s">
        <v>160</v>
      </c>
      <c r="C74" s="333" t="s">
        <v>161</v>
      </c>
      <c r="D74" s="333" t="s">
        <v>128</v>
      </c>
      <c r="E74" s="337" t="s">
        <v>11</v>
      </c>
      <c r="G74" s="330" t="s">
        <v>162</v>
      </c>
      <c r="H74" s="338">
        <v>0</v>
      </c>
      <c r="I74" s="338">
        <v>0</v>
      </c>
      <c r="J74" s="338">
        <v>0</v>
      </c>
      <c r="K74" s="338">
        <v>0</v>
      </c>
      <c r="L74" s="338">
        <v>0</v>
      </c>
      <c r="M74" s="338">
        <v>0</v>
      </c>
      <c r="N74" s="339">
        <v>0</v>
      </c>
      <c r="O74" s="339">
        <v>0</v>
      </c>
      <c r="P74" s="339">
        <v>0</v>
      </c>
      <c r="Q74" s="339">
        <v>0</v>
      </c>
      <c r="R74" s="339">
        <v>0</v>
      </c>
      <c r="S74" s="338">
        <v>0</v>
      </c>
    </row>
    <row r="75" spans="1:19" ht="14.1" customHeight="1" x14ac:dyDescent="0.2">
      <c r="A75" s="333"/>
      <c r="B75" s="311" t="s">
        <v>163</v>
      </c>
      <c r="C75" s="333" t="s">
        <v>161</v>
      </c>
      <c r="D75" s="333" t="s">
        <v>124</v>
      </c>
      <c r="E75" s="337" t="s">
        <v>480</v>
      </c>
      <c r="F75" s="340"/>
      <c r="G75" s="335" t="s">
        <v>164</v>
      </c>
      <c r="H75" s="338">
        <v>0</v>
      </c>
      <c r="I75" s="338">
        <v>0</v>
      </c>
      <c r="J75" s="338">
        <v>0</v>
      </c>
      <c r="K75" s="338">
        <v>0</v>
      </c>
      <c r="L75" s="338">
        <v>0</v>
      </c>
      <c r="M75" s="338">
        <v>0</v>
      </c>
      <c r="N75" s="339">
        <v>0</v>
      </c>
      <c r="O75" s="339">
        <v>0</v>
      </c>
      <c r="P75" s="339">
        <v>0</v>
      </c>
      <c r="Q75" s="339">
        <v>0</v>
      </c>
      <c r="R75" s="339">
        <v>0</v>
      </c>
      <c r="S75" s="338">
        <v>0</v>
      </c>
    </row>
    <row r="76" spans="1:19" ht="14.1" customHeight="1" x14ac:dyDescent="0.2">
      <c r="A76" s="333"/>
      <c r="B76" s="311" t="s">
        <v>165</v>
      </c>
      <c r="C76" s="333" t="s">
        <v>166</v>
      </c>
      <c r="D76" s="333" t="s">
        <v>131</v>
      </c>
      <c r="E76" s="337" t="s">
        <v>11</v>
      </c>
      <c r="G76" s="335" t="s">
        <v>167</v>
      </c>
      <c r="H76" s="338">
        <v>0</v>
      </c>
      <c r="I76" s="338">
        <v>0</v>
      </c>
      <c r="J76" s="338">
        <v>0</v>
      </c>
      <c r="K76" s="338">
        <v>0</v>
      </c>
      <c r="L76" s="338">
        <v>0</v>
      </c>
      <c r="M76" s="338">
        <v>0</v>
      </c>
      <c r="N76" s="339">
        <v>0</v>
      </c>
      <c r="O76" s="339">
        <v>0</v>
      </c>
      <c r="P76" s="339">
        <v>0</v>
      </c>
      <c r="Q76" s="339">
        <v>0</v>
      </c>
      <c r="R76" s="339">
        <v>0</v>
      </c>
      <c r="S76" s="338">
        <v>0</v>
      </c>
    </row>
    <row r="77" spans="1:19" ht="14.1" customHeight="1" x14ac:dyDescent="0.2">
      <c r="A77" s="333"/>
      <c r="B77" s="311" t="s">
        <v>168</v>
      </c>
      <c r="C77" s="333" t="s">
        <v>166</v>
      </c>
      <c r="D77" s="333" t="s">
        <v>135</v>
      </c>
      <c r="E77" s="337" t="s">
        <v>480</v>
      </c>
      <c r="F77" s="340"/>
      <c r="G77" s="335" t="s">
        <v>169</v>
      </c>
      <c r="H77" s="338">
        <v>0</v>
      </c>
      <c r="I77" s="338">
        <v>-301.07799999999997</v>
      </c>
      <c r="J77" s="338">
        <v>-308.65300000000002</v>
      </c>
      <c r="K77" s="338">
        <v>-260.16500000000002</v>
      </c>
      <c r="L77" s="338">
        <v>0</v>
      </c>
      <c r="M77" s="338">
        <v>0</v>
      </c>
      <c r="N77" s="339">
        <v>0</v>
      </c>
      <c r="O77" s="339">
        <v>0</v>
      </c>
      <c r="P77" s="339">
        <v>0</v>
      </c>
      <c r="Q77" s="339">
        <v>0</v>
      </c>
      <c r="R77" s="339">
        <v>0</v>
      </c>
      <c r="S77" s="338">
        <v>0</v>
      </c>
    </row>
    <row r="78" spans="1:19" ht="14.1" customHeight="1" x14ac:dyDescent="0.2">
      <c r="A78" s="333"/>
      <c r="B78" s="311" t="s">
        <v>170</v>
      </c>
      <c r="C78" s="333" t="s">
        <v>171</v>
      </c>
      <c r="D78" s="333" t="s">
        <v>135</v>
      </c>
      <c r="E78" s="337" t="s">
        <v>480</v>
      </c>
      <c r="F78" s="340"/>
      <c r="G78" s="335" t="s">
        <v>172</v>
      </c>
      <c r="H78" s="338">
        <v>0</v>
      </c>
      <c r="I78" s="338">
        <v>0</v>
      </c>
      <c r="J78" s="338">
        <v>0</v>
      </c>
      <c r="K78" s="338">
        <v>0</v>
      </c>
      <c r="L78" s="338">
        <v>0</v>
      </c>
      <c r="M78" s="338">
        <v>0</v>
      </c>
      <c r="N78" s="339">
        <v>0</v>
      </c>
      <c r="O78" s="339">
        <v>0</v>
      </c>
      <c r="P78" s="339">
        <v>0</v>
      </c>
      <c r="Q78" s="339">
        <v>0</v>
      </c>
      <c r="R78" s="339">
        <v>0</v>
      </c>
      <c r="S78" s="338">
        <v>0</v>
      </c>
    </row>
    <row r="79" spans="1:19" ht="14.1" customHeight="1" x14ac:dyDescent="0.2">
      <c r="A79" s="333"/>
      <c r="B79" s="311" t="s">
        <v>173</v>
      </c>
      <c r="C79" s="333" t="s">
        <v>174</v>
      </c>
      <c r="D79" s="333" t="s">
        <v>135</v>
      </c>
      <c r="E79" s="337" t="s">
        <v>480</v>
      </c>
      <c r="F79" s="340"/>
      <c r="G79" s="335" t="s">
        <v>175</v>
      </c>
      <c r="H79" s="338">
        <v>-7.0000000000000007E-2</v>
      </c>
      <c r="I79" s="338">
        <v>-15.696999999999999</v>
      </c>
      <c r="J79" s="338">
        <v>-5.3419999999999996</v>
      </c>
      <c r="K79" s="338">
        <v>-1.526</v>
      </c>
      <c r="L79" s="338">
        <v>0</v>
      </c>
      <c r="M79" s="338">
        <v>0</v>
      </c>
      <c r="N79" s="339">
        <v>0</v>
      </c>
      <c r="O79" s="339">
        <v>0</v>
      </c>
      <c r="P79" s="339">
        <v>0</v>
      </c>
      <c r="Q79" s="339">
        <v>0</v>
      </c>
      <c r="R79" s="339">
        <v>0</v>
      </c>
      <c r="S79" s="338">
        <v>0</v>
      </c>
    </row>
    <row r="80" spans="1:19" ht="14.1" customHeight="1" x14ac:dyDescent="0.2">
      <c r="A80" s="333"/>
      <c r="B80" s="311" t="s">
        <v>176</v>
      </c>
      <c r="C80" s="333" t="s">
        <v>177</v>
      </c>
      <c r="D80" s="333" t="s">
        <v>135</v>
      </c>
      <c r="E80" s="337" t="s">
        <v>480</v>
      </c>
      <c r="F80" s="340"/>
      <c r="G80" s="335" t="s">
        <v>178</v>
      </c>
      <c r="H80" s="338">
        <v>0</v>
      </c>
      <c r="I80" s="338">
        <v>0</v>
      </c>
      <c r="J80" s="338">
        <v>0</v>
      </c>
      <c r="K80" s="338">
        <v>0</v>
      </c>
      <c r="L80" s="338">
        <v>0</v>
      </c>
      <c r="M80" s="338">
        <v>0</v>
      </c>
      <c r="N80" s="339">
        <v>0</v>
      </c>
      <c r="O80" s="339">
        <v>0</v>
      </c>
      <c r="P80" s="339">
        <v>0</v>
      </c>
      <c r="Q80" s="339">
        <v>0</v>
      </c>
      <c r="R80" s="339">
        <v>0</v>
      </c>
      <c r="S80" s="338">
        <v>0</v>
      </c>
    </row>
    <row r="81" spans="1:19" ht="14.1" customHeight="1" x14ac:dyDescent="0.2">
      <c r="A81" s="333"/>
      <c r="B81" s="311" t="s">
        <v>179</v>
      </c>
      <c r="C81" s="333" t="s">
        <v>52</v>
      </c>
      <c r="D81" s="333" t="s">
        <v>135</v>
      </c>
      <c r="E81" s="337" t="s">
        <v>480</v>
      </c>
      <c r="F81" s="340"/>
      <c r="G81" s="335" t="s">
        <v>180</v>
      </c>
      <c r="H81" s="338">
        <v>0</v>
      </c>
      <c r="I81" s="338">
        <v>0</v>
      </c>
      <c r="J81" s="338">
        <v>0</v>
      </c>
      <c r="K81" s="338">
        <v>0</v>
      </c>
      <c r="L81" s="338">
        <v>0</v>
      </c>
      <c r="M81" s="338">
        <v>0</v>
      </c>
      <c r="N81" s="339">
        <v>0</v>
      </c>
      <c r="O81" s="339">
        <v>0</v>
      </c>
      <c r="P81" s="339">
        <v>0</v>
      </c>
      <c r="Q81" s="339">
        <v>0</v>
      </c>
      <c r="R81" s="339">
        <v>0</v>
      </c>
      <c r="S81" s="338">
        <v>0</v>
      </c>
    </row>
    <row r="82" spans="1:19" ht="14.1" customHeight="1" x14ac:dyDescent="0.2">
      <c r="A82" s="333"/>
      <c r="B82" s="311" t="s">
        <v>181</v>
      </c>
      <c r="C82" s="333" t="s">
        <v>182</v>
      </c>
      <c r="D82" s="333" t="s">
        <v>131</v>
      </c>
      <c r="E82" s="337" t="s">
        <v>11</v>
      </c>
      <c r="G82" s="335" t="s">
        <v>183</v>
      </c>
      <c r="H82" s="338">
        <v>0</v>
      </c>
      <c r="I82" s="338">
        <v>0</v>
      </c>
      <c r="J82" s="338">
        <v>0</v>
      </c>
      <c r="K82" s="338">
        <v>0</v>
      </c>
      <c r="L82" s="338">
        <v>0</v>
      </c>
      <c r="M82" s="338">
        <v>0</v>
      </c>
      <c r="N82" s="339">
        <v>0</v>
      </c>
      <c r="O82" s="339">
        <v>0</v>
      </c>
      <c r="P82" s="339">
        <v>0</v>
      </c>
      <c r="Q82" s="339">
        <v>0</v>
      </c>
      <c r="R82" s="339">
        <v>0</v>
      </c>
      <c r="S82" s="338">
        <v>0</v>
      </c>
    </row>
    <row r="83" spans="1:19" ht="14.1" customHeight="1" x14ac:dyDescent="0.2">
      <c r="A83" s="333"/>
      <c r="B83" s="311" t="s">
        <v>184</v>
      </c>
      <c r="C83" s="333" t="s">
        <v>182</v>
      </c>
      <c r="D83" s="333" t="s">
        <v>135</v>
      </c>
      <c r="E83" s="337" t="s">
        <v>480</v>
      </c>
      <c r="F83" s="340"/>
      <c r="G83" s="335" t="s">
        <v>374</v>
      </c>
      <c r="H83" s="338">
        <v>0</v>
      </c>
      <c r="I83" s="338">
        <v>0</v>
      </c>
      <c r="J83" s="338">
        <v>0</v>
      </c>
      <c r="K83" s="338">
        <v>0</v>
      </c>
      <c r="L83" s="338">
        <v>0</v>
      </c>
      <c r="M83" s="338">
        <v>0</v>
      </c>
      <c r="N83" s="339">
        <v>0</v>
      </c>
      <c r="O83" s="339">
        <v>0</v>
      </c>
      <c r="P83" s="339">
        <v>0</v>
      </c>
      <c r="Q83" s="339">
        <v>0</v>
      </c>
      <c r="R83" s="339">
        <v>0</v>
      </c>
      <c r="S83" s="338">
        <v>0</v>
      </c>
    </row>
    <row r="84" spans="1:19" ht="14.1" customHeight="1" x14ac:dyDescent="0.2">
      <c r="A84" s="333"/>
      <c r="B84" s="311" t="s">
        <v>185</v>
      </c>
      <c r="C84" s="333" t="s">
        <v>375</v>
      </c>
      <c r="D84" s="333" t="s">
        <v>135</v>
      </c>
      <c r="E84" s="337" t="s">
        <v>480</v>
      </c>
      <c r="F84" s="340"/>
      <c r="G84" s="335" t="s">
        <v>376</v>
      </c>
      <c r="H84" s="338">
        <v>0</v>
      </c>
      <c r="I84" s="338">
        <v>0</v>
      </c>
      <c r="J84" s="338">
        <v>0</v>
      </c>
      <c r="K84" s="338">
        <v>0</v>
      </c>
      <c r="L84" s="338">
        <v>0</v>
      </c>
      <c r="M84" s="338">
        <v>0</v>
      </c>
      <c r="N84" s="339">
        <v>0</v>
      </c>
      <c r="O84" s="339">
        <v>0</v>
      </c>
      <c r="P84" s="339">
        <v>0</v>
      </c>
      <c r="Q84" s="339">
        <v>0</v>
      </c>
      <c r="R84" s="339">
        <v>0</v>
      </c>
      <c r="S84" s="338">
        <v>0</v>
      </c>
    </row>
    <row r="85" spans="1:19" ht="14.1" customHeight="1" x14ac:dyDescent="0.2">
      <c r="A85" s="333"/>
      <c r="B85" s="311" t="s">
        <v>186</v>
      </c>
      <c r="C85" s="336">
        <v>68</v>
      </c>
      <c r="D85" s="333" t="s">
        <v>135</v>
      </c>
      <c r="E85" s="337" t="s">
        <v>480</v>
      </c>
      <c r="F85" s="340"/>
      <c r="G85" s="385" t="s">
        <v>111</v>
      </c>
      <c r="H85" s="338">
        <v>0</v>
      </c>
      <c r="I85" s="338">
        <v>0</v>
      </c>
      <c r="J85" s="338">
        <v>0</v>
      </c>
      <c r="K85" s="338">
        <v>0</v>
      </c>
      <c r="L85" s="338">
        <v>0</v>
      </c>
      <c r="M85" s="338">
        <v>0</v>
      </c>
      <c r="N85" s="339">
        <v>0</v>
      </c>
      <c r="O85" s="339">
        <v>0</v>
      </c>
      <c r="P85" s="339">
        <v>0</v>
      </c>
      <c r="Q85" s="339">
        <v>0</v>
      </c>
      <c r="R85" s="339">
        <v>0</v>
      </c>
      <c r="S85" s="338">
        <v>0</v>
      </c>
    </row>
    <row r="86" spans="1:19" ht="14.1" customHeight="1" x14ac:dyDescent="0.2">
      <c r="A86" s="333"/>
      <c r="B86" s="311" t="s">
        <v>377</v>
      </c>
      <c r="C86" s="336"/>
      <c r="D86" s="336"/>
      <c r="E86" s="334"/>
      <c r="G86" s="385" t="s">
        <v>158</v>
      </c>
      <c r="H86" s="331">
        <f t="shared" ref="H86:S86" si="16">SUM(H74:H85)</f>
        <v>-7.0000000000000007E-2</v>
      </c>
      <c r="I86" s="331">
        <f t="shared" si="16"/>
        <v>-316.77499999999998</v>
      </c>
      <c r="J86" s="331">
        <f t="shared" si="16"/>
        <v>-313.995</v>
      </c>
      <c r="K86" s="331">
        <f t="shared" si="16"/>
        <v>-261.69100000000003</v>
      </c>
      <c r="L86" s="331">
        <f t="shared" si="16"/>
        <v>0</v>
      </c>
      <c r="M86" s="331">
        <f t="shared" si="16"/>
        <v>0</v>
      </c>
      <c r="N86" s="331">
        <f t="shared" si="16"/>
        <v>0</v>
      </c>
      <c r="O86" s="331">
        <f t="shared" si="16"/>
        <v>0</v>
      </c>
      <c r="P86" s="331">
        <f t="shared" si="16"/>
        <v>0</v>
      </c>
      <c r="Q86" s="331">
        <f t="shared" si="16"/>
        <v>0</v>
      </c>
      <c r="R86" s="331">
        <f t="shared" si="16"/>
        <v>0</v>
      </c>
      <c r="S86" s="331">
        <f t="shared" si="16"/>
        <v>0</v>
      </c>
    </row>
    <row r="87" spans="1:19" s="373" customFormat="1" ht="14.1" customHeight="1" x14ac:dyDescent="0.2">
      <c r="A87" s="333"/>
      <c r="B87" s="311" t="s">
        <v>378</v>
      </c>
      <c r="C87" s="336"/>
      <c r="D87" s="336"/>
      <c r="E87" s="334"/>
      <c r="F87" s="333"/>
      <c r="G87" s="386" t="s">
        <v>379</v>
      </c>
      <c r="H87" s="387"/>
      <c r="I87" s="363">
        <f t="shared" ref="I87:S87" si="17">(I14+I15)-(H14+H15-I58-I59+I45)</f>
        <v>321.95199999999977</v>
      </c>
      <c r="J87" s="363">
        <f t="shared" si="17"/>
        <v>27.755999999999858</v>
      </c>
      <c r="K87" s="363">
        <f t="shared" si="17"/>
        <v>0</v>
      </c>
      <c r="L87" s="363">
        <f t="shared" si="17"/>
        <v>9.9999999974897946E-4</v>
      </c>
      <c r="M87" s="363">
        <f t="shared" si="17"/>
        <v>-5.8999999964726157E-4</v>
      </c>
      <c r="N87" s="363">
        <f t="shared" si="17"/>
        <v>-0.45141000000057829</v>
      </c>
      <c r="O87" s="363">
        <f t="shared" si="17"/>
        <v>0</v>
      </c>
      <c r="P87" s="363">
        <f t="shared" si="17"/>
        <v>0</v>
      </c>
      <c r="Q87" s="363">
        <f t="shared" si="17"/>
        <v>0</v>
      </c>
      <c r="R87" s="363">
        <f t="shared" si="17"/>
        <v>0</v>
      </c>
      <c r="S87" s="363">
        <f t="shared" si="17"/>
        <v>0</v>
      </c>
    </row>
    <row r="88" spans="1:19" s="373" customFormat="1" ht="14.1" customHeight="1" x14ac:dyDescent="0.2">
      <c r="A88" s="333"/>
      <c r="B88" s="311" t="s">
        <v>380</v>
      </c>
      <c r="C88" s="336"/>
      <c r="D88" s="336"/>
      <c r="E88" s="334"/>
      <c r="F88" s="333"/>
      <c r="G88" s="386" t="s">
        <v>381</v>
      </c>
      <c r="H88" s="387"/>
      <c r="I88" s="363">
        <f t="shared" ref="I88:S88" si="18">I24-(H24+(I74+I76)+(I75+I77)+(I78))</f>
        <v>0</v>
      </c>
      <c r="J88" s="363">
        <f t="shared" si="18"/>
        <v>0</v>
      </c>
      <c r="K88" s="363">
        <f t="shared" si="18"/>
        <v>0</v>
      </c>
      <c r="L88" s="363">
        <f t="shared" si="18"/>
        <v>0</v>
      </c>
      <c r="M88" s="363">
        <f t="shared" si="18"/>
        <v>0</v>
      </c>
      <c r="N88" s="363">
        <f t="shared" si="18"/>
        <v>0</v>
      </c>
      <c r="O88" s="363">
        <f t="shared" si="18"/>
        <v>0</v>
      </c>
      <c r="P88" s="363">
        <f t="shared" si="18"/>
        <v>0</v>
      </c>
      <c r="Q88" s="363">
        <f t="shared" si="18"/>
        <v>0</v>
      </c>
      <c r="R88" s="363">
        <f t="shared" si="18"/>
        <v>0</v>
      </c>
      <c r="S88" s="363">
        <f t="shared" si="18"/>
        <v>0</v>
      </c>
    </row>
    <row r="89" spans="1:19" s="373" customFormat="1" ht="14.1" customHeight="1" x14ac:dyDescent="0.2">
      <c r="A89" s="333"/>
      <c r="B89" s="311" t="s">
        <v>382</v>
      </c>
      <c r="C89" s="336"/>
      <c r="D89" s="336"/>
      <c r="E89" s="334"/>
      <c r="F89" s="333"/>
      <c r="G89" s="386" t="s">
        <v>383</v>
      </c>
      <c r="H89" s="387"/>
      <c r="I89" s="363">
        <f t="shared" ref="I89:S89" si="19">I28-(H28+(I82+I83))</f>
        <v>0</v>
      </c>
      <c r="J89" s="363">
        <f t="shared" si="19"/>
        <v>0</v>
      </c>
      <c r="K89" s="363">
        <f t="shared" si="19"/>
        <v>0</v>
      </c>
      <c r="L89" s="363">
        <f t="shared" si="19"/>
        <v>0</v>
      </c>
      <c r="M89" s="363">
        <f t="shared" si="19"/>
        <v>9.9999999974897946E-5</v>
      </c>
      <c r="N89" s="363">
        <f t="shared" si="19"/>
        <v>-0.23309999999992215</v>
      </c>
      <c r="O89" s="363">
        <f t="shared" si="19"/>
        <v>0</v>
      </c>
      <c r="P89" s="363">
        <f t="shared" si="19"/>
        <v>0</v>
      </c>
      <c r="Q89" s="363">
        <f t="shared" si="19"/>
        <v>0</v>
      </c>
      <c r="R89" s="363">
        <f t="shared" si="19"/>
        <v>0</v>
      </c>
      <c r="S89" s="363">
        <f t="shared" si="19"/>
        <v>0</v>
      </c>
    </row>
    <row r="90" spans="1:19" s="373" customFormat="1" ht="14.1" customHeight="1" x14ac:dyDescent="0.2">
      <c r="A90" s="333"/>
      <c r="B90" s="311" t="s">
        <v>384</v>
      </c>
      <c r="C90" s="336"/>
      <c r="D90" s="336"/>
      <c r="E90" s="334"/>
      <c r="F90" s="333"/>
      <c r="G90" s="386" t="s">
        <v>385</v>
      </c>
      <c r="H90" s="387"/>
      <c r="I90" s="363">
        <f t="shared" ref="I90:S90" si="20">I29-(H29+H30)-I84</f>
        <v>0</v>
      </c>
      <c r="J90" s="363">
        <f t="shared" si="20"/>
        <v>0</v>
      </c>
      <c r="K90" s="363">
        <f t="shared" si="20"/>
        <v>0</v>
      </c>
      <c r="L90" s="363">
        <f t="shared" si="20"/>
        <v>0</v>
      </c>
      <c r="M90" s="363">
        <f t="shared" si="20"/>
        <v>-2.7000000000043656E-4</v>
      </c>
      <c r="N90" s="363">
        <f t="shared" si="20"/>
        <v>-0.28473000000030879</v>
      </c>
      <c r="O90" s="363">
        <f t="shared" si="20"/>
        <v>0</v>
      </c>
      <c r="P90" s="363">
        <f t="shared" si="20"/>
        <v>0</v>
      </c>
      <c r="Q90" s="363">
        <f t="shared" si="20"/>
        <v>0</v>
      </c>
      <c r="R90" s="363">
        <f t="shared" si="20"/>
        <v>0</v>
      </c>
      <c r="S90" s="363">
        <f t="shared" si="20"/>
        <v>0</v>
      </c>
    </row>
    <row r="91" spans="1:19" s="373" customFormat="1" ht="14.1" customHeight="1" x14ac:dyDescent="0.2">
      <c r="A91" s="333"/>
      <c r="B91" s="311"/>
      <c r="C91" s="336"/>
      <c r="D91" s="336"/>
      <c r="E91" s="334"/>
      <c r="F91" s="333"/>
      <c r="G91" s="388"/>
      <c r="L91" s="389">
        <f>L90-L87</f>
        <v>-9.9999999974897946E-4</v>
      </c>
    </row>
    <row r="92" spans="1:19" s="373" customFormat="1" ht="14.1" customHeight="1" x14ac:dyDescent="0.2">
      <c r="A92" s="341" t="s">
        <v>0</v>
      </c>
      <c r="B92" s="311"/>
      <c r="C92" s="336"/>
      <c r="D92" s="768" t="s">
        <v>187</v>
      </c>
      <c r="E92" s="768"/>
      <c r="F92" s="333"/>
      <c r="G92" s="390" t="s">
        <v>386</v>
      </c>
      <c r="H92" s="366">
        <f t="shared" ref="H92:S92" si="21">H73</f>
        <v>2011</v>
      </c>
      <c r="I92" s="366">
        <f t="shared" si="21"/>
        <v>2012</v>
      </c>
      <c r="J92" s="366">
        <f t="shared" si="21"/>
        <v>2013</v>
      </c>
      <c r="K92" s="366">
        <f t="shared" si="21"/>
        <v>2014</v>
      </c>
      <c r="L92" s="366">
        <f t="shared" si="21"/>
        <v>2015</v>
      </c>
      <c r="M92" s="366">
        <f t="shared" si="21"/>
        <v>2016</v>
      </c>
      <c r="N92" s="366">
        <f t="shared" si="21"/>
        <v>2017</v>
      </c>
      <c r="O92" s="366">
        <f t="shared" si="21"/>
        <v>2018</v>
      </c>
      <c r="P92" s="366">
        <f t="shared" si="21"/>
        <v>2019</v>
      </c>
      <c r="Q92" s="366">
        <f t="shared" si="21"/>
        <v>2020</v>
      </c>
      <c r="R92" s="366">
        <f t="shared" si="21"/>
        <v>2021</v>
      </c>
      <c r="S92" s="366">
        <f t="shared" si="21"/>
        <v>2021</v>
      </c>
    </row>
    <row r="93" spans="1:19" s="373" customFormat="1" ht="14.1" customHeight="1" x14ac:dyDescent="0.2">
      <c r="A93" s="333"/>
      <c r="B93" s="311" t="s">
        <v>387</v>
      </c>
      <c r="C93" s="336" t="s">
        <v>388</v>
      </c>
      <c r="D93" s="336"/>
      <c r="E93" s="334"/>
      <c r="F93" s="333"/>
      <c r="G93" s="391" t="s">
        <v>389</v>
      </c>
      <c r="H93" s="392">
        <f t="shared" ref="H93:S93" si="22">H5+H11+H12+H13</f>
        <v>1488.482</v>
      </c>
      <c r="I93" s="392">
        <f t="shared" si="22"/>
        <v>1287.806</v>
      </c>
      <c r="J93" s="392">
        <f t="shared" si="22"/>
        <v>914.649</v>
      </c>
      <c r="K93" s="392">
        <f t="shared" si="22"/>
        <v>798.71699999999998</v>
      </c>
      <c r="L93" s="392">
        <f t="shared" si="22"/>
        <v>2149.0320000000002</v>
      </c>
      <c r="M93" s="392">
        <f t="shared" si="22"/>
        <v>1538.6481399999998</v>
      </c>
      <c r="N93" s="392">
        <f t="shared" si="22"/>
        <v>1856</v>
      </c>
      <c r="O93" s="392">
        <f t="shared" si="22"/>
        <v>1799</v>
      </c>
      <c r="P93" s="392">
        <f t="shared" si="22"/>
        <v>1800</v>
      </c>
      <c r="Q93" s="392">
        <f t="shared" si="22"/>
        <v>1800</v>
      </c>
      <c r="R93" s="392">
        <f t="shared" si="22"/>
        <v>2080</v>
      </c>
      <c r="S93" s="392">
        <f t="shared" si="22"/>
        <v>2184</v>
      </c>
    </row>
    <row r="94" spans="1:19" s="373" customFormat="1" ht="14.1" customHeight="1" x14ac:dyDescent="0.2">
      <c r="A94" s="333"/>
      <c r="B94" s="311" t="s">
        <v>390</v>
      </c>
      <c r="C94" s="336"/>
      <c r="D94" s="336"/>
      <c r="E94" s="334"/>
      <c r="F94" s="333"/>
      <c r="G94" s="393" t="s">
        <v>391</v>
      </c>
      <c r="H94" s="387"/>
      <c r="I94" s="392">
        <f t="shared" ref="I94:S94" si="23">I93-H93</f>
        <v>-200.67599999999993</v>
      </c>
      <c r="J94" s="392">
        <f t="shared" si="23"/>
        <v>-373.15700000000004</v>
      </c>
      <c r="K94" s="392">
        <f t="shared" si="23"/>
        <v>-115.93200000000002</v>
      </c>
      <c r="L94" s="392">
        <f t="shared" si="23"/>
        <v>1350.3150000000001</v>
      </c>
      <c r="M94" s="392">
        <f t="shared" si="23"/>
        <v>-610.38386000000037</v>
      </c>
      <c r="N94" s="392">
        <f t="shared" si="23"/>
        <v>317.35186000000022</v>
      </c>
      <c r="O94" s="392">
        <f t="shared" si="23"/>
        <v>-57</v>
      </c>
      <c r="P94" s="392">
        <f t="shared" si="23"/>
        <v>1</v>
      </c>
      <c r="Q94" s="392">
        <f t="shared" si="23"/>
        <v>0</v>
      </c>
      <c r="R94" s="392">
        <f t="shared" si="23"/>
        <v>280</v>
      </c>
      <c r="S94" s="392">
        <f t="shared" si="23"/>
        <v>104</v>
      </c>
    </row>
    <row r="95" spans="1:19" s="373" customFormat="1" ht="14.1" customHeight="1" x14ac:dyDescent="0.2">
      <c r="A95" s="333"/>
      <c r="B95" s="311" t="s">
        <v>392</v>
      </c>
      <c r="C95" s="336" t="s">
        <v>42</v>
      </c>
      <c r="D95" s="336"/>
      <c r="E95" s="334"/>
      <c r="F95" s="333"/>
      <c r="G95" s="391" t="s">
        <v>393</v>
      </c>
      <c r="H95" s="392">
        <f t="shared" ref="H95:S95" si="24">H19</f>
        <v>1127.4949999999999</v>
      </c>
      <c r="I95" s="392">
        <f t="shared" si="24"/>
        <v>867.88499999999999</v>
      </c>
      <c r="J95" s="392">
        <f t="shared" si="24"/>
        <v>551.5</v>
      </c>
      <c r="K95" s="392">
        <f t="shared" si="24"/>
        <v>334.11199999999997</v>
      </c>
      <c r="L95" s="392">
        <f t="shared" si="24"/>
        <v>1296.367</v>
      </c>
      <c r="M95" s="392">
        <f t="shared" si="24"/>
        <v>343.58100000000002</v>
      </c>
      <c r="N95" s="392">
        <f t="shared" si="24"/>
        <v>405</v>
      </c>
      <c r="O95" s="392">
        <f t="shared" si="24"/>
        <v>313</v>
      </c>
      <c r="P95" s="392">
        <f t="shared" si="24"/>
        <v>330</v>
      </c>
      <c r="Q95" s="392">
        <f t="shared" si="24"/>
        <v>226</v>
      </c>
      <c r="R95" s="392">
        <f t="shared" si="24"/>
        <v>302</v>
      </c>
      <c r="S95" s="392">
        <f t="shared" si="24"/>
        <v>202</v>
      </c>
    </row>
    <row r="96" spans="1:19" s="373" customFormat="1" ht="14.1" customHeight="1" x14ac:dyDescent="0.2">
      <c r="A96" s="333"/>
      <c r="B96" s="311" t="s">
        <v>394</v>
      </c>
      <c r="C96" s="336"/>
      <c r="D96" s="336"/>
      <c r="E96" s="334"/>
      <c r="F96" s="333"/>
      <c r="G96" s="393" t="s">
        <v>391</v>
      </c>
      <c r="H96" s="387"/>
      <c r="I96" s="392">
        <f t="shared" ref="I96:S96" si="25">I95-H95</f>
        <v>-259.6099999999999</v>
      </c>
      <c r="J96" s="392">
        <f t="shared" si="25"/>
        <v>-316.38499999999999</v>
      </c>
      <c r="K96" s="392">
        <f t="shared" si="25"/>
        <v>-217.38800000000003</v>
      </c>
      <c r="L96" s="392">
        <f t="shared" si="25"/>
        <v>962.255</v>
      </c>
      <c r="M96" s="392">
        <f t="shared" si="25"/>
        <v>-952.78599999999994</v>
      </c>
      <c r="N96" s="392">
        <f t="shared" si="25"/>
        <v>61.418999999999983</v>
      </c>
      <c r="O96" s="392">
        <f t="shared" si="25"/>
        <v>-92</v>
      </c>
      <c r="P96" s="392">
        <f t="shared" si="25"/>
        <v>17</v>
      </c>
      <c r="Q96" s="392">
        <f t="shared" si="25"/>
        <v>-104</v>
      </c>
      <c r="R96" s="392">
        <f t="shared" si="25"/>
        <v>76</v>
      </c>
      <c r="S96" s="392">
        <f t="shared" si="25"/>
        <v>-100</v>
      </c>
    </row>
    <row r="97" spans="1:20" s="398" customFormat="1" ht="14.1" customHeight="1" x14ac:dyDescent="0.2">
      <c r="A97" s="379" t="s">
        <v>395</v>
      </c>
      <c r="B97" s="311" t="s">
        <v>188</v>
      </c>
      <c r="C97" s="336" t="s">
        <v>396</v>
      </c>
      <c r="D97" s="394"/>
      <c r="E97" s="380"/>
      <c r="F97" s="379"/>
      <c r="G97" s="395" t="s">
        <v>386</v>
      </c>
      <c r="H97" s="396"/>
      <c r="I97" s="397">
        <f t="shared" ref="I97:S97" si="26">I94-I96</f>
        <v>58.933999999999969</v>
      </c>
      <c r="J97" s="397">
        <f t="shared" si="26"/>
        <v>-56.772000000000048</v>
      </c>
      <c r="K97" s="397">
        <f t="shared" si="26"/>
        <v>101.45600000000002</v>
      </c>
      <c r="L97" s="397">
        <f t="shared" si="26"/>
        <v>388.06000000000006</v>
      </c>
      <c r="M97" s="397">
        <f t="shared" si="26"/>
        <v>342.40213999999958</v>
      </c>
      <c r="N97" s="397">
        <f t="shared" si="26"/>
        <v>255.93286000000023</v>
      </c>
      <c r="O97" s="397">
        <f t="shared" si="26"/>
        <v>35</v>
      </c>
      <c r="P97" s="397">
        <f t="shared" si="26"/>
        <v>-16</v>
      </c>
      <c r="Q97" s="397">
        <f t="shared" si="26"/>
        <v>104</v>
      </c>
      <c r="R97" s="397">
        <f t="shared" si="26"/>
        <v>204</v>
      </c>
      <c r="S97" s="397">
        <f t="shared" si="26"/>
        <v>204</v>
      </c>
    </row>
    <row r="98" spans="1:20" s="373" customFormat="1" ht="14.1" customHeight="1" x14ac:dyDescent="0.2">
      <c r="A98" s="333"/>
      <c r="B98" s="311"/>
      <c r="C98" s="336"/>
      <c r="D98" s="336"/>
      <c r="E98" s="334"/>
      <c r="F98" s="333"/>
      <c r="G98" s="396"/>
      <c r="H98" s="396"/>
      <c r="I98" s="396"/>
      <c r="J98" s="396"/>
      <c r="K98" s="396"/>
      <c r="L98" s="396"/>
      <c r="M98" s="396"/>
      <c r="N98" s="396"/>
      <c r="O98" s="396"/>
      <c r="P98" s="396"/>
      <c r="Q98" s="396"/>
      <c r="R98" s="396"/>
      <c r="S98" s="396"/>
    </row>
    <row r="99" spans="1:20" s="373" customFormat="1" ht="14.1" customHeight="1" x14ac:dyDescent="0.2">
      <c r="A99" s="333"/>
      <c r="B99" s="311" t="s">
        <v>397</v>
      </c>
      <c r="C99" s="336" t="s">
        <v>398</v>
      </c>
      <c r="D99" s="336"/>
      <c r="E99" s="334"/>
      <c r="F99" s="333"/>
      <c r="G99" s="391" t="s">
        <v>399</v>
      </c>
      <c r="H99" s="392">
        <f t="shared" ref="H99:S99" si="27">H4-H93</f>
        <v>2962.018</v>
      </c>
      <c r="I99" s="392">
        <f t="shared" si="27"/>
        <v>3140.3319999999999</v>
      </c>
      <c r="J99" s="392">
        <f t="shared" si="27"/>
        <v>3077.1729999999998</v>
      </c>
      <c r="K99" s="392">
        <f t="shared" si="27"/>
        <v>3027.3710000000001</v>
      </c>
      <c r="L99" s="392">
        <f t="shared" si="27"/>
        <v>3210.4560000000001</v>
      </c>
      <c r="M99" s="392">
        <f t="shared" si="27"/>
        <v>4732.4514100000015</v>
      </c>
      <c r="N99" s="392">
        <f t="shared" si="27"/>
        <v>4568</v>
      </c>
      <c r="O99" s="392">
        <f t="shared" si="27"/>
        <v>4533</v>
      </c>
      <c r="P99" s="392">
        <f t="shared" si="27"/>
        <v>4549</v>
      </c>
      <c r="Q99" s="392">
        <f t="shared" si="27"/>
        <v>4445</v>
      </c>
      <c r="R99" s="392">
        <f t="shared" si="27"/>
        <v>4241</v>
      </c>
      <c r="S99" s="392">
        <f t="shared" si="27"/>
        <v>4037</v>
      </c>
    </row>
    <row r="100" spans="1:20" s="373" customFormat="1" ht="14.1" customHeight="1" x14ac:dyDescent="0.2">
      <c r="A100" s="333"/>
      <c r="B100" s="311" t="s">
        <v>400</v>
      </c>
      <c r="C100" s="336"/>
      <c r="D100" s="336"/>
      <c r="E100" s="334"/>
      <c r="F100" s="333"/>
      <c r="G100" s="393" t="s">
        <v>391</v>
      </c>
      <c r="H100" s="387"/>
      <c r="I100" s="392">
        <f t="shared" ref="I100:S100" si="28">I99-H99</f>
        <v>178.31399999999985</v>
      </c>
      <c r="J100" s="392">
        <f t="shared" si="28"/>
        <v>-63.159000000000106</v>
      </c>
      <c r="K100" s="392">
        <f t="shared" si="28"/>
        <v>-49.80199999999968</v>
      </c>
      <c r="L100" s="392">
        <f t="shared" si="28"/>
        <v>183.08500000000004</v>
      </c>
      <c r="M100" s="392">
        <f t="shared" si="28"/>
        <v>1521.9954100000014</v>
      </c>
      <c r="N100" s="392">
        <f t="shared" si="28"/>
        <v>-164.45141000000149</v>
      </c>
      <c r="O100" s="392">
        <f t="shared" si="28"/>
        <v>-35</v>
      </c>
      <c r="P100" s="392">
        <f t="shared" si="28"/>
        <v>16</v>
      </c>
      <c r="Q100" s="392">
        <f t="shared" si="28"/>
        <v>-104</v>
      </c>
      <c r="R100" s="392">
        <f t="shared" si="28"/>
        <v>-204</v>
      </c>
      <c r="S100" s="392">
        <f t="shared" si="28"/>
        <v>-204</v>
      </c>
    </row>
    <row r="101" spans="1:20" s="373" customFormat="1" ht="14.1" customHeight="1" x14ac:dyDescent="0.2">
      <c r="A101" s="333"/>
      <c r="B101" s="311" t="s">
        <v>401</v>
      </c>
      <c r="C101" s="336" t="s">
        <v>64</v>
      </c>
      <c r="D101" s="336"/>
      <c r="E101" s="334"/>
      <c r="F101" s="333"/>
      <c r="G101" s="391" t="s">
        <v>402</v>
      </c>
      <c r="H101" s="392">
        <f t="shared" ref="H101:S101" si="29">H27</f>
        <v>3323.0039999999999</v>
      </c>
      <c r="I101" s="392">
        <f t="shared" si="29"/>
        <v>3560.2539999999999</v>
      </c>
      <c r="J101" s="392">
        <f t="shared" si="29"/>
        <v>3440.3209999999999</v>
      </c>
      <c r="K101" s="392">
        <f t="shared" si="29"/>
        <v>3491.9749999999999</v>
      </c>
      <c r="L101" s="392">
        <f t="shared" si="29"/>
        <v>4063.1220000000003</v>
      </c>
      <c r="M101" s="392">
        <f t="shared" si="29"/>
        <v>5927.5178299999998</v>
      </c>
      <c r="N101" s="392">
        <f t="shared" si="29"/>
        <v>6019</v>
      </c>
      <c r="O101" s="392">
        <f t="shared" si="29"/>
        <v>6019</v>
      </c>
      <c r="P101" s="392">
        <f t="shared" si="29"/>
        <v>6019</v>
      </c>
      <c r="Q101" s="392">
        <f t="shared" si="29"/>
        <v>6019</v>
      </c>
      <c r="R101" s="392">
        <f t="shared" si="29"/>
        <v>6019</v>
      </c>
      <c r="S101" s="392">
        <f t="shared" si="29"/>
        <v>6019</v>
      </c>
    </row>
    <row r="102" spans="1:20" s="373" customFormat="1" ht="14.1" customHeight="1" x14ac:dyDescent="0.2">
      <c r="A102" s="333"/>
      <c r="B102" s="311" t="s">
        <v>403</v>
      </c>
      <c r="C102" s="336"/>
      <c r="D102" s="336"/>
      <c r="E102" s="334"/>
      <c r="F102" s="333"/>
      <c r="G102" s="393" t="s">
        <v>391</v>
      </c>
      <c r="H102" s="387"/>
      <c r="I102" s="392">
        <f t="shared" ref="I102:S102" si="30">I101-H101</f>
        <v>237.25</v>
      </c>
      <c r="J102" s="392">
        <f t="shared" si="30"/>
        <v>-119.93299999999999</v>
      </c>
      <c r="K102" s="392">
        <f t="shared" si="30"/>
        <v>51.653999999999996</v>
      </c>
      <c r="L102" s="392">
        <f t="shared" si="30"/>
        <v>571.14700000000039</v>
      </c>
      <c r="M102" s="392">
        <f t="shared" si="30"/>
        <v>1864.3958299999995</v>
      </c>
      <c r="N102" s="392">
        <f t="shared" si="30"/>
        <v>91.482170000000224</v>
      </c>
      <c r="O102" s="392">
        <f t="shared" si="30"/>
        <v>0</v>
      </c>
      <c r="P102" s="392">
        <f t="shared" si="30"/>
        <v>0</v>
      </c>
      <c r="Q102" s="392">
        <f t="shared" si="30"/>
        <v>0</v>
      </c>
      <c r="R102" s="392">
        <f t="shared" si="30"/>
        <v>0</v>
      </c>
      <c r="S102" s="392">
        <f t="shared" si="30"/>
        <v>0</v>
      </c>
    </row>
    <row r="103" spans="1:20" s="398" customFormat="1" ht="14.1" customHeight="1" x14ac:dyDescent="0.2">
      <c r="A103" s="379" t="s">
        <v>404</v>
      </c>
      <c r="B103" s="311" t="s">
        <v>189</v>
      </c>
      <c r="C103" s="336" t="s">
        <v>405</v>
      </c>
      <c r="D103" s="336"/>
      <c r="E103" s="334"/>
      <c r="F103" s="333"/>
      <c r="G103" s="395" t="s">
        <v>406</v>
      </c>
      <c r="H103" s="396"/>
      <c r="I103" s="397">
        <f t="shared" ref="I103:S103" si="31">I102-I100</f>
        <v>58.936000000000149</v>
      </c>
      <c r="J103" s="397">
        <f t="shared" si="31"/>
        <v>-56.773999999999887</v>
      </c>
      <c r="K103" s="397">
        <f t="shared" si="31"/>
        <v>101.45599999999968</v>
      </c>
      <c r="L103" s="397">
        <f t="shared" si="31"/>
        <v>388.06200000000035</v>
      </c>
      <c r="M103" s="397">
        <f t="shared" si="31"/>
        <v>342.40041999999812</v>
      </c>
      <c r="N103" s="397">
        <f t="shared" si="31"/>
        <v>255.93358000000171</v>
      </c>
      <c r="O103" s="397">
        <f t="shared" si="31"/>
        <v>35</v>
      </c>
      <c r="P103" s="397">
        <f t="shared" si="31"/>
        <v>-16</v>
      </c>
      <c r="Q103" s="397">
        <f t="shared" si="31"/>
        <v>104</v>
      </c>
      <c r="R103" s="397">
        <f t="shared" si="31"/>
        <v>204</v>
      </c>
      <c r="S103" s="397">
        <f t="shared" si="31"/>
        <v>204</v>
      </c>
    </row>
    <row r="104" spans="1:20" s="373" customFormat="1" ht="14.1" customHeight="1" x14ac:dyDescent="0.2">
      <c r="A104" s="333"/>
      <c r="B104" s="311"/>
      <c r="C104" s="336"/>
      <c r="D104" s="336"/>
      <c r="E104" s="334"/>
      <c r="F104" s="333"/>
      <c r="G104" s="396"/>
      <c r="H104" s="396"/>
      <c r="I104" s="396"/>
      <c r="J104" s="396"/>
      <c r="K104" s="396"/>
      <c r="L104" s="396"/>
      <c r="M104" s="396"/>
      <c r="N104" s="396"/>
      <c r="O104" s="396"/>
      <c r="P104" s="396"/>
      <c r="Q104" s="396"/>
      <c r="R104" s="396"/>
      <c r="S104" s="396"/>
    </row>
    <row r="105" spans="1:20" s="373" customFormat="1" ht="14.1" customHeight="1" x14ac:dyDescent="0.2">
      <c r="A105" s="341"/>
      <c r="B105" s="311"/>
      <c r="C105" s="336"/>
      <c r="D105" s="336"/>
      <c r="E105" s="334"/>
      <c r="F105" s="333"/>
      <c r="G105" s="390" t="s">
        <v>407</v>
      </c>
      <c r="H105" s="366">
        <f t="shared" ref="H105:S105" si="32">H32</f>
        <v>2011</v>
      </c>
      <c r="I105" s="366">
        <f t="shared" si="32"/>
        <v>2012</v>
      </c>
      <c r="J105" s="366">
        <f t="shared" si="32"/>
        <v>2013</v>
      </c>
      <c r="K105" s="366">
        <f t="shared" si="32"/>
        <v>2014</v>
      </c>
      <c r="L105" s="366">
        <f t="shared" si="32"/>
        <v>2015</v>
      </c>
      <c r="M105" s="366">
        <f t="shared" si="32"/>
        <v>2016</v>
      </c>
      <c r="N105" s="366">
        <f t="shared" si="32"/>
        <v>2017</v>
      </c>
      <c r="O105" s="366">
        <f t="shared" si="32"/>
        <v>2018</v>
      </c>
      <c r="P105" s="366">
        <f t="shared" si="32"/>
        <v>2019</v>
      </c>
      <c r="Q105" s="366">
        <f t="shared" si="32"/>
        <v>2020</v>
      </c>
      <c r="R105" s="366">
        <f t="shared" si="32"/>
        <v>2021</v>
      </c>
      <c r="S105" s="366">
        <f t="shared" si="32"/>
        <v>2022</v>
      </c>
    </row>
    <row r="106" spans="1:20" s="398" customFormat="1" ht="14.1" customHeight="1" x14ac:dyDescent="0.2">
      <c r="A106" s="379" t="s">
        <v>408</v>
      </c>
      <c r="B106" s="311" t="s">
        <v>192</v>
      </c>
      <c r="C106" s="379" t="s">
        <v>409</v>
      </c>
      <c r="D106" s="336"/>
      <c r="E106" s="334"/>
      <c r="F106" s="333"/>
      <c r="G106" s="399" t="s">
        <v>407</v>
      </c>
      <c r="H106" s="396" t="s">
        <v>358</v>
      </c>
      <c r="I106" s="400">
        <f t="shared" ref="I106:S106" si="33">(I48-I45+I50)+(I58+I59)+(I82+I83+I84+I85)-(I85-I49)</f>
        <v>380.88799999999981</v>
      </c>
      <c r="J106" s="400">
        <f t="shared" si="33"/>
        <v>-29.018000000000534</v>
      </c>
      <c r="K106" s="400">
        <f t="shared" si="33"/>
        <v>101.45600000000026</v>
      </c>
      <c r="L106" s="400">
        <f t="shared" si="33"/>
        <v>388.06300000000022</v>
      </c>
      <c r="M106" s="400">
        <f t="shared" si="33"/>
        <v>342.14465999999993</v>
      </c>
      <c r="N106" s="400">
        <f t="shared" si="33"/>
        <v>256</v>
      </c>
      <c r="O106" s="400">
        <f t="shared" si="33"/>
        <v>35</v>
      </c>
      <c r="P106" s="400">
        <f t="shared" si="33"/>
        <v>-16.389999999999873</v>
      </c>
      <c r="Q106" s="400">
        <f t="shared" si="33"/>
        <v>104.37830000000031</v>
      </c>
      <c r="R106" s="400">
        <f t="shared" si="33"/>
        <v>204.33964899999955</v>
      </c>
      <c r="S106" s="400">
        <f t="shared" si="33"/>
        <v>203.52983846999996</v>
      </c>
    </row>
    <row r="107" spans="1:20" s="398" customFormat="1" ht="14.1" customHeight="1" x14ac:dyDescent="0.2">
      <c r="A107" s="379" t="s">
        <v>410</v>
      </c>
      <c r="B107" s="311" t="s">
        <v>194</v>
      </c>
      <c r="C107" s="379" t="s">
        <v>411</v>
      </c>
      <c r="D107" s="336"/>
      <c r="E107" s="334"/>
      <c r="F107" s="333"/>
      <c r="G107" s="386" t="s">
        <v>412</v>
      </c>
      <c r="H107" s="396" t="s">
        <v>358</v>
      </c>
      <c r="I107" s="363">
        <f t="shared" ref="I107:S107" si="34">I97-I106</f>
        <v>-321.95399999999984</v>
      </c>
      <c r="J107" s="363">
        <f t="shared" si="34"/>
        <v>-27.753999999999515</v>
      </c>
      <c r="K107" s="363">
        <f t="shared" si="34"/>
        <v>-2.4158453015843406E-13</v>
      </c>
      <c r="L107" s="363">
        <f t="shared" si="34"/>
        <v>-3.0000000001564331E-3</v>
      </c>
      <c r="M107" s="363">
        <f t="shared" si="34"/>
        <v>0.25747999999964577</v>
      </c>
      <c r="N107" s="363">
        <f t="shared" si="34"/>
        <v>-6.7139999999767497E-2</v>
      </c>
      <c r="O107" s="363">
        <f t="shared" si="34"/>
        <v>0</v>
      </c>
      <c r="P107" s="363">
        <f t="shared" si="34"/>
        <v>0.38999999999987267</v>
      </c>
      <c r="Q107" s="363">
        <f t="shared" si="34"/>
        <v>-0.3783000000003085</v>
      </c>
      <c r="R107" s="363">
        <f t="shared" si="34"/>
        <v>-0.33964899999955378</v>
      </c>
      <c r="S107" s="363">
        <f t="shared" si="34"/>
        <v>0.47016153000004124</v>
      </c>
    </row>
    <row r="108" spans="1:20" s="398" customFormat="1" ht="14.1" customHeight="1" x14ac:dyDescent="0.2">
      <c r="A108" s="379"/>
      <c r="B108" s="311"/>
      <c r="C108" s="379"/>
      <c r="D108" s="336"/>
      <c r="E108" s="334"/>
      <c r="F108" s="334"/>
      <c r="G108" s="334"/>
      <c r="H108" s="334"/>
      <c r="I108" s="334"/>
      <c r="J108" s="334"/>
      <c r="K108" s="334"/>
      <c r="L108" s="334"/>
      <c r="M108" s="334"/>
      <c r="N108" s="334"/>
      <c r="O108" s="334"/>
      <c r="P108" s="334"/>
      <c r="Q108" s="334"/>
      <c r="R108" s="334"/>
      <c r="S108" s="334"/>
      <c r="T108" s="334"/>
    </row>
    <row r="109" spans="1:20" s="398" customFormat="1" ht="14.1" customHeight="1" x14ac:dyDescent="0.2">
      <c r="A109" s="379"/>
      <c r="B109" s="311"/>
      <c r="C109" s="379"/>
      <c r="D109" s="336"/>
      <c r="E109" s="334"/>
      <c r="F109" s="333"/>
      <c r="G109" s="390" t="s">
        <v>413</v>
      </c>
      <c r="H109" s="366">
        <f t="shared" ref="H109:S109" si="35">H105</f>
        <v>2011</v>
      </c>
      <c r="I109" s="366">
        <f t="shared" si="35"/>
        <v>2012</v>
      </c>
      <c r="J109" s="366">
        <f t="shared" si="35"/>
        <v>2013</v>
      </c>
      <c r="K109" s="366">
        <f t="shared" si="35"/>
        <v>2014</v>
      </c>
      <c r="L109" s="366">
        <f t="shared" si="35"/>
        <v>2015</v>
      </c>
      <c r="M109" s="366">
        <f t="shared" si="35"/>
        <v>2016</v>
      </c>
      <c r="N109" s="366">
        <f t="shared" si="35"/>
        <v>2017</v>
      </c>
      <c r="O109" s="366">
        <f t="shared" si="35"/>
        <v>2018</v>
      </c>
      <c r="P109" s="366">
        <f t="shared" si="35"/>
        <v>2019</v>
      </c>
      <c r="Q109" s="366">
        <f t="shared" si="35"/>
        <v>2020</v>
      </c>
      <c r="R109" s="366">
        <f t="shared" si="35"/>
        <v>2021</v>
      </c>
      <c r="S109" s="366">
        <f t="shared" si="35"/>
        <v>2022</v>
      </c>
    </row>
    <row r="110" spans="1:20" s="373" customFormat="1" ht="14.1" customHeight="1" x14ac:dyDescent="0.2">
      <c r="A110" s="333" t="s">
        <v>414</v>
      </c>
      <c r="B110" s="311" t="s">
        <v>415</v>
      </c>
      <c r="C110" s="333" t="s">
        <v>190</v>
      </c>
      <c r="D110" s="336"/>
      <c r="E110" s="334"/>
      <c r="F110" s="333"/>
      <c r="G110" s="399" t="s">
        <v>191</v>
      </c>
      <c r="H110" s="401">
        <f t="shared" ref="H110:S110" si="36">H33+H38+H41-H45</f>
        <v>99.088000000000122</v>
      </c>
      <c r="I110" s="343">
        <f t="shared" si="36"/>
        <v>385.97499999999985</v>
      </c>
      <c r="J110" s="343">
        <f t="shared" si="36"/>
        <v>32.282999999999475</v>
      </c>
      <c r="K110" s="343">
        <f t="shared" si="36"/>
        <v>205.84500000000025</v>
      </c>
      <c r="L110" s="343">
        <f t="shared" si="36"/>
        <v>717.39300000000026</v>
      </c>
      <c r="M110" s="343">
        <f t="shared" si="36"/>
        <v>2053.6261999999997</v>
      </c>
      <c r="N110" s="343">
        <f t="shared" si="36"/>
        <v>291</v>
      </c>
      <c r="O110" s="343">
        <f t="shared" si="36"/>
        <v>200</v>
      </c>
      <c r="P110" s="343">
        <f t="shared" si="36"/>
        <v>203.61000000000013</v>
      </c>
      <c r="Q110" s="343">
        <f t="shared" si="36"/>
        <v>204.37830000000031</v>
      </c>
      <c r="R110" s="343">
        <f t="shared" si="36"/>
        <v>204.33964899999955</v>
      </c>
      <c r="S110" s="343">
        <f t="shared" si="36"/>
        <v>203.52983846999996</v>
      </c>
    </row>
    <row r="111" spans="1:20" s="373" customFormat="1" ht="14.1" customHeight="1" x14ac:dyDescent="0.2">
      <c r="A111" s="333" t="s">
        <v>416</v>
      </c>
      <c r="B111" s="311" t="s">
        <v>197</v>
      </c>
      <c r="C111" s="333" t="s">
        <v>417</v>
      </c>
      <c r="D111" s="336"/>
      <c r="E111" s="402">
        <v>0</v>
      </c>
      <c r="F111" s="333"/>
      <c r="G111" s="403" t="s">
        <v>193</v>
      </c>
      <c r="H111" s="404">
        <f t="shared" ref="H111:S111" si="37">H110/H33</f>
        <v>5.7308532486768642E-2</v>
      </c>
      <c r="I111" s="405">
        <f t="shared" si="37"/>
        <v>0.16458000385466212</v>
      </c>
      <c r="J111" s="405">
        <f t="shared" si="37"/>
        <v>1.5997990030431751E-2</v>
      </c>
      <c r="K111" s="405">
        <f t="shared" si="37"/>
        <v>8.7641204330521694E-2</v>
      </c>
      <c r="L111" s="405">
        <f t="shared" si="37"/>
        <v>0.25740965995328269</v>
      </c>
      <c r="M111" s="405">
        <f t="shared" si="37"/>
        <v>0.42655254734238757</v>
      </c>
      <c r="N111" s="405">
        <f t="shared" si="37"/>
        <v>0.10385438972162742</v>
      </c>
      <c r="O111" s="405">
        <f t="shared" si="37"/>
        <v>6.1255742725880552E-2</v>
      </c>
      <c r="P111" s="405">
        <f t="shared" si="37"/>
        <v>5.0553554092873966E-2</v>
      </c>
      <c r="Q111" s="405">
        <f t="shared" si="37"/>
        <v>4.7338520231132004E-2</v>
      </c>
      <c r="R111" s="405">
        <f t="shared" si="37"/>
        <v>4.9472843970464371E-2</v>
      </c>
      <c r="S111" s="405">
        <f t="shared" si="37"/>
        <v>4.8189511203673638E-2</v>
      </c>
    </row>
    <row r="112" spans="1:20" s="373" customFormat="1" ht="14.1" customHeight="1" x14ac:dyDescent="0.2">
      <c r="A112" s="333" t="s">
        <v>418</v>
      </c>
      <c r="B112" s="311" t="s">
        <v>200</v>
      </c>
      <c r="C112" s="333" t="s">
        <v>195</v>
      </c>
      <c r="D112" s="336"/>
      <c r="E112" s="406"/>
      <c r="F112" s="333"/>
      <c r="G112" s="407" t="s">
        <v>196</v>
      </c>
      <c r="H112" s="408">
        <f t="shared" ref="H112:S112" si="38">-H33/(H38+H41)</f>
        <v>0.98630095571013132</v>
      </c>
      <c r="I112" s="408">
        <f t="shared" si="38"/>
        <v>1.1205572369030883</v>
      </c>
      <c r="J112" s="408">
        <f t="shared" si="38"/>
        <v>0.94606786664835085</v>
      </c>
      <c r="K112" s="408">
        <f t="shared" si="38"/>
        <v>1.0230173280037842</v>
      </c>
      <c r="L112" s="408">
        <f t="shared" si="38"/>
        <v>1.2562254144303857</v>
      </c>
      <c r="M112" s="408">
        <f t="shared" si="38"/>
        <v>1.6311001423558813</v>
      </c>
      <c r="N112" s="408">
        <f t="shared" si="38"/>
        <v>1.0339483394833948</v>
      </c>
      <c r="O112" s="408">
        <f t="shared" si="38"/>
        <v>1</v>
      </c>
      <c r="P112" s="408">
        <f t="shared" si="38"/>
        <v>0.99990317775571003</v>
      </c>
      <c r="Q112" s="408">
        <f t="shared" si="38"/>
        <v>1.0000876302988186</v>
      </c>
      <c r="R112" s="408">
        <f t="shared" si="38"/>
        <v>1.0000822394673123</v>
      </c>
      <c r="S112" s="408">
        <f t="shared" si="38"/>
        <v>0.99988869281960224</v>
      </c>
    </row>
    <row r="113" spans="1:20" s="373" customFormat="1" ht="14.1" customHeight="1" x14ac:dyDescent="0.2">
      <c r="A113" s="333" t="s">
        <v>419</v>
      </c>
      <c r="B113" s="311" t="s">
        <v>420</v>
      </c>
      <c r="C113" s="333" t="s">
        <v>198</v>
      </c>
      <c r="D113" s="336"/>
      <c r="E113" s="406"/>
      <c r="F113" s="333"/>
      <c r="G113" s="399" t="s">
        <v>199</v>
      </c>
      <c r="H113" s="401">
        <f t="shared" ref="H113:S113" si="39">H46</f>
        <v>-24.014999999999873</v>
      </c>
      <c r="I113" s="401">
        <f t="shared" si="39"/>
        <v>252.31399999999985</v>
      </c>
      <c r="J113" s="401">
        <f t="shared" si="39"/>
        <v>-115.03600000000051</v>
      </c>
      <c r="K113" s="401">
        <f t="shared" si="39"/>
        <v>52.845000000000255</v>
      </c>
      <c r="L113" s="401">
        <f t="shared" si="39"/>
        <v>568.44300000000021</v>
      </c>
      <c r="M113" s="401">
        <f t="shared" si="39"/>
        <v>1862.8011999999999</v>
      </c>
      <c r="N113" s="401">
        <f t="shared" si="39"/>
        <v>92</v>
      </c>
      <c r="O113" s="401">
        <f t="shared" si="39"/>
        <v>0</v>
      </c>
      <c r="P113" s="401">
        <f t="shared" si="39"/>
        <v>-0.38999999999987267</v>
      </c>
      <c r="Q113" s="401">
        <f t="shared" si="39"/>
        <v>0.3783000000003085</v>
      </c>
      <c r="R113" s="401">
        <f t="shared" si="39"/>
        <v>0.33964899999955378</v>
      </c>
      <c r="S113" s="401">
        <f t="shared" si="39"/>
        <v>-0.47016153000004124</v>
      </c>
    </row>
    <row r="114" spans="1:20" s="373" customFormat="1" ht="14.1" customHeight="1" x14ac:dyDescent="0.2">
      <c r="A114" s="333" t="s">
        <v>421</v>
      </c>
      <c r="B114" s="311" t="s">
        <v>422</v>
      </c>
      <c r="C114" s="333" t="s">
        <v>201</v>
      </c>
      <c r="D114" s="402">
        <v>-0.3</v>
      </c>
      <c r="E114" s="402">
        <v>0</v>
      </c>
      <c r="F114" s="333"/>
      <c r="G114" s="407" t="s">
        <v>202</v>
      </c>
      <c r="H114" s="409">
        <f t="shared" ref="H114:S114" si="40">H46/H33</f>
        <v>-1.3889314626087315E-2</v>
      </c>
      <c r="I114" s="410">
        <f t="shared" si="40"/>
        <v>0.10758686208325723</v>
      </c>
      <c r="J114" s="410">
        <f t="shared" si="40"/>
        <v>-5.7006622096483751E-2</v>
      </c>
      <c r="K114" s="410">
        <f t="shared" si="40"/>
        <v>2.2499450765607304E-2</v>
      </c>
      <c r="L114" s="410">
        <f t="shared" si="40"/>
        <v>0.20396452060840276</v>
      </c>
      <c r="M114" s="410">
        <f t="shared" si="40"/>
        <v>0.38691685811782905</v>
      </c>
      <c r="N114" s="410">
        <f t="shared" si="40"/>
        <v>3.2833690221270521E-2</v>
      </c>
      <c r="O114" s="410">
        <f t="shared" si="40"/>
        <v>0</v>
      </c>
      <c r="P114" s="410">
        <f t="shared" si="40"/>
        <v>-9.683161974468051E-5</v>
      </c>
      <c r="Q114" s="410">
        <f t="shared" si="40"/>
        <v>8.7622620422284629E-5</v>
      </c>
      <c r="R114" s="410">
        <f t="shared" si="40"/>
        <v>8.2232704538423744E-5</v>
      </c>
      <c r="S114" s="410">
        <f t="shared" si="40"/>
        <v>-1.1131957106531541E-4</v>
      </c>
    </row>
    <row r="115" spans="1:20" s="373" customFormat="1" ht="14.1" customHeight="1" x14ac:dyDescent="0.2">
      <c r="A115" s="333" t="s">
        <v>423</v>
      </c>
      <c r="B115" s="311" t="s">
        <v>424</v>
      </c>
      <c r="C115" s="333" t="s">
        <v>204</v>
      </c>
      <c r="D115" s="336"/>
      <c r="E115" s="406"/>
      <c r="F115" s="333"/>
      <c r="G115" s="403" t="s">
        <v>205</v>
      </c>
      <c r="H115" s="401">
        <f t="shared" ref="H115:S115" si="41">H29+H30</f>
        <v>2644.7710000000002</v>
      </c>
      <c r="I115" s="401">
        <f t="shared" si="41"/>
        <v>2882.0210000000002</v>
      </c>
      <c r="J115" s="401">
        <f t="shared" si="41"/>
        <v>2762.0880000000002</v>
      </c>
      <c r="K115" s="401">
        <f t="shared" si="41"/>
        <v>2813.7420000000002</v>
      </c>
      <c r="L115" s="401">
        <f t="shared" si="41"/>
        <v>3384.8890000000001</v>
      </c>
      <c r="M115" s="401">
        <f t="shared" si="41"/>
        <v>5249.2847300000003</v>
      </c>
      <c r="N115" s="401">
        <f t="shared" si="41"/>
        <v>5341</v>
      </c>
      <c r="O115" s="401">
        <f t="shared" si="41"/>
        <v>5341</v>
      </c>
      <c r="P115" s="401">
        <f t="shared" si="41"/>
        <v>5341</v>
      </c>
      <c r="Q115" s="401">
        <f t="shared" si="41"/>
        <v>5341</v>
      </c>
      <c r="R115" s="401">
        <f t="shared" si="41"/>
        <v>5341</v>
      </c>
      <c r="S115" s="401">
        <f t="shared" si="41"/>
        <v>5341</v>
      </c>
    </row>
    <row r="116" spans="1:20" s="373" customFormat="1" ht="14.1" customHeight="1" x14ac:dyDescent="0.2">
      <c r="A116" s="333"/>
      <c r="B116" s="311"/>
      <c r="C116" s="333"/>
      <c r="D116" s="333"/>
      <c r="E116" s="333"/>
      <c r="F116" s="333"/>
      <c r="G116" s="333"/>
      <c r="H116" s="333"/>
      <c r="I116" s="333"/>
      <c r="J116" s="333"/>
      <c r="K116" s="333"/>
      <c r="L116" s="333"/>
      <c r="M116" s="333"/>
      <c r="N116" s="333"/>
      <c r="O116" s="333"/>
      <c r="P116" s="333"/>
      <c r="Q116" s="333"/>
      <c r="R116" s="333"/>
      <c r="S116" s="333"/>
      <c r="T116" s="333"/>
    </row>
    <row r="117" spans="1:20" s="373" customFormat="1" ht="14.1" customHeight="1" x14ac:dyDescent="0.2">
      <c r="A117" s="333"/>
      <c r="B117" s="311"/>
      <c r="C117" s="336"/>
      <c r="D117" s="336"/>
      <c r="E117" s="333"/>
      <c r="F117" s="333"/>
      <c r="G117" s="390" t="s">
        <v>206</v>
      </c>
      <c r="H117" s="366">
        <f t="shared" ref="H117:S117" si="42">H105</f>
        <v>2011</v>
      </c>
      <c r="I117" s="366">
        <f t="shared" si="42"/>
        <v>2012</v>
      </c>
      <c r="J117" s="366">
        <f t="shared" si="42"/>
        <v>2013</v>
      </c>
      <c r="K117" s="366">
        <f t="shared" si="42"/>
        <v>2014</v>
      </c>
      <c r="L117" s="366">
        <f t="shared" si="42"/>
        <v>2015</v>
      </c>
      <c r="M117" s="366">
        <f t="shared" si="42"/>
        <v>2016</v>
      </c>
      <c r="N117" s="366">
        <f t="shared" si="42"/>
        <v>2017</v>
      </c>
      <c r="O117" s="366">
        <f t="shared" si="42"/>
        <v>2018</v>
      </c>
      <c r="P117" s="366">
        <f t="shared" si="42"/>
        <v>2019</v>
      </c>
      <c r="Q117" s="366">
        <f t="shared" si="42"/>
        <v>2020</v>
      </c>
      <c r="R117" s="366">
        <f t="shared" si="42"/>
        <v>2021</v>
      </c>
      <c r="S117" s="366">
        <f t="shared" si="42"/>
        <v>2022</v>
      </c>
    </row>
    <row r="118" spans="1:20" s="373" customFormat="1" ht="14.1" customHeight="1" x14ac:dyDescent="0.2">
      <c r="A118" s="333" t="s">
        <v>425</v>
      </c>
      <c r="B118" s="311" t="s">
        <v>426</v>
      </c>
      <c r="C118" s="336" t="s">
        <v>208</v>
      </c>
      <c r="D118" s="336"/>
      <c r="E118" s="406"/>
      <c r="F118" s="411"/>
      <c r="G118" s="399" t="s">
        <v>209</v>
      </c>
      <c r="H118" s="401">
        <f t="shared" ref="H118:S118" si="43">H6+H12</f>
        <v>492.00099999999998</v>
      </c>
      <c r="I118" s="343">
        <f t="shared" si="43"/>
        <v>640.46799999999996</v>
      </c>
      <c r="J118" s="343">
        <f t="shared" si="43"/>
        <v>589.98900000000003</v>
      </c>
      <c r="K118" s="343">
        <f t="shared" si="43"/>
        <v>722.06700000000001</v>
      </c>
      <c r="L118" s="343">
        <f t="shared" si="43"/>
        <v>2025.6690000000001</v>
      </c>
      <c r="M118" s="343">
        <f t="shared" si="43"/>
        <v>1425.2511399999999</v>
      </c>
      <c r="N118" s="343">
        <f t="shared" si="43"/>
        <v>1745</v>
      </c>
      <c r="O118" s="343">
        <f t="shared" si="43"/>
        <v>1700</v>
      </c>
      <c r="P118" s="343">
        <f t="shared" si="43"/>
        <v>1700</v>
      </c>
      <c r="Q118" s="343">
        <f t="shared" si="43"/>
        <v>1700</v>
      </c>
      <c r="R118" s="343">
        <f t="shared" si="43"/>
        <v>1980</v>
      </c>
      <c r="S118" s="343">
        <f t="shared" si="43"/>
        <v>2084</v>
      </c>
    </row>
    <row r="119" spans="1:20" s="373" customFormat="1" ht="14.1" customHeight="1" x14ac:dyDescent="0.2">
      <c r="A119" s="333" t="s">
        <v>427</v>
      </c>
      <c r="B119" s="311" t="s">
        <v>428</v>
      </c>
      <c r="C119" s="333" t="s">
        <v>42</v>
      </c>
      <c r="D119" s="336"/>
      <c r="E119" s="406"/>
      <c r="F119" s="411"/>
      <c r="G119" s="407" t="s">
        <v>211</v>
      </c>
      <c r="H119" s="401">
        <f t="shared" ref="H119:S119" si="44">H19</f>
        <v>1127.4949999999999</v>
      </c>
      <c r="I119" s="401">
        <f t="shared" si="44"/>
        <v>867.88499999999999</v>
      </c>
      <c r="J119" s="401">
        <f t="shared" si="44"/>
        <v>551.5</v>
      </c>
      <c r="K119" s="401">
        <f t="shared" si="44"/>
        <v>334.11199999999997</v>
      </c>
      <c r="L119" s="401">
        <f t="shared" si="44"/>
        <v>1296.367</v>
      </c>
      <c r="M119" s="401">
        <f t="shared" si="44"/>
        <v>343.58100000000002</v>
      </c>
      <c r="N119" s="401">
        <f t="shared" si="44"/>
        <v>405</v>
      </c>
      <c r="O119" s="401">
        <f t="shared" si="44"/>
        <v>313</v>
      </c>
      <c r="P119" s="401">
        <f t="shared" si="44"/>
        <v>330</v>
      </c>
      <c r="Q119" s="401">
        <f t="shared" si="44"/>
        <v>226</v>
      </c>
      <c r="R119" s="401">
        <f t="shared" si="44"/>
        <v>302</v>
      </c>
      <c r="S119" s="401">
        <f t="shared" si="44"/>
        <v>202</v>
      </c>
    </row>
    <row r="120" spans="1:20" s="373" customFormat="1" ht="14.1" customHeight="1" x14ac:dyDescent="0.2">
      <c r="A120" s="333" t="s">
        <v>429</v>
      </c>
      <c r="B120" s="311" t="s">
        <v>203</v>
      </c>
      <c r="C120" s="333" t="s">
        <v>430</v>
      </c>
      <c r="D120" s="336"/>
      <c r="E120" s="406"/>
      <c r="F120" s="411"/>
      <c r="G120" s="407" t="s">
        <v>212</v>
      </c>
      <c r="H120" s="401">
        <f t="shared" ref="H120:S120" si="45">H119-H118</f>
        <v>635.49399999999991</v>
      </c>
      <c r="I120" s="343">
        <f t="shared" si="45"/>
        <v>227.41700000000003</v>
      </c>
      <c r="J120" s="343">
        <f t="shared" si="45"/>
        <v>-38.489000000000033</v>
      </c>
      <c r="K120" s="343">
        <f t="shared" si="45"/>
        <v>-387.95500000000004</v>
      </c>
      <c r="L120" s="343">
        <f t="shared" si="45"/>
        <v>-729.30200000000013</v>
      </c>
      <c r="M120" s="343">
        <f t="shared" si="45"/>
        <v>-1081.6701399999997</v>
      </c>
      <c r="N120" s="343">
        <f t="shared" si="45"/>
        <v>-1340</v>
      </c>
      <c r="O120" s="343">
        <f t="shared" si="45"/>
        <v>-1387</v>
      </c>
      <c r="P120" s="343">
        <f t="shared" si="45"/>
        <v>-1370</v>
      </c>
      <c r="Q120" s="343">
        <f t="shared" si="45"/>
        <v>-1474</v>
      </c>
      <c r="R120" s="343">
        <f t="shared" si="45"/>
        <v>-1678</v>
      </c>
      <c r="S120" s="343">
        <f t="shared" si="45"/>
        <v>-1882</v>
      </c>
    </row>
    <row r="121" spans="1:20" s="373" customFormat="1" ht="14.1" customHeight="1" x14ac:dyDescent="0.2">
      <c r="A121" s="333" t="s">
        <v>431</v>
      </c>
      <c r="B121" s="311" t="s">
        <v>207</v>
      </c>
      <c r="C121" s="333" t="s">
        <v>432</v>
      </c>
      <c r="D121" s="336"/>
      <c r="E121" s="402">
        <v>0.4</v>
      </c>
      <c r="F121" s="412" t="s">
        <v>433</v>
      </c>
      <c r="G121" s="403" t="s">
        <v>213</v>
      </c>
      <c r="H121" s="413">
        <f t="shared" ref="H121:S121" si="46">H120/H33</f>
        <v>0.36754428936043215</v>
      </c>
      <c r="I121" s="405">
        <f t="shared" si="46"/>
        <v>9.6970764263529283E-2</v>
      </c>
      <c r="J121" s="405">
        <f t="shared" si="46"/>
        <v>-1.907340204693796E-2</v>
      </c>
      <c r="K121" s="405">
        <f t="shared" si="46"/>
        <v>-0.16517692159657754</v>
      </c>
      <c r="L121" s="405">
        <f t="shared" si="46"/>
        <v>-0.26168275941255204</v>
      </c>
      <c r="M121" s="405">
        <f t="shared" si="46"/>
        <v>-0.22467046515144623</v>
      </c>
      <c r="N121" s="405">
        <f t="shared" si="46"/>
        <v>-0.47822983583154888</v>
      </c>
      <c r="O121" s="405">
        <f t="shared" si="46"/>
        <v>-0.42480857580398163</v>
      </c>
      <c r="P121" s="405">
        <f t="shared" si="46"/>
        <v>-0.34015210012886055</v>
      </c>
      <c r="Q121" s="405">
        <f t="shared" si="46"/>
        <v>-0.34141089744208886</v>
      </c>
      <c r="R121" s="405">
        <f t="shared" si="46"/>
        <v>-0.40626198874619479</v>
      </c>
      <c r="S121" s="405">
        <f t="shared" si="46"/>
        <v>-0.44559884077479756</v>
      </c>
    </row>
    <row r="122" spans="1:20" s="373" customFormat="1" ht="14.1" customHeight="1" x14ac:dyDescent="0.2">
      <c r="A122" s="333" t="s">
        <v>434</v>
      </c>
      <c r="B122" s="311" t="s">
        <v>210</v>
      </c>
      <c r="C122" s="333" t="s">
        <v>435</v>
      </c>
      <c r="D122" s="414">
        <v>0</v>
      </c>
      <c r="E122" s="414">
        <v>5</v>
      </c>
      <c r="F122" s="411"/>
      <c r="G122" s="395" t="s">
        <v>215</v>
      </c>
      <c r="H122" s="408">
        <f t="shared" ref="H122:S122" si="47">H120/H110</f>
        <v>6.4134304860326088</v>
      </c>
      <c r="I122" s="408">
        <f t="shared" si="47"/>
        <v>0.58920137314592946</v>
      </c>
      <c r="J122" s="408">
        <f t="shared" si="47"/>
        <v>-1.192237400489442</v>
      </c>
      <c r="K122" s="408">
        <f t="shared" si="47"/>
        <v>-1.8846947946270232</v>
      </c>
      <c r="L122" s="408">
        <f t="shared" si="47"/>
        <v>-1.0166003850051504</v>
      </c>
      <c r="M122" s="408">
        <f t="shared" si="47"/>
        <v>-0.5267122809399295</v>
      </c>
      <c r="N122" s="408">
        <f t="shared" si="47"/>
        <v>-4.6048109965635735</v>
      </c>
      <c r="O122" s="408">
        <f t="shared" si="47"/>
        <v>-6.9349999999999996</v>
      </c>
      <c r="P122" s="408">
        <f t="shared" si="47"/>
        <v>-6.7285496783065621</v>
      </c>
      <c r="Q122" s="408">
        <f t="shared" si="47"/>
        <v>-7.2121159633874914</v>
      </c>
      <c r="R122" s="408">
        <f t="shared" si="47"/>
        <v>-8.2118179619658811</v>
      </c>
      <c r="S122" s="408">
        <f t="shared" si="47"/>
        <v>-9.2468014230621254</v>
      </c>
    </row>
    <row r="123" spans="1:20" s="373" customFormat="1" ht="14.1" customHeight="1" x14ac:dyDescent="0.2">
      <c r="A123" s="333" t="s">
        <v>436</v>
      </c>
      <c r="B123" s="311" t="s">
        <v>437</v>
      </c>
      <c r="C123" s="333" t="s">
        <v>217</v>
      </c>
      <c r="D123" s="336"/>
      <c r="E123" s="406"/>
      <c r="F123" s="411"/>
      <c r="G123" s="407" t="s">
        <v>218</v>
      </c>
      <c r="H123" s="401">
        <f t="shared" ref="H123:S123" si="48">-(H75+H77+H78+H79+H80+H81)</f>
        <v>7.0000000000000007E-2</v>
      </c>
      <c r="I123" s="401">
        <f t="shared" si="48"/>
        <v>316.77499999999998</v>
      </c>
      <c r="J123" s="401">
        <f t="shared" si="48"/>
        <v>313.995</v>
      </c>
      <c r="K123" s="401">
        <f t="shared" si="48"/>
        <v>261.69100000000003</v>
      </c>
      <c r="L123" s="401">
        <f t="shared" si="48"/>
        <v>0</v>
      </c>
      <c r="M123" s="401">
        <f t="shared" si="48"/>
        <v>0</v>
      </c>
      <c r="N123" s="401">
        <f t="shared" si="48"/>
        <v>0</v>
      </c>
      <c r="O123" s="401">
        <f t="shared" si="48"/>
        <v>0</v>
      </c>
      <c r="P123" s="401">
        <f t="shared" si="48"/>
        <v>0</v>
      </c>
      <c r="Q123" s="401">
        <f t="shared" si="48"/>
        <v>0</v>
      </c>
      <c r="R123" s="401">
        <f t="shared" si="48"/>
        <v>0</v>
      </c>
      <c r="S123" s="401">
        <f t="shared" si="48"/>
        <v>0</v>
      </c>
    </row>
    <row r="124" spans="1:20" s="373" customFormat="1" ht="14.1" customHeight="1" x14ac:dyDescent="0.2">
      <c r="A124" s="333" t="s">
        <v>438</v>
      </c>
      <c r="B124" s="311" t="s">
        <v>439</v>
      </c>
      <c r="C124" s="333" t="s">
        <v>440</v>
      </c>
      <c r="D124" s="336"/>
      <c r="E124" s="414">
        <v>1.2</v>
      </c>
      <c r="F124" s="412" t="s">
        <v>433</v>
      </c>
      <c r="G124" s="407" t="s">
        <v>220</v>
      </c>
      <c r="H124" s="415">
        <f t="shared" ref="H124:S124" si="49">H110/H123</f>
        <v>1415.5428571428588</v>
      </c>
      <c r="I124" s="408">
        <f t="shared" si="49"/>
        <v>1.218451582353405</v>
      </c>
      <c r="J124" s="408">
        <f t="shared" si="49"/>
        <v>0.10281373907227655</v>
      </c>
      <c r="K124" s="408">
        <f t="shared" si="49"/>
        <v>0.78659564142442895</v>
      </c>
      <c r="L124" s="408" t="e">
        <f t="shared" si="49"/>
        <v>#DIV/0!</v>
      </c>
      <c r="M124" s="408" t="e">
        <f t="shared" si="49"/>
        <v>#DIV/0!</v>
      </c>
      <c r="N124" s="408" t="e">
        <f t="shared" si="49"/>
        <v>#DIV/0!</v>
      </c>
      <c r="O124" s="408" t="e">
        <f t="shared" si="49"/>
        <v>#DIV/0!</v>
      </c>
      <c r="P124" s="408" t="e">
        <f t="shared" si="49"/>
        <v>#DIV/0!</v>
      </c>
      <c r="Q124" s="408" t="e">
        <f t="shared" si="49"/>
        <v>#DIV/0!</v>
      </c>
      <c r="R124" s="408" t="e">
        <f t="shared" si="49"/>
        <v>#DIV/0!</v>
      </c>
      <c r="S124" s="408" t="e">
        <f t="shared" si="49"/>
        <v>#DIV/0!</v>
      </c>
    </row>
    <row r="125" spans="1:20" s="373" customFormat="1" ht="14.1" customHeight="1" x14ac:dyDescent="0.2">
      <c r="A125" s="416" t="s">
        <v>441</v>
      </c>
      <c r="B125" s="311" t="s">
        <v>442</v>
      </c>
      <c r="C125" s="333" t="s">
        <v>222</v>
      </c>
      <c r="D125" s="336"/>
      <c r="E125" s="414">
        <v>0</v>
      </c>
      <c r="F125" s="411"/>
      <c r="G125" s="399" t="s">
        <v>223</v>
      </c>
      <c r="H125" s="401">
        <f t="shared" ref="H125:S125" si="50">H5-H20</f>
        <v>301.76400000000001</v>
      </c>
      <c r="I125" s="401">
        <f t="shared" si="50"/>
        <v>419.92199999999991</v>
      </c>
      <c r="J125" s="401">
        <f t="shared" si="50"/>
        <v>363.149</v>
      </c>
      <c r="K125" s="401">
        <f t="shared" si="50"/>
        <v>464.60499999999996</v>
      </c>
      <c r="L125" s="401">
        <f t="shared" si="50"/>
        <v>852.66500000000019</v>
      </c>
      <c r="M125" s="401">
        <f t="shared" si="50"/>
        <v>1195.0671399999997</v>
      </c>
      <c r="N125" s="401">
        <f t="shared" si="50"/>
        <v>1856</v>
      </c>
      <c r="O125" s="401">
        <f t="shared" si="50"/>
        <v>1799</v>
      </c>
      <c r="P125" s="401">
        <f t="shared" si="50"/>
        <v>1800</v>
      </c>
      <c r="Q125" s="401">
        <f t="shared" si="50"/>
        <v>1800</v>
      </c>
      <c r="R125" s="401">
        <f t="shared" si="50"/>
        <v>2080</v>
      </c>
      <c r="S125" s="401">
        <f t="shared" si="50"/>
        <v>2184</v>
      </c>
    </row>
    <row r="126" spans="1:20" s="373" customFormat="1" ht="14.1" customHeight="1" x14ac:dyDescent="0.2">
      <c r="A126" s="333" t="s">
        <v>443</v>
      </c>
      <c r="B126" s="311" t="s">
        <v>444</v>
      </c>
      <c r="C126" s="333" t="s">
        <v>225</v>
      </c>
      <c r="D126" s="336"/>
      <c r="E126" s="414">
        <v>1</v>
      </c>
      <c r="F126" s="412" t="s">
        <v>433</v>
      </c>
      <c r="G126" s="407" t="s">
        <v>226</v>
      </c>
      <c r="H126" s="415">
        <f t="shared" ref="H126:S126" si="51">H5/H20</f>
        <v>1.5422952716921523</v>
      </c>
      <c r="I126" s="415">
        <f t="shared" si="51"/>
        <v>1.6910282929911777</v>
      </c>
      <c r="J126" s="415">
        <f t="shared" si="51"/>
        <v>1.6584750679963736</v>
      </c>
      <c r="K126" s="415">
        <f t="shared" si="51"/>
        <v>2.3905666363375153</v>
      </c>
      <c r="L126" s="415">
        <f t="shared" si="51"/>
        <v>1.6577342681509173</v>
      </c>
      <c r="M126" s="415">
        <f t="shared" si="51"/>
        <v>4.4782689962483362</v>
      </c>
      <c r="N126" s="415" t="e">
        <f t="shared" si="51"/>
        <v>#DIV/0!</v>
      </c>
      <c r="O126" s="415" t="e">
        <f t="shared" si="51"/>
        <v>#DIV/0!</v>
      </c>
      <c r="P126" s="415" t="e">
        <f t="shared" si="51"/>
        <v>#DIV/0!</v>
      </c>
      <c r="Q126" s="415" t="e">
        <f t="shared" si="51"/>
        <v>#DIV/0!</v>
      </c>
      <c r="R126" s="415" t="e">
        <f t="shared" si="51"/>
        <v>#DIV/0!</v>
      </c>
      <c r="S126" s="415" t="e">
        <f t="shared" si="51"/>
        <v>#DIV/0!</v>
      </c>
    </row>
    <row r="127" spans="1:20" s="373" customFormat="1" ht="14.1" customHeight="1" x14ac:dyDescent="0.2">
      <c r="A127" s="333" t="s">
        <v>445</v>
      </c>
      <c r="B127" s="311" t="s">
        <v>214</v>
      </c>
      <c r="C127" s="333" t="s">
        <v>228</v>
      </c>
      <c r="D127" s="336"/>
      <c r="E127" s="414">
        <v>1</v>
      </c>
      <c r="F127" s="411"/>
      <c r="G127" s="403" t="s">
        <v>229</v>
      </c>
      <c r="H127" s="415">
        <f t="shared" ref="H127:S127" si="52">-H6/((H38+H41-H45+H47)/12)</f>
        <v>3.5691256748015645</v>
      </c>
      <c r="I127" s="415">
        <f t="shared" si="52"/>
        <v>3.8928289050149893</v>
      </c>
      <c r="J127" s="415">
        <f t="shared" si="52"/>
        <v>3.5567306605444209</v>
      </c>
      <c r="K127" s="415">
        <f t="shared" si="52"/>
        <v>4.0412878310876046</v>
      </c>
      <c r="L127" s="415">
        <f t="shared" si="52"/>
        <v>11.760774851672069</v>
      </c>
      <c r="M127" s="415">
        <f t="shared" si="52"/>
        <v>6.1978478877357741</v>
      </c>
      <c r="N127" s="415">
        <f t="shared" si="52"/>
        <v>8.3393070489844678</v>
      </c>
      <c r="O127" s="415">
        <f t="shared" si="52"/>
        <v>6.6557911908646004</v>
      </c>
      <c r="P127" s="415">
        <f t="shared" si="52"/>
        <v>5.3347280334728033</v>
      </c>
      <c r="Q127" s="415">
        <f t="shared" si="52"/>
        <v>4.9598832968636035</v>
      </c>
      <c r="R127" s="415">
        <f t="shared" si="52"/>
        <v>6.051961283749363</v>
      </c>
      <c r="S127" s="415">
        <f t="shared" si="52"/>
        <v>6.2208955223880595</v>
      </c>
    </row>
    <row r="128" spans="1:20" s="373" customFormat="1" ht="14.1" customHeight="1" x14ac:dyDescent="0.2">
      <c r="A128" s="333"/>
      <c r="B128" s="311"/>
      <c r="C128" s="333"/>
      <c r="D128" s="336"/>
      <c r="E128" s="336"/>
      <c r="F128" s="336"/>
      <c r="G128" s="336"/>
      <c r="H128" s="336"/>
      <c r="I128" s="336"/>
      <c r="J128" s="336"/>
      <c r="K128" s="336"/>
      <c r="L128" s="336"/>
      <c r="M128" s="336"/>
      <c r="N128" s="336"/>
      <c r="O128" s="336"/>
      <c r="P128" s="336"/>
      <c r="Q128" s="336"/>
      <c r="R128" s="336"/>
      <c r="S128" s="336"/>
      <c r="T128" s="336"/>
    </row>
    <row r="129" spans="1:21" s="373" customFormat="1" ht="14.1" customHeight="1" x14ac:dyDescent="0.2">
      <c r="A129" s="333"/>
      <c r="B129" s="311"/>
      <c r="C129" s="333"/>
      <c r="D129" s="336"/>
      <c r="E129" s="334"/>
      <c r="F129" s="411"/>
      <c r="G129" s="390" t="s">
        <v>230</v>
      </c>
      <c r="H129" s="366">
        <f t="shared" ref="H129:S129" si="53">H117</f>
        <v>2011</v>
      </c>
      <c r="I129" s="366">
        <f t="shared" si="53"/>
        <v>2012</v>
      </c>
      <c r="J129" s="366">
        <f t="shared" si="53"/>
        <v>2013</v>
      </c>
      <c r="K129" s="366">
        <f t="shared" si="53"/>
        <v>2014</v>
      </c>
      <c r="L129" s="366">
        <f t="shared" si="53"/>
        <v>2015</v>
      </c>
      <c r="M129" s="366">
        <f t="shared" si="53"/>
        <v>2016</v>
      </c>
      <c r="N129" s="366">
        <f t="shared" si="53"/>
        <v>2017</v>
      </c>
      <c r="O129" s="366">
        <f t="shared" si="53"/>
        <v>2018</v>
      </c>
      <c r="P129" s="366">
        <f t="shared" si="53"/>
        <v>2019</v>
      </c>
      <c r="Q129" s="366">
        <f t="shared" si="53"/>
        <v>2020</v>
      </c>
      <c r="R129" s="366">
        <f t="shared" si="53"/>
        <v>2021</v>
      </c>
      <c r="S129" s="366">
        <f t="shared" si="53"/>
        <v>2022</v>
      </c>
    </row>
    <row r="130" spans="1:21" s="373" customFormat="1" ht="14.1" customHeight="1" x14ac:dyDescent="0.2">
      <c r="A130" s="333" t="s">
        <v>446</v>
      </c>
      <c r="B130" s="311" t="s">
        <v>216</v>
      </c>
      <c r="C130" s="333" t="s">
        <v>232</v>
      </c>
      <c r="D130" s="336"/>
      <c r="E130" s="402">
        <v>0.6</v>
      </c>
      <c r="F130" s="411"/>
      <c r="G130" s="399" t="s">
        <v>233</v>
      </c>
      <c r="H130" s="413">
        <f t="shared" ref="H130:S130" si="54">H17/H4</f>
        <v>0</v>
      </c>
      <c r="I130" s="413">
        <f t="shared" si="54"/>
        <v>0</v>
      </c>
      <c r="J130" s="413">
        <f t="shared" si="54"/>
        <v>0</v>
      </c>
      <c r="K130" s="413">
        <f t="shared" si="54"/>
        <v>0</v>
      </c>
      <c r="L130" s="413">
        <f t="shared" si="54"/>
        <v>0</v>
      </c>
      <c r="M130" s="413">
        <f t="shared" si="54"/>
        <v>0</v>
      </c>
      <c r="N130" s="413">
        <f t="shared" si="54"/>
        <v>0</v>
      </c>
      <c r="O130" s="413">
        <f t="shared" si="54"/>
        <v>0</v>
      </c>
      <c r="P130" s="413">
        <f t="shared" si="54"/>
        <v>0</v>
      </c>
      <c r="Q130" s="413">
        <f t="shared" si="54"/>
        <v>0</v>
      </c>
      <c r="R130" s="413">
        <f t="shared" si="54"/>
        <v>0</v>
      </c>
      <c r="S130" s="413">
        <f t="shared" si="54"/>
        <v>0</v>
      </c>
    </row>
    <row r="131" spans="1:21" s="373" customFormat="1" ht="14.1" customHeight="1" x14ac:dyDescent="0.2">
      <c r="A131" s="333" t="s">
        <v>447</v>
      </c>
      <c r="B131" s="311" t="s">
        <v>219</v>
      </c>
      <c r="C131" s="333" t="s">
        <v>235</v>
      </c>
      <c r="D131" s="336"/>
      <c r="E131" s="402">
        <v>0.4</v>
      </c>
      <c r="F131" s="411"/>
      <c r="G131" s="403" t="s">
        <v>236</v>
      </c>
      <c r="H131" s="413" t="e">
        <f t="shared" ref="H131:S131" si="55">H27/H17</f>
        <v>#DIV/0!</v>
      </c>
      <c r="I131" s="413" t="e">
        <f t="shared" si="55"/>
        <v>#DIV/0!</v>
      </c>
      <c r="J131" s="413" t="e">
        <f t="shared" si="55"/>
        <v>#DIV/0!</v>
      </c>
      <c r="K131" s="413" t="e">
        <f t="shared" si="55"/>
        <v>#DIV/0!</v>
      </c>
      <c r="L131" s="413" t="e">
        <f t="shared" si="55"/>
        <v>#DIV/0!</v>
      </c>
      <c r="M131" s="413" t="e">
        <f t="shared" si="55"/>
        <v>#DIV/0!</v>
      </c>
      <c r="N131" s="413" t="e">
        <f t="shared" si="55"/>
        <v>#DIV/0!</v>
      </c>
      <c r="O131" s="413" t="e">
        <f t="shared" si="55"/>
        <v>#DIV/0!</v>
      </c>
      <c r="P131" s="413" t="e">
        <f t="shared" si="55"/>
        <v>#DIV/0!</v>
      </c>
      <c r="Q131" s="413" t="e">
        <f t="shared" si="55"/>
        <v>#DIV/0!</v>
      </c>
      <c r="R131" s="413" t="e">
        <f t="shared" si="55"/>
        <v>#DIV/0!</v>
      </c>
      <c r="S131" s="413" t="e">
        <f t="shared" si="55"/>
        <v>#DIV/0!</v>
      </c>
    </row>
    <row r="132" spans="1:21" s="373" customFormat="1" ht="14.1" customHeight="1" x14ac:dyDescent="0.2">
      <c r="A132" s="333"/>
      <c r="B132" s="311"/>
      <c r="C132" s="333"/>
      <c r="D132" s="333"/>
      <c r="E132" s="333"/>
      <c r="F132" s="333"/>
      <c r="G132" s="333"/>
      <c r="H132" s="333"/>
      <c r="I132" s="333"/>
      <c r="J132" s="333"/>
      <c r="K132" s="333"/>
      <c r="L132" s="333"/>
      <c r="M132" s="333"/>
      <c r="N132" s="333"/>
      <c r="O132" s="333"/>
      <c r="P132" s="333"/>
      <c r="Q132" s="333"/>
      <c r="R132" s="333"/>
      <c r="S132" s="333"/>
      <c r="T132" s="333"/>
      <c r="U132" s="333"/>
    </row>
    <row r="133" spans="1:21" s="373" customFormat="1" ht="14.1" customHeight="1" x14ac:dyDescent="0.2">
      <c r="A133" s="333"/>
      <c r="B133" s="311"/>
      <c r="C133" s="333"/>
      <c r="D133" s="336"/>
      <c r="E133" s="334"/>
      <c r="F133" s="411"/>
      <c r="G133" s="390" t="s">
        <v>237</v>
      </c>
      <c r="H133" s="366">
        <f t="shared" ref="H133:S133" si="56">H117</f>
        <v>2011</v>
      </c>
      <c r="I133" s="366">
        <f t="shared" si="56"/>
        <v>2012</v>
      </c>
      <c r="J133" s="366">
        <f t="shared" si="56"/>
        <v>2013</v>
      </c>
      <c r="K133" s="366">
        <f t="shared" si="56"/>
        <v>2014</v>
      </c>
      <c r="L133" s="366">
        <f t="shared" si="56"/>
        <v>2015</v>
      </c>
      <c r="M133" s="366">
        <f t="shared" si="56"/>
        <v>2016</v>
      </c>
      <c r="N133" s="366">
        <f t="shared" si="56"/>
        <v>2017</v>
      </c>
      <c r="O133" s="366">
        <f t="shared" si="56"/>
        <v>2018</v>
      </c>
      <c r="P133" s="366">
        <f t="shared" si="56"/>
        <v>2019</v>
      </c>
      <c r="Q133" s="366">
        <f t="shared" si="56"/>
        <v>2020</v>
      </c>
      <c r="R133" s="366">
        <f t="shared" si="56"/>
        <v>2021</v>
      </c>
      <c r="S133" s="366">
        <f t="shared" si="56"/>
        <v>2022</v>
      </c>
    </row>
    <row r="134" spans="1:21" s="373" customFormat="1" ht="14.1" customHeight="1" x14ac:dyDescent="0.2">
      <c r="A134" s="333" t="s">
        <v>448</v>
      </c>
      <c r="B134" s="311" t="s">
        <v>221</v>
      </c>
      <c r="C134" s="417" t="s">
        <v>239</v>
      </c>
      <c r="D134" s="336"/>
      <c r="E134" s="406"/>
      <c r="F134" s="411"/>
      <c r="G134" s="407" t="s">
        <v>240</v>
      </c>
      <c r="H134" s="418">
        <f t="shared" ref="H134:S134" si="57">H10/H4</f>
        <v>0.80716301539152902</v>
      </c>
      <c r="I134" s="418">
        <f t="shared" si="57"/>
        <v>0.76793880407521176</v>
      </c>
      <c r="J134" s="418">
        <f t="shared" si="57"/>
        <v>0.77086929226804202</v>
      </c>
      <c r="K134" s="418">
        <f t="shared" si="57"/>
        <v>0.79124447738786974</v>
      </c>
      <c r="L134" s="418">
        <f t="shared" si="57"/>
        <v>0.59902289173891232</v>
      </c>
      <c r="M134" s="418">
        <f t="shared" si="57"/>
        <v>0.7546445997656025</v>
      </c>
      <c r="N134" s="418">
        <f t="shared" si="57"/>
        <v>0.71108343711083433</v>
      </c>
      <c r="O134" s="418">
        <f t="shared" si="57"/>
        <v>0.71588755527479464</v>
      </c>
      <c r="P134" s="418">
        <f t="shared" si="57"/>
        <v>0.71649078595054339</v>
      </c>
      <c r="Q134" s="418">
        <f t="shared" si="57"/>
        <v>0.7117694155324259</v>
      </c>
      <c r="R134" s="418">
        <f t="shared" si="57"/>
        <v>0.67093814269894003</v>
      </c>
      <c r="S134" s="418">
        <f t="shared" si="57"/>
        <v>0.64893104002571933</v>
      </c>
    </row>
    <row r="135" spans="1:21" s="373" customFormat="1" ht="14.1" customHeight="1" x14ac:dyDescent="0.2">
      <c r="A135" s="333" t="s">
        <v>449</v>
      </c>
      <c r="B135" s="311" t="s">
        <v>224</v>
      </c>
      <c r="C135" s="417" t="s">
        <v>242</v>
      </c>
      <c r="D135" s="336"/>
      <c r="E135" s="406"/>
      <c r="F135" s="411"/>
      <c r="G135" s="407" t="s">
        <v>243</v>
      </c>
      <c r="H135" s="418">
        <f t="shared" ref="H135:S135" si="58">-(H58)/H15</f>
        <v>8.5080509301428964E-3</v>
      </c>
      <c r="I135" s="418">
        <f t="shared" si="58"/>
        <v>0</v>
      </c>
      <c r="J135" s="418">
        <f t="shared" si="58"/>
        <v>1.8378557201691296E-2</v>
      </c>
      <c r="K135" s="418">
        <f t="shared" si="58"/>
        <v>3.4088322838528876E-2</v>
      </c>
      <c r="L135" s="418">
        <f t="shared" si="58"/>
        <v>0.10342269135599429</v>
      </c>
      <c r="M135" s="418">
        <f t="shared" si="58"/>
        <v>0.36193102720097442</v>
      </c>
      <c r="N135" s="418">
        <f t="shared" si="58"/>
        <v>7.6619964973730298E-3</v>
      </c>
      <c r="O135" s="418">
        <f t="shared" si="58"/>
        <v>3.6399735274652546E-2</v>
      </c>
      <c r="P135" s="418">
        <f t="shared" si="58"/>
        <v>4.8362277423609587E-2</v>
      </c>
      <c r="Q135" s="418">
        <f t="shared" si="58"/>
        <v>2.2497187851518559E-2</v>
      </c>
      <c r="R135" s="418">
        <f t="shared" si="58"/>
        <v>0</v>
      </c>
      <c r="S135" s="418">
        <f t="shared" si="58"/>
        <v>0</v>
      </c>
    </row>
    <row r="136" spans="1:21" s="373" customFormat="1" ht="14.1" customHeight="1" x14ac:dyDescent="0.2">
      <c r="A136" s="333" t="s">
        <v>450</v>
      </c>
      <c r="B136" s="311" t="s">
        <v>227</v>
      </c>
      <c r="C136" s="333" t="s">
        <v>245</v>
      </c>
      <c r="D136" s="336"/>
      <c r="E136" s="406"/>
      <c r="F136" s="411"/>
      <c r="G136" s="399" t="s">
        <v>246</v>
      </c>
      <c r="H136" s="408">
        <f t="shared" ref="H136:S136" si="59">H33/H4</f>
        <v>0.38850174137737337</v>
      </c>
      <c r="I136" s="408">
        <f t="shared" si="59"/>
        <v>0.52961583401420642</v>
      </c>
      <c r="J136" s="408">
        <f t="shared" si="59"/>
        <v>0.50551878315215459</v>
      </c>
      <c r="K136" s="408">
        <f t="shared" si="59"/>
        <v>0.61387087803521512</v>
      </c>
      <c r="L136" s="408">
        <f t="shared" si="59"/>
        <v>0.52000676183993688</v>
      </c>
      <c r="M136" s="408">
        <f t="shared" si="59"/>
        <v>0.76772407798884312</v>
      </c>
      <c r="N136" s="408">
        <f t="shared" si="59"/>
        <v>0.43617683686176839</v>
      </c>
      <c r="O136" s="408">
        <f t="shared" si="59"/>
        <v>0.51563487049905243</v>
      </c>
      <c r="P136" s="408">
        <f t="shared" si="59"/>
        <v>0.63436919199873998</v>
      </c>
      <c r="Q136" s="408">
        <f t="shared" si="59"/>
        <v>0.69133359487590074</v>
      </c>
      <c r="R136" s="408">
        <f t="shared" si="59"/>
        <v>0.65343136355007114</v>
      </c>
      <c r="S136" s="408">
        <f t="shared" si="59"/>
        <v>0.67891493947436099</v>
      </c>
    </row>
    <row r="137" spans="1:21" s="373" customFormat="1" ht="14.1" customHeight="1" x14ac:dyDescent="0.2">
      <c r="A137" s="333" t="s">
        <v>451</v>
      </c>
      <c r="B137" s="311" t="s">
        <v>231</v>
      </c>
      <c r="C137" s="417" t="s">
        <v>248</v>
      </c>
      <c r="D137" s="336"/>
      <c r="E137" s="406"/>
      <c r="F137" s="411"/>
      <c r="G137" s="403" t="s">
        <v>249</v>
      </c>
      <c r="H137" s="408">
        <f t="shared" ref="H137:S137" si="60">H33/H15</f>
        <v>0.58373277947669466</v>
      </c>
      <c r="I137" s="408">
        <f t="shared" si="60"/>
        <v>0.74680384112253106</v>
      </c>
      <c r="J137" s="408">
        <f t="shared" si="60"/>
        <v>0.6557775594677322</v>
      </c>
      <c r="K137" s="408">
        <f t="shared" si="60"/>
        <v>0.77582958943585045</v>
      </c>
      <c r="L137" s="408">
        <f t="shared" si="60"/>
        <v>0.86809163558073987</v>
      </c>
      <c r="M137" s="408">
        <f t="shared" si="60"/>
        <v>1.0173319708738435</v>
      </c>
      <c r="N137" s="408">
        <f t="shared" si="60"/>
        <v>0.6133975481611208</v>
      </c>
      <c r="O137" s="408">
        <f t="shared" si="60"/>
        <v>0.72027354952570044</v>
      </c>
      <c r="P137" s="408">
        <f t="shared" si="60"/>
        <v>0.88538360079138279</v>
      </c>
      <c r="Q137" s="408">
        <f t="shared" si="60"/>
        <v>0.97128870641169862</v>
      </c>
      <c r="R137" s="408">
        <f t="shared" si="60"/>
        <v>0.97390701461919349</v>
      </c>
      <c r="S137" s="408">
        <f t="shared" si="60"/>
        <v>1.0462050627867228</v>
      </c>
    </row>
    <row r="138" spans="1:21" s="373" customFormat="1" ht="14.1" customHeight="1" x14ac:dyDescent="0.2">
      <c r="A138" s="333" t="s">
        <v>452</v>
      </c>
      <c r="B138" s="311" t="s">
        <v>234</v>
      </c>
      <c r="C138" s="417" t="s">
        <v>251</v>
      </c>
      <c r="D138" s="402">
        <v>0.5</v>
      </c>
      <c r="E138" s="402">
        <f>1/3</f>
        <v>0.33333333333333331</v>
      </c>
      <c r="F138" s="412" t="s">
        <v>433</v>
      </c>
      <c r="G138" s="395" t="s">
        <v>252</v>
      </c>
      <c r="H138" s="418">
        <f t="shared" ref="H138:S138" si="61">H27/H4</f>
        <v>0.74665857768790023</v>
      </c>
      <c r="I138" s="418">
        <f t="shared" si="61"/>
        <v>0.80400701152493437</v>
      </c>
      <c r="J138" s="418">
        <f t="shared" si="61"/>
        <v>0.8618422865548615</v>
      </c>
      <c r="K138" s="418">
        <f t="shared" si="61"/>
        <v>0.91267503517953574</v>
      </c>
      <c r="L138" s="418">
        <f t="shared" si="61"/>
        <v>0.7581175664541091</v>
      </c>
      <c r="M138" s="418">
        <f t="shared" si="61"/>
        <v>0.94521188552970725</v>
      </c>
      <c r="N138" s="418">
        <f t="shared" si="61"/>
        <v>0.93695516811955171</v>
      </c>
      <c r="O138" s="418">
        <f t="shared" si="61"/>
        <v>0.95056854074542008</v>
      </c>
      <c r="P138" s="418">
        <f t="shared" si="61"/>
        <v>0.9480233107575996</v>
      </c>
      <c r="Q138" s="418">
        <f t="shared" si="61"/>
        <v>0.9638110488390712</v>
      </c>
      <c r="R138" s="418">
        <f t="shared" si="61"/>
        <v>0.95222274956494224</v>
      </c>
      <c r="S138" s="418">
        <f t="shared" si="61"/>
        <v>0.96752933611959491</v>
      </c>
    </row>
    <row r="139" spans="1:21" s="373" customFormat="1" ht="14.1" customHeight="1" x14ac:dyDescent="0.2">
      <c r="A139" s="333"/>
      <c r="B139" s="311"/>
      <c r="C139" s="417"/>
      <c r="D139" s="417"/>
      <c r="E139" s="417"/>
      <c r="F139" s="417"/>
      <c r="G139" s="417"/>
      <c r="H139" s="417"/>
      <c r="I139" s="417"/>
      <c r="J139" s="417"/>
      <c r="K139" s="417"/>
      <c r="L139" s="417"/>
      <c r="M139" s="417"/>
      <c r="N139" s="417"/>
      <c r="O139" s="417"/>
      <c r="P139" s="417"/>
      <c r="Q139" s="417"/>
      <c r="R139" s="417"/>
      <c r="S139" s="417"/>
    </row>
    <row r="140" spans="1:21" s="373" customFormat="1" ht="14.1" customHeight="1" x14ac:dyDescent="0.2">
      <c r="A140" s="398"/>
      <c r="B140" s="311"/>
      <c r="C140" s="311"/>
      <c r="D140" s="419"/>
      <c r="E140" s="420"/>
      <c r="F140" s="411"/>
      <c r="G140" s="390" t="s">
        <v>253</v>
      </c>
      <c r="H140" s="366">
        <f t="shared" ref="H140:S140" si="62">H133</f>
        <v>2011</v>
      </c>
      <c r="I140" s="366">
        <f t="shared" si="62"/>
        <v>2012</v>
      </c>
      <c r="J140" s="366">
        <f t="shared" si="62"/>
        <v>2013</v>
      </c>
      <c r="K140" s="366">
        <f t="shared" si="62"/>
        <v>2014</v>
      </c>
      <c r="L140" s="366">
        <f t="shared" si="62"/>
        <v>2015</v>
      </c>
      <c r="M140" s="366">
        <f t="shared" si="62"/>
        <v>2016</v>
      </c>
      <c r="N140" s="366">
        <f t="shared" si="62"/>
        <v>2017</v>
      </c>
      <c r="O140" s="366">
        <f t="shared" si="62"/>
        <v>2018</v>
      </c>
      <c r="P140" s="366">
        <f t="shared" si="62"/>
        <v>2019</v>
      </c>
      <c r="Q140" s="366">
        <f t="shared" si="62"/>
        <v>2020</v>
      </c>
      <c r="R140" s="366">
        <f t="shared" si="62"/>
        <v>2021</v>
      </c>
      <c r="S140" s="366">
        <f t="shared" si="62"/>
        <v>2022</v>
      </c>
    </row>
    <row r="141" spans="1:21" s="373" customFormat="1" ht="14.1" customHeight="1" x14ac:dyDescent="0.2">
      <c r="A141" s="333" t="s">
        <v>453</v>
      </c>
      <c r="B141" s="311" t="s">
        <v>238</v>
      </c>
      <c r="C141" s="333" t="s">
        <v>255</v>
      </c>
      <c r="D141" s="421"/>
      <c r="E141" s="402">
        <v>0.05</v>
      </c>
      <c r="F141" s="333"/>
      <c r="G141" s="399" t="s">
        <v>256</v>
      </c>
      <c r="H141" s="405">
        <f t="shared" ref="H141:S141" si="63">H35/H33</f>
        <v>0.42379847162594914</v>
      </c>
      <c r="I141" s="405">
        <f t="shared" si="63"/>
        <v>0.37766990788039634</v>
      </c>
      <c r="J141" s="405">
        <f t="shared" si="63"/>
        <v>0.42443956488321516</v>
      </c>
      <c r="K141" s="405">
        <f t="shared" si="63"/>
        <v>0.40033439433496654</v>
      </c>
      <c r="L141" s="405">
        <f t="shared" si="63"/>
        <v>0.38271384334958758</v>
      </c>
      <c r="M141" s="405">
        <f t="shared" si="63"/>
        <v>0.26916750774848908</v>
      </c>
      <c r="N141" s="405">
        <f t="shared" si="63"/>
        <v>0.49928622412562457</v>
      </c>
      <c r="O141" s="405">
        <f t="shared" si="63"/>
        <v>0.39418070444104136</v>
      </c>
      <c r="P141" s="405">
        <f t="shared" si="63"/>
        <v>0.32913067551227654</v>
      </c>
      <c r="Q141" s="405">
        <f t="shared" si="63"/>
        <v>0.31625171692737697</v>
      </c>
      <c r="R141" s="405">
        <f t="shared" si="63"/>
        <v>0.34049007309616541</v>
      </c>
      <c r="S141" s="405">
        <f t="shared" si="63"/>
        <v>0.34296664019656575</v>
      </c>
    </row>
    <row r="142" spans="1:21" s="373" customFormat="1" ht="14.1" customHeight="1" x14ac:dyDescent="0.2">
      <c r="A142" s="333" t="s">
        <v>454</v>
      </c>
      <c r="B142" s="311" t="s">
        <v>241</v>
      </c>
      <c r="C142" s="333" t="s">
        <v>258</v>
      </c>
      <c r="D142" s="336"/>
      <c r="E142" s="402">
        <v>0.95</v>
      </c>
      <c r="F142" s="333"/>
      <c r="G142" s="407" t="s">
        <v>259</v>
      </c>
      <c r="H142" s="418">
        <f t="shared" ref="H142:S142" si="64">(H36+H34)/H33</f>
        <v>0.57620152837405081</v>
      </c>
      <c r="I142" s="418">
        <f t="shared" si="64"/>
        <v>0.62965821426804913</v>
      </c>
      <c r="J142" s="418">
        <f t="shared" si="64"/>
        <v>0.57548758858658411</v>
      </c>
      <c r="K142" s="418">
        <f t="shared" si="64"/>
        <v>0.59966560566503346</v>
      </c>
      <c r="L142" s="418">
        <f t="shared" si="64"/>
        <v>0.53561574039189519</v>
      </c>
      <c r="M142" s="418">
        <f t="shared" si="64"/>
        <v>0.72954509930982869</v>
      </c>
      <c r="N142" s="418">
        <f t="shared" si="64"/>
        <v>0.49785867237687365</v>
      </c>
      <c r="O142" s="418">
        <f t="shared" si="64"/>
        <v>0.57672281776416534</v>
      </c>
      <c r="P142" s="418">
        <f t="shared" si="64"/>
        <v>0.62021893877510481</v>
      </c>
      <c r="Q142" s="418">
        <f t="shared" si="64"/>
        <v>0.63649738546191326</v>
      </c>
      <c r="R142" s="418">
        <f t="shared" si="64"/>
        <v>0.61011931563790878</v>
      </c>
      <c r="S142" s="418">
        <f t="shared" si="64"/>
        <v>0.60873252902869535</v>
      </c>
    </row>
    <row r="143" spans="1:21" s="373" customFormat="1" ht="14.1" customHeight="1" x14ac:dyDescent="0.2">
      <c r="A143" s="333" t="s">
        <v>455</v>
      </c>
      <c r="B143" s="311" t="s">
        <v>244</v>
      </c>
      <c r="C143" s="333" t="s">
        <v>261</v>
      </c>
      <c r="D143" s="336"/>
      <c r="E143" s="402">
        <v>0.95</v>
      </c>
      <c r="F143" s="333"/>
      <c r="G143" s="403" t="s">
        <v>262</v>
      </c>
      <c r="H143" s="405">
        <f t="shared" ref="H143:S143" si="65">H38/(H38+H41)</f>
        <v>0</v>
      </c>
      <c r="I143" s="405">
        <f t="shared" si="65"/>
        <v>0</v>
      </c>
      <c r="J143" s="405">
        <f t="shared" si="65"/>
        <v>0</v>
      </c>
      <c r="K143" s="405">
        <f t="shared" si="65"/>
        <v>3.3146346127126039E-4</v>
      </c>
      <c r="L143" s="405">
        <f t="shared" si="65"/>
        <v>0</v>
      </c>
      <c r="M143" s="405">
        <f t="shared" si="65"/>
        <v>0</v>
      </c>
      <c r="N143" s="405">
        <f t="shared" si="65"/>
        <v>0</v>
      </c>
      <c r="O143" s="405">
        <f t="shared" si="65"/>
        <v>0</v>
      </c>
      <c r="P143" s="405">
        <f t="shared" si="65"/>
        <v>0</v>
      </c>
      <c r="Q143" s="405">
        <f t="shared" si="65"/>
        <v>0</v>
      </c>
      <c r="R143" s="405">
        <f t="shared" si="65"/>
        <v>0</v>
      </c>
      <c r="S143" s="405">
        <f t="shared" si="65"/>
        <v>0</v>
      </c>
    </row>
    <row r="144" spans="1:21" s="373" customFormat="1" ht="14.1" customHeight="1" x14ac:dyDescent="0.2">
      <c r="A144" s="333"/>
      <c r="B144" s="311"/>
      <c r="C144" s="333"/>
      <c r="D144" s="336"/>
      <c r="E144" s="336"/>
      <c r="F144" s="336"/>
      <c r="G144" s="336"/>
      <c r="H144" s="336"/>
      <c r="I144" s="336"/>
      <c r="J144" s="336"/>
      <c r="K144" s="336"/>
      <c r="L144" s="336"/>
      <c r="M144" s="336"/>
      <c r="N144" s="336"/>
      <c r="O144" s="336"/>
      <c r="P144" s="336"/>
      <c r="Q144" s="336"/>
      <c r="R144" s="336"/>
      <c r="S144" s="336"/>
      <c r="T144" s="336"/>
      <c r="U144" s="336"/>
    </row>
    <row r="145" spans="1:19" s="373" customFormat="1" ht="14.1" customHeight="1" x14ac:dyDescent="0.2">
      <c r="A145" s="398"/>
      <c r="B145" s="311"/>
      <c r="C145" s="422"/>
      <c r="D145" s="419"/>
      <c r="E145" s="420"/>
      <c r="F145" s="411"/>
      <c r="G145" s="390"/>
      <c r="H145" s="366">
        <f t="shared" ref="H145:S145" si="66">H140</f>
        <v>2011</v>
      </c>
      <c r="I145" s="366">
        <f t="shared" si="66"/>
        <v>2012</v>
      </c>
      <c r="J145" s="366">
        <f t="shared" si="66"/>
        <v>2013</v>
      </c>
      <c r="K145" s="366">
        <f t="shared" si="66"/>
        <v>2014</v>
      </c>
      <c r="L145" s="366">
        <f t="shared" si="66"/>
        <v>2015</v>
      </c>
      <c r="M145" s="366">
        <f t="shared" si="66"/>
        <v>2016</v>
      </c>
      <c r="N145" s="366">
        <f t="shared" si="66"/>
        <v>2017</v>
      </c>
      <c r="O145" s="366">
        <f t="shared" si="66"/>
        <v>2018</v>
      </c>
      <c r="P145" s="366">
        <f t="shared" si="66"/>
        <v>2019</v>
      </c>
      <c r="Q145" s="366">
        <f t="shared" si="66"/>
        <v>2020</v>
      </c>
      <c r="R145" s="366">
        <f t="shared" si="66"/>
        <v>2021</v>
      </c>
      <c r="S145" s="366">
        <f t="shared" si="66"/>
        <v>2022</v>
      </c>
    </row>
    <row r="146" spans="1:19" s="373" customFormat="1" ht="14.1" customHeight="1" x14ac:dyDescent="0.2">
      <c r="A146" s="373" t="s">
        <v>456</v>
      </c>
      <c r="B146" s="311" t="s">
        <v>247</v>
      </c>
      <c r="C146" s="333" t="s">
        <v>264</v>
      </c>
      <c r="D146" s="423">
        <v>0.5</v>
      </c>
      <c r="E146" s="424" t="s">
        <v>265</v>
      </c>
      <c r="G146" s="399" t="s">
        <v>266</v>
      </c>
      <c r="H146" s="408" t="str">
        <f t="shared" ref="H146:S146" si="67">IF(H141&lt;$D$146,$E$146,H35/H4)</f>
        <v>N/A</v>
      </c>
      <c r="I146" s="408" t="str">
        <f t="shared" si="67"/>
        <v>N/A</v>
      </c>
      <c r="J146" s="408" t="str">
        <f t="shared" si="67"/>
        <v>N/A</v>
      </c>
      <c r="K146" s="408" t="str">
        <f t="shared" si="67"/>
        <v>N/A</v>
      </c>
      <c r="L146" s="408" t="str">
        <f t="shared" si="67"/>
        <v>N/A</v>
      </c>
      <c r="M146" s="408" t="str">
        <f t="shared" si="67"/>
        <v>N/A</v>
      </c>
      <c r="N146" s="408" t="str">
        <f t="shared" si="67"/>
        <v>N/A</v>
      </c>
      <c r="O146" s="408" t="str">
        <f t="shared" si="67"/>
        <v>N/A</v>
      </c>
      <c r="P146" s="408" t="str">
        <f t="shared" si="67"/>
        <v>N/A</v>
      </c>
      <c r="Q146" s="408" t="str">
        <f t="shared" si="67"/>
        <v>N/A</v>
      </c>
      <c r="R146" s="408" t="str">
        <f t="shared" si="67"/>
        <v>N/A</v>
      </c>
      <c r="S146" s="408" t="str">
        <f t="shared" si="67"/>
        <v>N/A</v>
      </c>
    </row>
    <row r="147" spans="1:19" s="373" customFormat="1" ht="14.1" customHeight="1" x14ac:dyDescent="0.2">
      <c r="A147" s="373" t="s">
        <v>457</v>
      </c>
      <c r="B147" s="311" t="s">
        <v>250</v>
      </c>
      <c r="C147" s="333" t="s">
        <v>267</v>
      </c>
      <c r="D147" s="423">
        <v>0.5</v>
      </c>
      <c r="E147" s="424" t="s">
        <v>265</v>
      </c>
      <c r="G147" s="407" t="s">
        <v>268</v>
      </c>
      <c r="H147" s="408" t="str">
        <f t="shared" ref="H147:S147" si="68">IF(H141&lt;$D$147,$E$147,H35/H15)</f>
        <v>N/A</v>
      </c>
      <c r="I147" s="408" t="str">
        <f t="shared" si="68"/>
        <v>N/A</v>
      </c>
      <c r="J147" s="408" t="str">
        <f t="shared" si="68"/>
        <v>N/A</v>
      </c>
      <c r="K147" s="408" t="str">
        <f t="shared" si="68"/>
        <v>N/A</v>
      </c>
      <c r="L147" s="408" t="str">
        <f t="shared" si="68"/>
        <v>N/A</v>
      </c>
      <c r="M147" s="408" t="str">
        <f t="shared" si="68"/>
        <v>N/A</v>
      </c>
      <c r="N147" s="408" t="str">
        <f t="shared" si="68"/>
        <v>N/A</v>
      </c>
      <c r="O147" s="408" t="str">
        <f t="shared" si="68"/>
        <v>N/A</v>
      </c>
      <c r="P147" s="408" t="str">
        <f t="shared" si="68"/>
        <v>N/A</v>
      </c>
      <c r="Q147" s="408" t="str">
        <f t="shared" si="68"/>
        <v>N/A</v>
      </c>
      <c r="R147" s="408" t="str">
        <f t="shared" si="68"/>
        <v>N/A</v>
      </c>
      <c r="S147" s="408" t="str">
        <f t="shared" si="68"/>
        <v>N/A</v>
      </c>
    </row>
    <row r="148" spans="1:19" s="373" customFormat="1" ht="14.1" customHeight="1" x14ac:dyDescent="0.2">
      <c r="A148" s="373" t="s">
        <v>458</v>
      </c>
      <c r="B148" s="311" t="s">
        <v>254</v>
      </c>
      <c r="C148" s="333" t="s">
        <v>201</v>
      </c>
      <c r="D148" s="423">
        <v>0.5</v>
      </c>
      <c r="E148" s="424" t="s">
        <v>265</v>
      </c>
      <c r="G148" s="399" t="s">
        <v>269</v>
      </c>
      <c r="H148" s="418" t="str">
        <f t="shared" ref="H148:S148" si="69">IF(H141&lt;$D$148,$E$148,H46/H33)</f>
        <v>N/A</v>
      </c>
      <c r="I148" s="418" t="str">
        <f t="shared" si="69"/>
        <v>N/A</v>
      </c>
      <c r="J148" s="418" t="str">
        <f t="shared" si="69"/>
        <v>N/A</v>
      </c>
      <c r="K148" s="418" t="str">
        <f t="shared" si="69"/>
        <v>N/A</v>
      </c>
      <c r="L148" s="418" t="str">
        <f t="shared" si="69"/>
        <v>N/A</v>
      </c>
      <c r="M148" s="418" t="str">
        <f t="shared" si="69"/>
        <v>N/A</v>
      </c>
      <c r="N148" s="418" t="str">
        <f t="shared" si="69"/>
        <v>N/A</v>
      </c>
      <c r="O148" s="418" t="str">
        <f t="shared" si="69"/>
        <v>N/A</v>
      </c>
      <c r="P148" s="418" t="str">
        <f t="shared" si="69"/>
        <v>N/A</v>
      </c>
      <c r="Q148" s="418" t="str">
        <f t="shared" si="69"/>
        <v>N/A</v>
      </c>
      <c r="R148" s="418" t="str">
        <f t="shared" si="69"/>
        <v>N/A</v>
      </c>
      <c r="S148" s="418" t="str">
        <f t="shared" si="69"/>
        <v>N/A</v>
      </c>
    </row>
    <row r="149" spans="1:19" s="373" customFormat="1" ht="14.1" customHeight="1" x14ac:dyDescent="0.2">
      <c r="A149" s="373" t="s">
        <v>459</v>
      </c>
      <c r="B149" s="311" t="s">
        <v>257</v>
      </c>
      <c r="C149" s="333" t="s">
        <v>270</v>
      </c>
      <c r="D149" s="423">
        <v>0.5</v>
      </c>
      <c r="E149" s="424" t="s">
        <v>265</v>
      </c>
      <c r="G149" s="407" t="s">
        <v>271</v>
      </c>
      <c r="H149" s="418" t="str">
        <f t="shared" ref="H149:S149" si="70">IF(H141&lt;$D$148,$E$149,H51/H33)</f>
        <v>N/A</v>
      </c>
      <c r="I149" s="418" t="str">
        <f t="shared" si="70"/>
        <v>N/A</v>
      </c>
      <c r="J149" s="418" t="str">
        <f t="shared" si="70"/>
        <v>N/A</v>
      </c>
      <c r="K149" s="418" t="str">
        <f t="shared" si="70"/>
        <v>N/A</v>
      </c>
      <c r="L149" s="418" t="str">
        <f t="shared" si="70"/>
        <v>N/A</v>
      </c>
      <c r="M149" s="418" t="str">
        <f t="shared" si="70"/>
        <v>N/A</v>
      </c>
      <c r="N149" s="418" t="str">
        <f t="shared" si="70"/>
        <v>N/A</v>
      </c>
      <c r="O149" s="418" t="str">
        <f t="shared" si="70"/>
        <v>N/A</v>
      </c>
      <c r="P149" s="418" t="str">
        <f t="shared" si="70"/>
        <v>N/A</v>
      </c>
      <c r="Q149" s="418" t="str">
        <f t="shared" si="70"/>
        <v>N/A</v>
      </c>
      <c r="R149" s="418" t="str">
        <f t="shared" si="70"/>
        <v>N/A</v>
      </c>
      <c r="S149" s="418" t="str">
        <f t="shared" si="70"/>
        <v>N/A</v>
      </c>
    </row>
    <row r="150" spans="1:19" s="373" customFormat="1" ht="14.1" customHeight="1" x14ac:dyDescent="0.2">
      <c r="A150" s="373" t="s">
        <v>460</v>
      </c>
      <c r="B150" s="311" t="s">
        <v>260</v>
      </c>
      <c r="C150" s="333" t="s">
        <v>272</v>
      </c>
      <c r="D150" s="423">
        <v>0.5</v>
      </c>
      <c r="E150" s="424" t="s">
        <v>265</v>
      </c>
      <c r="G150" s="407" t="s">
        <v>273</v>
      </c>
      <c r="H150" s="418" t="str">
        <f t="shared" ref="H150:S150" si="71">IF(H141&lt;$D$150,$E$150,H51/H4)</f>
        <v>N/A</v>
      </c>
      <c r="I150" s="418" t="str">
        <f t="shared" si="71"/>
        <v>N/A</v>
      </c>
      <c r="J150" s="418" t="str">
        <f t="shared" si="71"/>
        <v>N/A</v>
      </c>
      <c r="K150" s="418" t="str">
        <f t="shared" si="71"/>
        <v>N/A</v>
      </c>
      <c r="L150" s="418" t="str">
        <f t="shared" si="71"/>
        <v>N/A</v>
      </c>
      <c r="M150" s="418" t="str">
        <f t="shared" si="71"/>
        <v>N/A</v>
      </c>
      <c r="N150" s="418" t="str">
        <f t="shared" si="71"/>
        <v>N/A</v>
      </c>
      <c r="O150" s="418" t="str">
        <f t="shared" si="71"/>
        <v>N/A</v>
      </c>
      <c r="P150" s="418" t="str">
        <f t="shared" si="71"/>
        <v>N/A</v>
      </c>
      <c r="Q150" s="418" t="str">
        <f t="shared" si="71"/>
        <v>N/A</v>
      </c>
      <c r="R150" s="418" t="str">
        <f t="shared" si="71"/>
        <v>N/A</v>
      </c>
      <c r="S150" s="418" t="str">
        <f t="shared" si="71"/>
        <v>N/A</v>
      </c>
    </row>
    <row r="151" spans="1:19" s="373" customFormat="1" ht="14.1" customHeight="1" x14ac:dyDescent="0.2">
      <c r="A151" s="373" t="s">
        <v>461</v>
      </c>
      <c r="B151" s="311" t="s">
        <v>263</v>
      </c>
      <c r="C151" s="333" t="s">
        <v>274</v>
      </c>
      <c r="D151" s="423">
        <v>0.5</v>
      </c>
      <c r="E151" s="424" t="s">
        <v>265</v>
      </c>
      <c r="G151" s="403" t="s">
        <v>275</v>
      </c>
      <c r="H151" s="418" t="str">
        <f>IF(H141&lt;$D$151,$E$151,H51/H27)</f>
        <v>N/A</v>
      </c>
      <c r="I151" s="418" t="str">
        <f t="shared" ref="I151:S151" si="72">IF(I141&lt;$D$151,$E$151,I51/((H27+I27)/2))</f>
        <v>N/A</v>
      </c>
      <c r="J151" s="418" t="str">
        <f t="shared" si="72"/>
        <v>N/A</v>
      </c>
      <c r="K151" s="418" t="str">
        <f t="shared" si="72"/>
        <v>N/A</v>
      </c>
      <c r="L151" s="418" t="str">
        <f t="shared" si="72"/>
        <v>N/A</v>
      </c>
      <c r="M151" s="418" t="str">
        <f t="shared" si="72"/>
        <v>N/A</v>
      </c>
      <c r="N151" s="418" t="str">
        <f t="shared" si="72"/>
        <v>N/A</v>
      </c>
      <c r="O151" s="418" t="str">
        <f t="shared" si="72"/>
        <v>N/A</v>
      </c>
      <c r="P151" s="418" t="str">
        <f t="shared" si="72"/>
        <v>N/A</v>
      </c>
      <c r="Q151" s="418" t="str">
        <f t="shared" si="72"/>
        <v>N/A</v>
      </c>
      <c r="R151" s="418" t="str">
        <f t="shared" si="72"/>
        <v>N/A</v>
      </c>
      <c r="S151" s="418" t="str">
        <f t="shared" si="72"/>
        <v>N/A</v>
      </c>
    </row>
    <row r="152" spans="1:19" s="373" customFormat="1" ht="14.1" customHeight="1" x14ac:dyDescent="0.2">
      <c r="A152" s="333"/>
      <c r="B152" s="311"/>
      <c r="C152" s="422"/>
      <c r="D152" s="419"/>
      <c r="E152" s="420"/>
      <c r="F152" s="333"/>
      <c r="G152" s="333"/>
      <c r="H152" s="333"/>
      <c r="I152" s="333"/>
      <c r="J152" s="333"/>
      <c r="K152" s="333"/>
      <c r="L152" s="333"/>
      <c r="M152" s="333"/>
      <c r="N152" s="333"/>
      <c r="O152" s="333"/>
      <c r="P152" s="333"/>
      <c r="Q152" s="333"/>
      <c r="R152" s="333"/>
      <c r="S152" s="333"/>
    </row>
    <row r="153" spans="1:19" s="373" customFormat="1" ht="14.1" customHeight="1" x14ac:dyDescent="0.2">
      <c r="A153" s="333"/>
      <c r="B153" s="311"/>
      <c r="C153" s="336"/>
      <c r="D153" s="336"/>
      <c r="E153" s="334"/>
      <c r="F153" s="333"/>
      <c r="G153" s="390" t="s">
        <v>462</v>
      </c>
      <c r="H153" s="366">
        <f t="shared" ref="H153:S153" si="73">H145</f>
        <v>2011</v>
      </c>
      <c r="I153" s="366">
        <f t="shared" si="73"/>
        <v>2012</v>
      </c>
      <c r="J153" s="366">
        <f t="shared" si="73"/>
        <v>2013</v>
      </c>
      <c r="K153" s="366">
        <f t="shared" si="73"/>
        <v>2014</v>
      </c>
      <c r="L153" s="366">
        <f t="shared" si="73"/>
        <v>2015</v>
      </c>
      <c r="M153" s="366">
        <f t="shared" si="73"/>
        <v>2016</v>
      </c>
      <c r="N153" s="366">
        <f t="shared" si="73"/>
        <v>2017</v>
      </c>
      <c r="O153" s="366">
        <f t="shared" si="73"/>
        <v>2018</v>
      </c>
      <c r="P153" s="366">
        <f t="shared" si="73"/>
        <v>2019</v>
      </c>
      <c r="Q153" s="366">
        <f t="shared" si="73"/>
        <v>2020</v>
      </c>
      <c r="R153" s="366">
        <f t="shared" si="73"/>
        <v>2021</v>
      </c>
      <c r="S153" s="366">
        <f t="shared" si="73"/>
        <v>2022</v>
      </c>
    </row>
    <row r="154" spans="1:19" s="373" customFormat="1" ht="14.1" customHeight="1" x14ac:dyDescent="0.2">
      <c r="A154" s="333"/>
      <c r="B154" s="311"/>
      <c r="C154" s="336"/>
      <c r="D154" s="336"/>
      <c r="E154" s="334"/>
      <c r="F154" s="333"/>
      <c r="G154" s="391" t="s">
        <v>276</v>
      </c>
      <c r="H154" s="392">
        <f t="shared" ref="H154:S154" si="74">H33</f>
        <v>1729.027</v>
      </c>
      <c r="I154" s="392">
        <f t="shared" si="74"/>
        <v>2345.212</v>
      </c>
      <c r="J154" s="392">
        <f t="shared" si="74"/>
        <v>2017.9409999999998</v>
      </c>
      <c r="K154" s="392">
        <f t="shared" si="74"/>
        <v>2348.7240000000002</v>
      </c>
      <c r="L154" s="392">
        <f t="shared" si="74"/>
        <v>2786.97</v>
      </c>
      <c r="M154" s="392">
        <f t="shared" si="74"/>
        <v>4814.4741199999999</v>
      </c>
      <c r="N154" s="392">
        <f t="shared" si="74"/>
        <v>2802</v>
      </c>
      <c r="O154" s="392">
        <f t="shared" si="74"/>
        <v>3265</v>
      </c>
      <c r="P154" s="392">
        <f t="shared" si="74"/>
        <v>4027.61</v>
      </c>
      <c r="Q154" s="392">
        <f t="shared" si="74"/>
        <v>4317.3783000000003</v>
      </c>
      <c r="R154" s="392">
        <f t="shared" si="74"/>
        <v>4130.3396489999996</v>
      </c>
      <c r="S154" s="392">
        <f t="shared" si="74"/>
        <v>4223.52983847</v>
      </c>
    </row>
    <row r="155" spans="1:19" s="373" customFormat="1" ht="14.1" customHeight="1" x14ac:dyDescent="0.2">
      <c r="A155" s="333"/>
      <c r="B155" s="311"/>
      <c r="C155" s="336"/>
      <c r="D155" s="336"/>
      <c r="E155" s="334"/>
      <c r="F155" s="333"/>
      <c r="G155" s="391" t="s">
        <v>277</v>
      </c>
      <c r="H155" s="392">
        <f t="shared" ref="H155:S156" si="75">H35</f>
        <v>732.75900000000001</v>
      </c>
      <c r="I155" s="392">
        <f t="shared" si="75"/>
        <v>885.71600000000001</v>
      </c>
      <c r="J155" s="392">
        <f t="shared" si="75"/>
        <v>856.49400000000003</v>
      </c>
      <c r="K155" s="392">
        <f t="shared" si="75"/>
        <v>940.27499999999998</v>
      </c>
      <c r="L155" s="392">
        <f t="shared" si="75"/>
        <v>1066.6120000000001</v>
      </c>
      <c r="M155" s="392">
        <f t="shared" si="75"/>
        <v>1295.9000000000001</v>
      </c>
      <c r="N155" s="392">
        <f t="shared" si="75"/>
        <v>1399</v>
      </c>
      <c r="O155" s="392">
        <f t="shared" si="75"/>
        <v>1287</v>
      </c>
      <c r="P155" s="392">
        <f t="shared" si="75"/>
        <v>1325.6100000000001</v>
      </c>
      <c r="Q155" s="392">
        <f t="shared" si="75"/>
        <v>1365.3783000000001</v>
      </c>
      <c r="R155" s="392">
        <f t="shared" si="75"/>
        <v>1406.339649</v>
      </c>
      <c r="S155" s="392">
        <f t="shared" si="75"/>
        <v>1448.52983847</v>
      </c>
    </row>
    <row r="156" spans="1:19" s="373" customFormat="1" ht="14.1" customHeight="1" x14ac:dyDescent="0.2">
      <c r="A156" s="333"/>
      <c r="B156" s="311"/>
      <c r="C156" s="336"/>
      <c r="D156" s="336"/>
      <c r="E156" s="334"/>
      <c r="F156" s="333"/>
      <c r="G156" s="391" t="s">
        <v>278</v>
      </c>
      <c r="H156" s="392">
        <f t="shared" si="75"/>
        <v>996.26800000000003</v>
      </c>
      <c r="I156" s="392">
        <f t="shared" si="75"/>
        <v>1476.682</v>
      </c>
      <c r="J156" s="392">
        <f t="shared" si="75"/>
        <v>1161.3</v>
      </c>
      <c r="K156" s="392">
        <f t="shared" si="75"/>
        <v>1408.4490000000001</v>
      </c>
      <c r="L156" s="392">
        <f t="shared" si="75"/>
        <v>1492.7449999999999</v>
      </c>
      <c r="M156" s="392">
        <f t="shared" si="75"/>
        <v>3512.3760000000002</v>
      </c>
      <c r="N156" s="392">
        <f t="shared" si="75"/>
        <v>1395</v>
      </c>
      <c r="O156" s="392">
        <f t="shared" si="75"/>
        <v>1883</v>
      </c>
      <c r="P156" s="392">
        <f t="shared" si="75"/>
        <v>2498</v>
      </c>
      <c r="Q156" s="392">
        <f t="shared" si="75"/>
        <v>2748</v>
      </c>
      <c r="R156" s="392">
        <f t="shared" si="75"/>
        <v>2520</v>
      </c>
      <c r="S156" s="392">
        <f t="shared" si="75"/>
        <v>2571</v>
      </c>
    </row>
    <row r="157" spans="1:19" s="373" customFormat="1" ht="14.1" customHeight="1" x14ac:dyDescent="0.2">
      <c r="A157" s="333"/>
      <c r="B157" s="311"/>
      <c r="C157" s="336"/>
      <c r="D157" s="336"/>
      <c r="E157" s="334"/>
      <c r="F157" s="333"/>
      <c r="G157" s="391" t="s">
        <v>279</v>
      </c>
      <c r="H157" s="392">
        <f t="shared" ref="H157:S157" si="76">H38+H41</f>
        <v>-1753.0419999999999</v>
      </c>
      <c r="I157" s="392">
        <f t="shared" si="76"/>
        <v>-2092.8980000000001</v>
      </c>
      <c r="J157" s="392">
        <f t="shared" si="76"/>
        <v>-2132.9770000000003</v>
      </c>
      <c r="K157" s="392">
        <f t="shared" si="76"/>
        <v>-2295.8789999999999</v>
      </c>
      <c r="L157" s="392">
        <f t="shared" si="76"/>
        <v>-2218.5269999999996</v>
      </c>
      <c r="M157" s="392">
        <f t="shared" si="76"/>
        <v>-2951.67292</v>
      </c>
      <c r="N157" s="392">
        <f t="shared" si="76"/>
        <v>-2710</v>
      </c>
      <c r="O157" s="392">
        <f t="shared" si="76"/>
        <v>-3265</v>
      </c>
      <c r="P157" s="392">
        <f t="shared" si="76"/>
        <v>-4028</v>
      </c>
      <c r="Q157" s="392">
        <f t="shared" si="76"/>
        <v>-4317</v>
      </c>
      <c r="R157" s="392">
        <f t="shared" si="76"/>
        <v>-4130</v>
      </c>
      <c r="S157" s="392">
        <f t="shared" si="76"/>
        <v>-4224</v>
      </c>
    </row>
    <row r="158" spans="1:19" s="373" customFormat="1" ht="14.1" customHeight="1" x14ac:dyDescent="0.2">
      <c r="A158" s="333"/>
      <c r="B158" s="311"/>
      <c r="C158" s="336"/>
      <c r="D158" s="336"/>
      <c r="E158" s="334"/>
      <c r="F158" s="333"/>
      <c r="G158" s="391" t="s">
        <v>280</v>
      </c>
      <c r="H158" s="392">
        <f t="shared" ref="H158:S158" si="77">H41</f>
        <v>-1753.0419999999999</v>
      </c>
      <c r="I158" s="392">
        <f t="shared" si="77"/>
        <v>-2092.8980000000001</v>
      </c>
      <c r="J158" s="392">
        <f t="shared" si="77"/>
        <v>-2132.9770000000003</v>
      </c>
      <c r="K158" s="392">
        <f t="shared" si="77"/>
        <v>-2295.1179999999999</v>
      </c>
      <c r="L158" s="392">
        <f t="shared" si="77"/>
        <v>-2218.5269999999996</v>
      </c>
      <c r="M158" s="392">
        <f t="shared" si="77"/>
        <v>-2951.67292</v>
      </c>
      <c r="N158" s="392">
        <f t="shared" si="77"/>
        <v>-2710</v>
      </c>
      <c r="O158" s="392">
        <f t="shared" si="77"/>
        <v>-3265</v>
      </c>
      <c r="P158" s="392">
        <f t="shared" si="77"/>
        <v>-4028</v>
      </c>
      <c r="Q158" s="392">
        <f t="shared" si="77"/>
        <v>-4317</v>
      </c>
      <c r="R158" s="392">
        <f t="shared" si="77"/>
        <v>-4130</v>
      </c>
      <c r="S158" s="392">
        <f t="shared" si="77"/>
        <v>-4224</v>
      </c>
    </row>
    <row r="159" spans="1:19" s="373" customFormat="1" ht="14.1" customHeight="1" x14ac:dyDescent="0.2">
      <c r="A159" s="333"/>
      <c r="B159" s="311"/>
      <c r="C159" s="336"/>
      <c r="D159" s="336"/>
      <c r="E159" s="334"/>
      <c r="F159" s="333"/>
      <c r="G159" s="391" t="s">
        <v>281</v>
      </c>
      <c r="H159" s="392">
        <f t="shared" ref="H159:S159" si="78">H38</f>
        <v>0</v>
      </c>
      <c r="I159" s="392">
        <f t="shared" si="78"/>
        <v>0</v>
      </c>
      <c r="J159" s="392">
        <f t="shared" si="78"/>
        <v>0</v>
      </c>
      <c r="K159" s="392">
        <f t="shared" si="78"/>
        <v>-0.76100000000000001</v>
      </c>
      <c r="L159" s="392">
        <f t="shared" si="78"/>
        <v>0</v>
      </c>
      <c r="M159" s="392">
        <f t="shared" si="78"/>
        <v>0</v>
      </c>
      <c r="N159" s="392">
        <f t="shared" si="78"/>
        <v>0</v>
      </c>
      <c r="O159" s="392">
        <f t="shared" si="78"/>
        <v>0</v>
      </c>
      <c r="P159" s="392">
        <f t="shared" si="78"/>
        <v>0</v>
      </c>
      <c r="Q159" s="392">
        <f t="shared" si="78"/>
        <v>0</v>
      </c>
      <c r="R159" s="392">
        <f t="shared" si="78"/>
        <v>0</v>
      </c>
      <c r="S159" s="392">
        <f t="shared" si="78"/>
        <v>0</v>
      </c>
    </row>
    <row r="160" spans="1:19" s="373" customFormat="1" ht="14.1" customHeight="1" x14ac:dyDescent="0.2">
      <c r="A160" s="333"/>
      <c r="B160" s="311"/>
      <c r="C160" s="336"/>
      <c r="D160" s="336"/>
      <c r="E160" s="334"/>
      <c r="F160" s="333"/>
      <c r="G160" s="391" t="s">
        <v>282</v>
      </c>
      <c r="H160" s="392">
        <f t="shared" ref="H160:S160" si="79">H46</f>
        <v>-24.014999999999873</v>
      </c>
      <c r="I160" s="392">
        <f t="shared" si="79"/>
        <v>252.31399999999985</v>
      </c>
      <c r="J160" s="392">
        <f t="shared" si="79"/>
        <v>-115.03600000000051</v>
      </c>
      <c r="K160" s="392">
        <f t="shared" si="79"/>
        <v>52.845000000000255</v>
      </c>
      <c r="L160" s="392">
        <f t="shared" si="79"/>
        <v>568.44300000000021</v>
      </c>
      <c r="M160" s="392">
        <f t="shared" si="79"/>
        <v>1862.8011999999999</v>
      </c>
      <c r="N160" s="392">
        <f t="shared" si="79"/>
        <v>92</v>
      </c>
      <c r="O160" s="392">
        <f t="shared" si="79"/>
        <v>0</v>
      </c>
      <c r="P160" s="392">
        <f t="shared" si="79"/>
        <v>-0.38999999999987267</v>
      </c>
      <c r="Q160" s="392">
        <f t="shared" si="79"/>
        <v>0.3783000000003085</v>
      </c>
      <c r="R160" s="392">
        <f t="shared" si="79"/>
        <v>0.33964899999955378</v>
      </c>
      <c r="S160" s="392">
        <f t="shared" si="79"/>
        <v>-0.47016153000004124</v>
      </c>
    </row>
    <row r="161" spans="1:19" s="373" customFormat="1" ht="14.1" customHeight="1" x14ac:dyDescent="0.2">
      <c r="A161" s="333"/>
      <c r="B161" s="311"/>
      <c r="C161" s="336"/>
      <c r="D161" s="336"/>
      <c r="E161" s="334"/>
      <c r="F161" s="333"/>
      <c r="G161" s="391" t="s">
        <v>283</v>
      </c>
      <c r="H161" s="392">
        <f t="shared" ref="H161:S161" si="80">H51</f>
        <v>-48.265999999999877</v>
      </c>
      <c r="I161" s="392">
        <f t="shared" si="80"/>
        <v>237.24999999999986</v>
      </c>
      <c r="J161" s="392">
        <f t="shared" si="80"/>
        <v>-119.93300000000052</v>
      </c>
      <c r="K161" s="392">
        <f t="shared" si="80"/>
        <v>51.654000000000252</v>
      </c>
      <c r="L161" s="392">
        <f t="shared" si="80"/>
        <v>571.14700000000016</v>
      </c>
      <c r="M161" s="392">
        <f t="shared" si="80"/>
        <v>1864.1406599999998</v>
      </c>
      <c r="N161" s="392">
        <f t="shared" si="80"/>
        <v>92</v>
      </c>
      <c r="O161" s="392">
        <f t="shared" si="80"/>
        <v>0</v>
      </c>
      <c r="P161" s="392">
        <f t="shared" si="80"/>
        <v>-0.38999999999987267</v>
      </c>
      <c r="Q161" s="392">
        <f t="shared" si="80"/>
        <v>0.3783000000003085</v>
      </c>
      <c r="R161" s="392">
        <f t="shared" si="80"/>
        <v>0.33964899999955378</v>
      </c>
      <c r="S161" s="392">
        <f t="shared" si="80"/>
        <v>-0.47016153000004124</v>
      </c>
    </row>
    <row r="162" spans="1:19" s="373" customFormat="1" ht="14.1" customHeight="1" x14ac:dyDescent="0.2">
      <c r="A162" s="333"/>
      <c r="B162" s="311"/>
      <c r="C162" s="336"/>
      <c r="D162" s="336"/>
      <c r="E162" s="334"/>
      <c r="F162" s="333"/>
      <c r="G162" s="391" t="s">
        <v>284</v>
      </c>
      <c r="H162" s="392">
        <f t="shared" ref="H162:S163" si="81">H4</f>
        <v>4450.5</v>
      </c>
      <c r="I162" s="392">
        <f t="shared" si="81"/>
        <v>4428.1379999999999</v>
      </c>
      <c r="J162" s="392">
        <f t="shared" si="81"/>
        <v>3991.8219999999997</v>
      </c>
      <c r="K162" s="392">
        <f t="shared" si="81"/>
        <v>3826.0880000000002</v>
      </c>
      <c r="L162" s="392">
        <f t="shared" si="81"/>
        <v>5359.4880000000003</v>
      </c>
      <c r="M162" s="392">
        <f t="shared" si="81"/>
        <v>6271.0995500000008</v>
      </c>
      <c r="N162" s="392">
        <f t="shared" si="81"/>
        <v>6424</v>
      </c>
      <c r="O162" s="392">
        <f t="shared" si="81"/>
        <v>6332</v>
      </c>
      <c r="P162" s="392">
        <f t="shared" si="81"/>
        <v>6349</v>
      </c>
      <c r="Q162" s="392">
        <f t="shared" si="81"/>
        <v>6245</v>
      </c>
      <c r="R162" s="392">
        <f t="shared" si="81"/>
        <v>6321</v>
      </c>
      <c r="S162" s="392">
        <f t="shared" si="81"/>
        <v>6221</v>
      </c>
    </row>
    <row r="163" spans="1:19" s="373" customFormat="1" ht="14.1" customHeight="1" x14ac:dyDescent="0.2">
      <c r="A163" s="333"/>
      <c r="B163" s="311"/>
      <c r="C163" s="336"/>
      <c r="D163" s="336"/>
      <c r="E163" s="334"/>
      <c r="F163" s="333"/>
      <c r="G163" s="391" t="s">
        <v>285</v>
      </c>
      <c r="H163" s="392">
        <f t="shared" si="81"/>
        <v>858.221</v>
      </c>
      <c r="I163" s="392">
        <f t="shared" si="81"/>
        <v>1027.5989999999999</v>
      </c>
      <c r="J163" s="392">
        <f t="shared" si="81"/>
        <v>914.649</v>
      </c>
      <c r="K163" s="392">
        <f t="shared" si="81"/>
        <v>798.71699999999998</v>
      </c>
      <c r="L163" s="392">
        <f t="shared" si="81"/>
        <v>2149.0320000000002</v>
      </c>
      <c r="M163" s="392">
        <f t="shared" si="81"/>
        <v>1538.6481399999998</v>
      </c>
      <c r="N163" s="392">
        <f t="shared" si="81"/>
        <v>1856</v>
      </c>
      <c r="O163" s="392">
        <f t="shared" si="81"/>
        <v>1799</v>
      </c>
      <c r="P163" s="392">
        <f t="shared" si="81"/>
        <v>1800</v>
      </c>
      <c r="Q163" s="392">
        <f t="shared" si="81"/>
        <v>1800</v>
      </c>
      <c r="R163" s="392">
        <f t="shared" si="81"/>
        <v>2080</v>
      </c>
      <c r="S163" s="392">
        <f t="shared" si="81"/>
        <v>2184</v>
      </c>
    </row>
    <row r="164" spans="1:19" s="373" customFormat="1" ht="14.1" customHeight="1" x14ac:dyDescent="0.2">
      <c r="A164" s="333"/>
      <c r="B164" s="311"/>
      <c r="C164" s="336"/>
      <c r="D164" s="336"/>
      <c r="E164" s="334"/>
      <c r="F164" s="333"/>
      <c r="G164" s="391" t="s">
        <v>286</v>
      </c>
      <c r="H164" s="392">
        <f t="shared" ref="H164:S164" si="82">H10</f>
        <v>3592.279</v>
      </c>
      <c r="I164" s="392">
        <f t="shared" si="82"/>
        <v>3400.5389999999998</v>
      </c>
      <c r="J164" s="392">
        <f t="shared" si="82"/>
        <v>3077.1729999999998</v>
      </c>
      <c r="K164" s="392">
        <f t="shared" si="82"/>
        <v>3027.3710000000001</v>
      </c>
      <c r="L164" s="392">
        <f t="shared" si="82"/>
        <v>3210.4560000000001</v>
      </c>
      <c r="M164" s="392">
        <f t="shared" si="82"/>
        <v>4732.4514100000006</v>
      </c>
      <c r="N164" s="392">
        <f t="shared" si="82"/>
        <v>4568</v>
      </c>
      <c r="O164" s="392">
        <f t="shared" si="82"/>
        <v>4533</v>
      </c>
      <c r="P164" s="392">
        <f t="shared" si="82"/>
        <v>4549</v>
      </c>
      <c r="Q164" s="392">
        <f t="shared" si="82"/>
        <v>4445</v>
      </c>
      <c r="R164" s="392">
        <f t="shared" si="82"/>
        <v>4241</v>
      </c>
      <c r="S164" s="392">
        <f t="shared" si="82"/>
        <v>4037</v>
      </c>
    </row>
    <row r="165" spans="1:19" s="373" customFormat="1" ht="14.1" customHeight="1" x14ac:dyDescent="0.2">
      <c r="A165" s="333"/>
      <c r="B165" s="311"/>
      <c r="C165" s="336"/>
      <c r="D165" s="336"/>
      <c r="E165" s="334"/>
      <c r="F165" s="333"/>
      <c r="G165" s="391" t="s">
        <v>287</v>
      </c>
      <c r="H165" s="392">
        <f t="shared" ref="H165:S166" si="83">H19</f>
        <v>1127.4949999999999</v>
      </c>
      <c r="I165" s="392">
        <f t="shared" si="83"/>
        <v>867.88499999999999</v>
      </c>
      <c r="J165" s="392">
        <f t="shared" si="83"/>
        <v>551.5</v>
      </c>
      <c r="K165" s="392">
        <f t="shared" si="83"/>
        <v>334.11199999999997</v>
      </c>
      <c r="L165" s="392">
        <f t="shared" si="83"/>
        <v>1296.367</v>
      </c>
      <c r="M165" s="392">
        <f t="shared" si="83"/>
        <v>343.58100000000002</v>
      </c>
      <c r="N165" s="392">
        <f t="shared" si="83"/>
        <v>405</v>
      </c>
      <c r="O165" s="392">
        <f t="shared" si="83"/>
        <v>313</v>
      </c>
      <c r="P165" s="392">
        <f t="shared" si="83"/>
        <v>330</v>
      </c>
      <c r="Q165" s="392">
        <f t="shared" si="83"/>
        <v>226</v>
      </c>
      <c r="R165" s="392">
        <f t="shared" si="83"/>
        <v>302</v>
      </c>
      <c r="S165" s="392">
        <f t="shared" si="83"/>
        <v>202</v>
      </c>
    </row>
    <row r="166" spans="1:19" s="373" customFormat="1" ht="14.1" customHeight="1" x14ac:dyDescent="0.2">
      <c r="A166" s="333"/>
      <c r="B166" s="311"/>
      <c r="C166" s="336"/>
      <c r="D166" s="336"/>
      <c r="E166" s="334"/>
      <c r="F166" s="333"/>
      <c r="G166" s="391" t="s">
        <v>288</v>
      </c>
      <c r="H166" s="392">
        <f t="shared" si="83"/>
        <v>556.45699999999999</v>
      </c>
      <c r="I166" s="392">
        <f t="shared" si="83"/>
        <v>607.67700000000002</v>
      </c>
      <c r="J166" s="392">
        <f t="shared" si="83"/>
        <v>551.5</v>
      </c>
      <c r="K166" s="392">
        <f t="shared" si="83"/>
        <v>334.11200000000002</v>
      </c>
      <c r="L166" s="392">
        <f t="shared" si="83"/>
        <v>1296.367</v>
      </c>
      <c r="M166" s="392">
        <f t="shared" si="83"/>
        <v>343.58100000000002</v>
      </c>
      <c r="N166" s="392">
        <f t="shared" si="83"/>
        <v>0</v>
      </c>
      <c r="O166" s="392">
        <f t="shared" si="83"/>
        <v>0</v>
      </c>
      <c r="P166" s="392">
        <f t="shared" si="83"/>
        <v>0</v>
      </c>
      <c r="Q166" s="392">
        <f t="shared" si="83"/>
        <v>0</v>
      </c>
      <c r="R166" s="392">
        <f t="shared" si="83"/>
        <v>0</v>
      </c>
      <c r="S166" s="392">
        <f t="shared" si="83"/>
        <v>0</v>
      </c>
    </row>
    <row r="167" spans="1:19" s="373" customFormat="1" ht="14.1" customHeight="1" x14ac:dyDescent="0.2">
      <c r="A167" s="333"/>
      <c r="B167" s="311"/>
      <c r="C167" s="336"/>
      <c r="D167" s="336"/>
      <c r="E167" s="334"/>
      <c r="F167" s="333"/>
      <c r="G167" s="391" t="s">
        <v>289</v>
      </c>
      <c r="H167" s="392">
        <f t="shared" ref="H167:S167" si="84">H24</f>
        <v>869.89599999999996</v>
      </c>
      <c r="I167" s="392">
        <f t="shared" si="84"/>
        <v>568.81799999999998</v>
      </c>
      <c r="J167" s="392">
        <f t="shared" si="84"/>
        <v>260.16500000000002</v>
      </c>
      <c r="K167" s="392">
        <f t="shared" si="84"/>
        <v>0</v>
      </c>
      <c r="L167" s="392">
        <f t="shared" si="84"/>
        <v>0</v>
      </c>
      <c r="M167" s="392">
        <f t="shared" si="84"/>
        <v>0</v>
      </c>
      <c r="N167" s="392">
        <f t="shared" si="84"/>
        <v>0</v>
      </c>
      <c r="O167" s="392">
        <f t="shared" si="84"/>
        <v>0</v>
      </c>
      <c r="P167" s="392">
        <f t="shared" si="84"/>
        <v>0</v>
      </c>
      <c r="Q167" s="392">
        <f t="shared" si="84"/>
        <v>0</v>
      </c>
      <c r="R167" s="392">
        <f t="shared" si="84"/>
        <v>0</v>
      </c>
      <c r="S167" s="392">
        <f t="shared" si="84"/>
        <v>0</v>
      </c>
    </row>
    <row r="168" spans="1:19" s="373" customFormat="1" ht="14.1" customHeight="1" x14ac:dyDescent="0.2">
      <c r="A168" s="333"/>
      <c r="B168" s="311"/>
      <c r="C168" s="336"/>
      <c r="D168" s="336"/>
      <c r="E168" s="334"/>
      <c r="F168" s="333"/>
      <c r="G168" s="391" t="s">
        <v>290</v>
      </c>
      <c r="H168" s="392">
        <f t="shared" ref="H168:S168" si="85">H27</f>
        <v>3323.0039999999999</v>
      </c>
      <c r="I168" s="392">
        <f t="shared" si="85"/>
        <v>3560.2539999999999</v>
      </c>
      <c r="J168" s="392">
        <f t="shared" si="85"/>
        <v>3440.3209999999999</v>
      </c>
      <c r="K168" s="392">
        <f t="shared" si="85"/>
        <v>3491.9749999999999</v>
      </c>
      <c r="L168" s="392">
        <f t="shared" si="85"/>
        <v>4063.1220000000003</v>
      </c>
      <c r="M168" s="392">
        <f t="shared" si="85"/>
        <v>5927.5178299999998</v>
      </c>
      <c r="N168" s="392">
        <f t="shared" si="85"/>
        <v>6019</v>
      </c>
      <c r="O168" s="392">
        <f t="shared" si="85"/>
        <v>6019</v>
      </c>
      <c r="P168" s="392">
        <f t="shared" si="85"/>
        <v>6019</v>
      </c>
      <c r="Q168" s="392">
        <f t="shared" si="85"/>
        <v>6019</v>
      </c>
      <c r="R168" s="392">
        <f t="shared" si="85"/>
        <v>6019</v>
      </c>
      <c r="S168" s="392">
        <f t="shared" si="85"/>
        <v>6019</v>
      </c>
    </row>
    <row r="169" spans="1:19" s="373" customFormat="1" ht="14.1" customHeight="1" x14ac:dyDescent="0.2">
      <c r="A169" s="333"/>
      <c r="B169" s="311"/>
      <c r="C169" s="422"/>
      <c r="D169" s="419"/>
      <c r="E169" s="420"/>
      <c r="F169" s="333"/>
      <c r="G169" s="333"/>
      <c r="H169" s="333"/>
      <c r="I169" s="333"/>
      <c r="J169" s="333"/>
      <c r="K169" s="333"/>
      <c r="L169" s="333"/>
      <c r="M169" s="333"/>
      <c r="N169" s="333"/>
      <c r="O169" s="333"/>
      <c r="P169" s="333"/>
      <c r="Q169" s="333"/>
      <c r="R169" s="333"/>
      <c r="S169" s="333"/>
    </row>
    <row r="170" spans="1:19" s="373" customFormat="1" ht="14.1" customHeight="1" x14ac:dyDescent="0.2">
      <c r="A170" s="333"/>
      <c r="B170" s="311"/>
      <c r="C170" s="422" t="s">
        <v>463</v>
      </c>
      <c r="D170" s="419"/>
      <c r="E170" s="420"/>
      <c r="F170" s="333"/>
      <c r="G170" s="333"/>
      <c r="H170" s="333"/>
      <c r="I170" s="333"/>
      <c r="J170" s="333"/>
      <c r="K170" s="333"/>
      <c r="L170" s="333"/>
      <c r="M170" s="333"/>
      <c r="N170" s="333"/>
      <c r="O170" s="333"/>
      <c r="P170" s="333"/>
      <c r="Q170" s="333"/>
      <c r="R170" s="333"/>
      <c r="S170" s="333"/>
    </row>
    <row r="171" spans="1:19" s="373" customFormat="1" ht="14.1" customHeight="1" x14ac:dyDescent="0.2">
      <c r="A171" s="333"/>
      <c r="B171" s="311"/>
      <c r="C171" s="422"/>
      <c r="D171" s="419"/>
      <c r="E171" s="420"/>
      <c r="F171" s="333"/>
      <c r="G171" s="333"/>
      <c r="H171" s="333"/>
      <c r="I171" s="333"/>
      <c r="J171" s="333"/>
      <c r="K171" s="333"/>
      <c r="L171" s="333"/>
      <c r="M171" s="333"/>
      <c r="N171" s="333"/>
      <c r="O171" s="333"/>
      <c r="P171" s="333"/>
      <c r="Q171" s="333"/>
      <c r="R171" s="333"/>
      <c r="S171" s="333"/>
    </row>
    <row r="172" spans="1:19" s="398" customFormat="1" ht="14.1" customHeight="1" x14ac:dyDescent="0.2">
      <c r="A172" s="379"/>
      <c r="B172" s="311"/>
      <c r="C172" s="379" t="s">
        <v>464</v>
      </c>
      <c r="D172" s="394"/>
      <c r="E172" s="380"/>
      <c r="F172" s="379"/>
      <c r="G172" s="379"/>
      <c r="H172" s="379"/>
      <c r="I172" s="379"/>
      <c r="J172" s="379"/>
      <c r="K172" s="379"/>
      <c r="L172" s="379"/>
      <c r="M172" s="379"/>
      <c r="N172" s="379"/>
      <c r="O172" s="379"/>
      <c r="P172" s="379"/>
      <c r="Q172" s="379"/>
      <c r="R172" s="379"/>
      <c r="S172" s="379"/>
    </row>
    <row r="173" spans="1:19" s="373" customFormat="1" ht="14.1" customHeight="1" x14ac:dyDescent="0.2">
      <c r="A173" s="333"/>
      <c r="B173" s="311"/>
      <c r="C173" s="333"/>
      <c r="D173" s="336"/>
      <c r="E173" s="334"/>
      <c r="F173" s="333"/>
      <c r="G173" s="388"/>
      <c r="H173" s="388"/>
      <c r="I173" s="388"/>
      <c r="J173" s="388"/>
      <c r="K173" s="388"/>
      <c r="L173" s="388"/>
      <c r="M173" s="388"/>
      <c r="N173" s="388"/>
      <c r="O173" s="388"/>
      <c r="P173" s="388"/>
      <c r="Q173" s="388"/>
      <c r="R173" s="388"/>
    </row>
    <row r="174" spans="1:19" s="373" customFormat="1" ht="14.1" customHeight="1" x14ac:dyDescent="0.2">
      <c r="A174" s="333"/>
      <c r="B174" s="311"/>
      <c r="C174" s="333" t="s">
        <v>291</v>
      </c>
      <c r="D174" s="336"/>
      <c r="E174" s="334"/>
      <c r="F174" s="333"/>
      <c r="G174" s="388"/>
      <c r="H174" s="388"/>
      <c r="I174" s="388"/>
      <c r="J174" s="388"/>
      <c r="K174" s="388"/>
      <c r="L174" s="388"/>
      <c r="M174" s="388"/>
      <c r="N174" s="388"/>
      <c r="O174" s="388"/>
      <c r="P174" s="388"/>
      <c r="Q174" s="388"/>
      <c r="R174" s="388"/>
    </row>
    <row r="175" spans="1:19" s="373" customFormat="1" ht="14.1" customHeight="1" x14ac:dyDescent="0.2">
      <c r="A175" s="333"/>
      <c r="B175" s="311"/>
      <c r="C175" s="333" t="s">
        <v>292</v>
      </c>
      <c r="D175" s="336"/>
      <c r="E175" s="334"/>
      <c r="F175" s="340"/>
      <c r="G175" s="425"/>
      <c r="H175" s="425"/>
      <c r="I175" s="425"/>
      <c r="J175" s="425"/>
      <c r="K175" s="425"/>
      <c r="L175" s="425"/>
      <c r="M175" s="425"/>
      <c r="N175" s="425"/>
      <c r="O175" s="425"/>
      <c r="P175" s="425"/>
      <c r="Q175" s="425"/>
      <c r="R175" s="425"/>
    </row>
    <row r="176" spans="1:19" s="373" customFormat="1" ht="14.1" customHeight="1" x14ac:dyDescent="0.2">
      <c r="A176" s="333"/>
      <c r="B176" s="311"/>
      <c r="C176" s="333"/>
      <c r="D176" s="336"/>
      <c r="E176" s="334"/>
      <c r="F176" s="340"/>
      <c r="G176" s="426"/>
      <c r="H176" s="426"/>
      <c r="I176" s="426"/>
      <c r="J176" s="426"/>
      <c r="K176" s="426"/>
      <c r="L176" s="426"/>
      <c r="M176" s="426"/>
      <c r="N176" s="426"/>
      <c r="O176" s="426"/>
      <c r="P176" s="426"/>
      <c r="Q176" s="426"/>
      <c r="R176" s="426"/>
    </row>
    <row r="177" spans="1:7" s="373" customFormat="1" ht="14.1" customHeight="1" x14ac:dyDescent="0.2">
      <c r="A177" s="333"/>
      <c r="B177" s="311"/>
      <c r="C177" s="333" t="s">
        <v>293</v>
      </c>
      <c r="D177" s="336"/>
      <c r="E177" s="334"/>
      <c r="F177" s="340"/>
      <c r="G177" s="388"/>
    </row>
    <row r="178" spans="1:7" s="373" customFormat="1" ht="14.1" customHeight="1" x14ac:dyDescent="0.2">
      <c r="A178" s="333"/>
      <c r="B178" s="311"/>
      <c r="C178" s="333" t="s">
        <v>294</v>
      </c>
      <c r="D178" s="336"/>
      <c r="E178" s="334"/>
      <c r="F178" s="340"/>
      <c r="G178" s="388"/>
    </row>
    <row r="179" spans="1:7" ht="14.1" customHeight="1" x14ac:dyDescent="0.2"/>
    <row r="180" spans="1:7" ht="14.1" customHeight="1" x14ac:dyDescent="0.2"/>
    <row r="181" spans="1:7" ht="14.1" customHeight="1" x14ac:dyDescent="0.2"/>
    <row r="182" spans="1:7" ht="14.1" customHeight="1" x14ac:dyDescent="0.2"/>
    <row r="183" spans="1:7" ht="14.1" customHeight="1" x14ac:dyDescent="0.2"/>
    <row r="184" spans="1:7" ht="14.1" customHeight="1" x14ac:dyDescent="0.2"/>
    <row r="185" spans="1:7" ht="14.1" customHeight="1" x14ac:dyDescent="0.2"/>
    <row r="186" spans="1:7" ht="14.1" customHeight="1" x14ac:dyDescent="0.2"/>
    <row r="187" spans="1:7" ht="14.1" customHeight="1" x14ac:dyDescent="0.2"/>
    <row r="188" spans="1:7" ht="14.1" customHeight="1" x14ac:dyDescent="0.2"/>
    <row r="189" spans="1:7" ht="14.1" customHeight="1" x14ac:dyDescent="0.2"/>
    <row r="190" spans="1:7" ht="14.1" customHeight="1" x14ac:dyDescent="0.2"/>
    <row r="191" spans="1:7" ht="14.1" customHeight="1" x14ac:dyDescent="0.2"/>
    <row r="192" spans="1:7" ht="14.1" customHeight="1" x14ac:dyDescent="0.2"/>
    <row r="193" ht="14.1" customHeight="1" x14ac:dyDescent="0.2"/>
    <row r="194" ht="14.1" customHeight="1" x14ac:dyDescent="0.2"/>
    <row r="195" ht="14.1" customHeight="1" x14ac:dyDescent="0.2"/>
    <row r="196" ht="14.1" customHeight="1" x14ac:dyDescent="0.2"/>
    <row r="197" ht="14.1" customHeight="1" x14ac:dyDescent="0.2"/>
    <row r="198" ht="14.1" customHeight="1" x14ac:dyDescent="0.2"/>
    <row r="199" ht="14.1" customHeight="1" x14ac:dyDescent="0.2"/>
    <row r="200" ht="14.1" customHeight="1" x14ac:dyDescent="0.2"/>
    <row r="201" ht="14.1" customHeight="1" x14ac:dyDescent="0.2"/>
    <row r="202" ht="14.1" customHeight="1" x14ac:dyDescent="0.2"/>
    <row r="203" ht="14.1" customHeight="1" x14ac:dyDescent="0.2"/>
    <row r="204" ht="14.1" customHeight="1" x14ac:dyDescent="0.2"/>
    <row r="205" ht="14.1" customHeight="1" x14ac:dyDescent="0.2"/>
    <row r="206" ht="14.1" customHeight="1" x14ac:dyDescent="0.2"/>
    <row r="207" ht="14.1" customHeight="1" x14ac:dyDescent="0.2"/>
    <row r="208" ht="14.1" customHeight="1" x14ac:dyDescent="0.2"/>
    <row r="209" ht="14.1" customHeight="1" x14ac:dyDescent="0.2"/>
    <row r="210" ht="14.1" customHeight="1" x14ac:dyDescent="0.2"/>
    <row r="211" ht="14.1" customHeight="1" x14ac:dyDescent="0.2"/>
    <row r="212" ht="14.1" customHeight="1" x14ac:dyDescent="0.2"/>
    <row r="213" ht="14.1" customHeight="1" x14ac:dyDescent="0.2"/>
    <row r="214" ht="14.1" customHeight="1" x14ac:dyDescent="0.2"/>
    <row r="215" ht="14.1" customHeight="1" x14ac:dyDescent="0.2"/>
    <row r="216" ht="14.1" customHeight="1" x14ac:dyDescent="0.2"/>
    <row r="217" ht="14.1" customHeight="1" x14ac:dyDescent="0.2"/>
    <row r="218" ht="14.1" customHeight="1" x14ac:dyDescent="0.2"/>
    <row r="219" ht="14.1" customHeight="1" x14ac:dyDescent="0.2"/>
    <row r="220" ht="14.1" customHeight="1" x14ac:dyDescent="0.2"/>
    <row r="221" ht="14.1" customHeight="1" x14ac:dyDescent="0.2"/>
    <row r="222" ht="14.1" customHeight="1" x14ac:dyDescent="0.2"/>
    <row r="223" ht="14.1" customHeight="1" x14ac:dyDescent="0.2"/>
    <row r="224" ht="14.1" customHeight="1" x14ac:dyDescent="0.2"/>
    <row r="225" ht="14.1" customHeight="1" x14ac:dyDescent="0.2"/>
    <row r="226" ht="14.1" customHeight="1" x14ac:dyDescent="0.2"/>
    <row r="227" ht="14.1" customHeight="1" x14ac:dyDescent="0.2"/>
    <row r="228" ht="14.1" customHeight="1" x14ac:dyDescent="0.2"/>
    <row r="229" ht="14.1" customHeight="1" x14ac:dyDescent="0.2"/>
    <row r="230" ht="14.1" customHeight="1" x14ac:dyDescent="0.2"/>
    <row r="231" ht="14.1" customHeight="1" x14ac:dyDescent="0.2"/>
    <row r="232" ht="14.1" customHeight="1" x14ac:dyDescent="0.2"/>
    <row r="233" ht="14.1" customHeight="1" x14ac:dyDescent="0.2"/>
    <row r="234" ht="14.1" customHeight="1" x14ac:dyDescent="0.2"/>
    <row r="235" ht="14.1" customHeight="1" x14ac:dyDescent="0.2"/>
    <row r="236" ht="14.1" customHeight="1" x14ac:dyDescent="0.2"/>
    <row r="237" ht="14.1" customHeight="1" x14ac:dyDescent="0.2"/>
    <row r="238" ht="14.1" customHeight="1" x14ac:dyDescent="0.2"/>
    <row r="239" ht="14.1" customHeight="1" x14ac:dyDescent="0.2"/>
    <row r="240" ht="14.1" customHeight="1" x14ac:dyDescent="0.2"/>
    <row r="241" ht="14.1" customHeight="1" x14ac:dyDescent="0.2"/>
    <row r="242" ht="14.1" customHeight="1" x14ac:dyDescent="0.2"/>
    <row r="243" ht="14.1" customHeight="1" x14ac:dyDescent="0.2"/>
    <row r="244" ht="14.1" customHeight="1" x14ac:dyDescent="0.2"/>
    <row r="245" ht="14.1" customHeight="1" x14ac:dyDescent="0.2"/>
    <row r="246" ht="14.1" customHeight="1" x14ac:dyDescent="0.2"/>
    <row r="247" ht="14.1" customHeight="1" x14ac:dyDescent="0.2"/>
    <row r="248" ht="14.1" customHeight="1" x14ac:dyDescent="0.2"/>
    <row r="249" ht="14.1" customHeight="1" x14ac:dyDescent="0.2"/>
    <row r="250" ht="14.1" customHeight="1" x14ac:dyDescent="0.2"/>
    <row r="251" ht="14.1" customHeight="1" x14ac:dyDescent="0.2"/>
    <row r="252" ht="14.1" customHeight="1" x14ac:dyDescent="0.2"/>
    <row r="253" ht="14.1" customHeight="1" x14ac:dyDescent="0.2"/>
    <row r="254" ht="14.1" customHeight="1" x14ac:dyDescent="0.2"/>
    <row r="255" ht="14.1" customHeight="1" x14ac:dyDescent="0.2"/>
    <row r="256" ht="14.1" customHeight="1" x14ac:dyDescent="0.2"/>
    <row r="257" ht="14.1" customHeight="1" x14ac:dyDescent="0.2"/>
    <row r="258" ht="14.1" customHeight="1" x14ac:dyDescent="0.2"/>
    <row r="259" ht="14.1" customHeight="1" x14ac:dyDescent="0.2"/>
    <row r="260" ht="14.1" customHeight="1" x14ac:dyDescent="0.2"/>
    <row r="261" ht="14.1" customHeight="1" x14ac:dyDescent="0.2"/>
    <row r="262" ht="14.1" customHeight="1" x14ac:dyDescent="0.2"/>
    <row r="263" ht="14.1" customHeight="1" x14ac:dyDescent="0.2"/>
    <row r="264" ht="14.1" customHeight="1" x14ac:dyDescent="0.2"/>
    <row r="265" ht="14.1" customHeight="1" x14ac:dyDescent="0.2"/>
    <row r="266" ht="14.1" customHeight="1" x14ac:dyDescent="0.2"/>
    <row r="267" ht="14.1" customHeight="1" x14ac:dyDescent="0.2"/>
    <row r="268" ht="14.1" customHeight="1" x14ac:dyDescent="0.2"/>
    <row r="269" ht="14.1" customHeight="1" x14ac:dyDescent="0.2"/>
    <row r="270" ht="14.1" customHeight="1" x14ac:dyDescent="0.2"/>
    <row r="271" ht="14.1" customHeight="1" x14ac:dyDescent="0.2"/>
    <row r="272" ht="14.1" customHeight="1" x14ac:dyDescent="0.2"/>
    <row r="273" ht="14.1" customHeight="1" x14ac:dyDescent="0.2"/>
    <row r="274" ht="14.1" customHeight="1" x14ac:dyDescent="0.2"/>
    <row r="275" ht="14.1" customHeight="1" x14ac:dyDescent="0.2"/>
    <row r="276" ht="14.1" customHeight="1" x14ac:dyDescent="0.2"/>
    <row r="277" ht="14.1" customHeight="1" x14ac:dyDescent="0.2"/>
    <row r="278" ht="14.1" customHeight="1" x14ac:dyDescent="0.2"/>
    <row r="279" ht="14.1" customHeight="1" x14ac:dyDescent="0.2"/>
    <row r="280" ht="14.1" customHeight="1" x14ac:dyDescent="0.2"/>
    <row r="281" ht="14.1" customHeight="1" x14ac:dyDescent="0.2"/>
    <row r="282" ht="14.1" customHeight="1" x14ac:dyDescent="0.2"/>
    <row r="283" ht="14.1" customHeight="1" x14ac:dyDescent="0.2"/>
    <row r="284" ht="14.1" customHeight="1" x14ac:dyDescent="0.2"/>
    <row r="285" ht="14.1" customHeight="1" x14ac:dyDescent="0.2"/>
    <row r="286" ht="14.1" customHeight="1" x14ac:dyDescent="0.2"/>
  </sheetData>
  <sheetProtection selectLockedCells="1" selectUnlockedCells="1"/>
  <mergeCells count="1">
    <mergeCell ref="D92:E92"/>
  </mergeCells>
  <conditionalFormatting sqref="H141:Q141">
    <cfRule type="cellIs" dxfId="693" priority="1" stopIfTrue="1" operator="greaterThan">
      <formula>$E$141</formula>
    </cfRule>
    <cfRule type="cellIs" dxfId="692" priority="2" stopIfTrue="1" operator="lessThanOrEqual">
      <formula>$E$141</formula>
    </cfRule>
  </conditionalFormatting>
  <conditionalFormatting sqref="H143:Q143">
    <cfRule type="cellIs" dxfId="691" priority="3" stopIfTrue="1" operator="lessThanOrEqual">
      <formula>$E$143</formula>
    </cfRule>
    <cfRule type="cellIs" dxfId="690" priority="4" stopIfTrue="1" operator="greaterThan">
      <formula>$E$143</formula>
    </cfRule>
  </conditionalFormatting>
  <conditionalFormatting sqref="H121:Q121">
    <cfRule type="cellIs" dxfId="689" priority="5" stopIfTrue="1" operator="greaterThan">
      <formula>$E$121</formula>
    </cfRule>
    <cfRule type="cellIs" dxfId="688" priority="6" stopIfTrue="1" operator="lessThanOrEqual">
      <formula>$E$121</formula>
    </cfRule>
  </conditionalFormatting>
  <conditionalFormatting sqref="H124:Q124">
    <cfRule type="cellIs" dxfId="687" priority="7" stopIfTrue="1" operator="greaterThanOrEqual">
      <formula>$E$124</formula>
    </cfRule>
    <cfRule type="cellIs" dxfId="686" priority="8" stopIfTrue="1" operator="lessThan">
      <formula>$E$124</formula>
    </cfRule>
  </conditionalFormatting>
  <conditionalFormatting sqref="H126:Q126">
    <cfRule type="cellIs" dxfId="685" priority="9" stopIfTrue="1" operator="lessThan">
      <formula>$E$126</formula>
    </cfRule>
    <cfRule type="cellIs" dxfId="684" priority="10" stopIfTrue="1" operator="greaterThanOrEqual">
      <formula>$E$126</formula>
    </cfRule>
  </conditionalFormatting>
  <conditionalFormatting sqref="H125:Q125">
    <cfRule type="cellIs" dxfId="683" priority="11" stopIfTrue="1" operator="greaterThan">
      <formula>$E$125</formula>
    </cfRule>
    <cfRule type="cellIs" dxfId="682" priority="12" stopIfTrue="1" operator="lessThanOrEqual">
      <formula>$E$125</formula>
    </cfRule>
  </conditionalFormatting>
  <conditionalFormatting sqref="H122:Q122">
    <cfRule type="cellIs" dxfId="681" priority="13" stopIfTrue="1" operator="between">
      <formula>$D$122</formula>
      <formula>$E$122</formula>
    </cfRule>
    <cfRule type="cellIs" dxfId="680" priority="14" stopIfTrue="1" operator="lessThanOrEqual">
      <formula>$D$122</formula>
    </cfRule>
    <cfRule type="cellIs" dxfId="679" priority="15" stopIfTrue="1" operator="greaterThan">
      <formula>$E$122</formula>
    </cfRule>
  </conditionalFormatting>
  <conditionalFormatting sqref="H142:Q142">
    <cfRule type="cellIs" dxfId="678" priority="16" stopIfTrue="1" operator="greaterThan">
      <formula>$E$142</formula>
    </cfRule>
    <cfRule type="cellIs" dxfId="677" priority="17" stopIfTrue="1" operator="lessThanOrEqual">
      <formula>$E$142</formula>
    </cfRule>
  </conditionalFormatting>
  <conditionalFormatting sqref="H130:Q130">
    <cfRule type="cellIs" dxfId="676" priority="18" stopIfTrue="1" operator="greaterThan">
      <formula>$E$130</formula>
    </cfRule>
    <cfRule type="cellIs" dxfId="675" priority="19" stopIfTrue="1" operator="lessThanOrEqual">
      <formula>$E$130</formula>
    </cfRule>
  </conditionalFormatting>
  <conditionalFormatting sqref="H131:Q131">
    <cfRule type="cellIs" dxfId="674" priority="20" stopIfTrue="1" operator="lessThan">
      <formula>$E$131</formula>
    </cfRule>
    <cfRule type="cellIs" dxfId="673" priority="21" stopIfTrue="1" operator="greaterThanOrEqual">
      <formula>$E$131</formula>
    </cfRule>
  </conditionalFormatting>
  <conditionalFormatting sqref="H114:Q114">
    <cfRule type="cellIs" dxfId="672" priority="22" stopIfTrue="1" operator="lessThan">
      <formula>$D$114</formula>
    </cfRule>
    <cfRule type="cellIs" dxfId="671" priority="23" stopIfTrue="1" operator="between">
      <formula>$D$114</formula>
      <formula>$E$114</formula>
    </cfRule>
    <cfRule type="cellIs" dxfId="670" priority="24" stopIfTrue="1" operator="greaterThan">
      <formula>$E$114</formula>
    </cfRule>
  </conditionalFormatting>
  <conditionalFormatting sqref="H138:Q138">
    <cfRule type="cellIs" dxfId="669" priority="25" stopIfTrue="1" operator="lessThan">
      <formula>$E$138</formula>
    </cfRule>
    <cfRule type="cellIs" dxfId="668" priority="26" stopIfTrue="1" operator="between">
      <formula>$D$138</formula>
      <formula>$E$138</formula>
    </cfRule>
    <cfRule type="cellIs" dxfId="667" priority="27" stopIfTrue="1" operator="greaterThanOrEqual">
      <formula>$D$138</formula>
    </cfRule>
  </conditionalFormatting>
  <conditionalFormatting sqref="H111:Q111">
    <cfRule type="cellIs" dxfId="666" priority="28" stopIfTrue="1" operator="lessThan">
      <formula>$E$111</formula>
    </cfRule>
    <cfRule type="cellIs" dxfId="665" priority="29" stopIfTrue="1" operator="greaterThan">
      <formula>$E$111</formula>
    </cfRule>
  </conditionalFormatting>
  <conditionalFormatting sqref="R141:S141">
    <cfRule type="cellIs" dxfId="664" priority="30" stopIfTrue="1" operator="greaterThan">
      <formula>$E$141</formula>
    </cfRule>
    <cfRule type="cellIs" dxfId="663" priority="31" stopIfTrue="1" operator="lessThanOrEqual">
      <formula>$E$141</formula>
    </cfRule>
  </conditionalFormatting>
  <conditionalFormatting sqref="R143:S143">
    <cfRule type="cellIs" dxfId="662" priority="32" stopIfTrue="1" operator="lessThanOrEqual">
      <formula>$E$143</formula>
    </cfRule>
    <cfRule type="cellIs" dxfId="661" priority="33" stopIfTrue="1" operator="greaterThan">
      <formula>$E$143</formula>
    </cfRule>
  </conditionalFormatting>
  <conditionalFormatting sqref="R121:S121">
    <cfRule type="cellIs" dxfId="660" priority="34" stopIfTrue="1" operator="greaterThan">
      <formula>$E$121</formula>
    </cfRule>
    <cfRule type="cellIs" dxfId="659" priority="35" stopIfTrue="1" operator="lessThanOrEqual">
      <formula>$E$121</formula>
    </cfRule>
  </conditionalFormatting>
  <conditionalFormatting sqref="R124:S124">
    <cfRule type="cellIs" dxfId="658" priority="36" stopIfTrue="1" operator="greaterThanOrEqual">
      <formula>$E$124</formula>
    </cfRule>
    <cfRule type="cellIs" dxfId="657" priority="37" stopIfTrue="1" operator="lessThan">
      <formula>$E$124</formula>
    </cfRule>
  </conditionalFormatting>
  <conditionalFormatting sqref="R126:S126">
    <cfRule type="cellIs" dxfId="656" priority="38" stopIfTrue="1" operator="lessThan">
      <formula>$E$126</formula>
    </cfRule>
    <cfRule type="cellIs" dxfId="655" priority="39" stopIfTrue="1" operator="greaterThanOrEqual">
      <formula>$E$126</formula>
    </cfRule>
  </conditionalFormatting>
  <conditionalFormatting sqref="R125:S125">
    <cfRule type="cellIs" dxfId="654" priority="40" stopIfTrue="1" operator="greaterThan">
      <formula>$E$125</formula>
    </cfRule>
    <cfRule type="cellIs" dxfId="653" priority="41" stopIfTrue="1" operator="lessThanOrEqual">
      <formula>$E$125</formula>
    </cfRule>
  </conditionalFormatting>
  <conditionalFormatting sqref="R122:S122">
    <cfRule type="cellIs" dxfId="652" priority="42" stopIfTrue="1" operator="between">
      <formula>$D$122</formula>
      <formula>$E$122</formula>
    </cfRule>
    <cfRule type="cellIs" dxfId="651" priority="43" stopIfTrue="1" operator="lessThanOrEqual">
      <formula>$D$122</formula>
    </cfRule>
    <cfRule type="cellIs" dxfId="650" priority="44" stopIfTrue="1" operator="greaterThan">
      <formula>$E$122</formula>
    </cfRule>
  </conditionalFormatting>
  <conditionalFormatting sqref="R142:S142">
    <cfRule type="cellIs" dxfId="649" priority="45" stopIfTrue="1" operator="greaterThan">
      <formula>$E$142</formula>
    </cfRule>
    <cfRule type="cellIs" dxfId="648" priority="46" stopIfTrue="1" operator="lessThanOrEqual">
      <formula>$E$142</formula>
    </cfRule>
  </conditionalFormatting>
  <conditionalFormatting sqref="R130:S130">
    <cfRule type="cellIs" dxfId="647" priority="47" stopIfTrue="1" operator="greaterThan">
      <formula>$E$130</formula>
    </cfRule>
    <cfRule type="cellIs" dxfId="646" priority="48" stopIfTrue="1" operator="lessThanOrEqual">
      <formula>$E$130</formula>
    </cfRule>
  </conditionalFormatting>
  <conditionalFormatting sqref="R131:S131">
    <cfRule type="cellIs" dxfId="645" priority="49" stopIfTrue="1" operator="lessThan">
      <formula>$E$131</formula>
    </cfRule>
    <cfRule type="cellIs" dxfId="644" priority="50" stopIfTrue="1" operator="greaterThanOrEqual">
      <formula>$E$131</formula>
    </cfRule>
  </conditionalFormatting>
  <conditionalFormatting sqref="R114:S114">
    <cfRule type="cellIs" dxfId="643" priority="51" stopIfTrue="1" operator="lessThan">
      <formula>$D$114</formula>
    </cfRule>
    <cfRule type="cellIs" dxfId="642" priority="52" stopIfTrue="1" operator="between">
      <formula>$D$114</formula>
      <formula>$E$114</formula>
    </cfRule>
    <cfRule type="cellIs" dxfId="641" priority="53" stopIfTrue="1" operator="greaterThan">
      <formula>$E$114</formula>
    </cfRule>
  </conditionalFormatting>
  <conditionalFormatting sqref="R138:S138">
    <cfRule type="cellIs" dxfId="640" priority="54" stopIfTrue="1" operator="lessThan">
      <formula>$E$138</formula>
    </cfRule>
    <cfRule type="cellIs" dxfId="639" priority="55" stopIfTrue="1" operator="between">
      <formula>$D$138</formula>
      <formula>$E$138</formula>
    </cfRule>
    <cfRule type="cellIs" dxfId="638" priority="56" stopIfTrue="1" operator="greaterThanOrEqual">
      <formula>$D$138</formula>
    </cfRule>
  </conditionalFormatting>
  <conditionalFormatting sqref="R111:S111">
    <cfRule type="cellIs" dxfId="637" priority="57" stopIfTrue="1" operator="lessThan">
      <formula>$E$111</formula>
    </cfRule>
    <cfRule type="cellIs" dxfId="636" priority="58" stopIfTrue="1" operator="greaterThan">
      <formula>$E$111</formula>
    </cfRule>
  </conditionalFormatting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1CD565-1B01-4462-987E-049B36FA9DE4}">
  <dimension ref="A1:T150"/>
  <sheetViews>
    <sheetView workbookViewId="0">
      <selection activeCell="H2" sqref="H2"/>
    </sheetView>
  </sheetViews>
  <sheetFormatPr defaultRowHeight="11.25" x14ac:dyDescent="0.2"/>
  <cols>
    <col min="1" max="1" width="5.7109375" style="8" bestFit="1" customWidth="1"/>
    <col min="2" max="2" width="5" style="2" bestFit="1" customWidth="1"/>
    <col min="3" max="3" width="21" style="10" bestFit="1" customWidth="1"/>
    <col min="4" max="4" width="7.28515625" style="10" customWidth="1"/>
    <col min="5" max="5" width="5.140625" style="9" bestFit="1" customWidth="1"/>
    <col min="6" max="6" width="2.140625" style="8" customWidth="1"/>
    <col min="7" max="7" width="21.5703125" style="28" customWidth="1"/>
    <col min="8" max="13" width="8.7109375" style="4" customWidth="1"/>
    <col min="14" max="19" width="8.7109375" style="4" bestFit="1" customWidth="1"/>
    <col min="20" max="256" width="9.140625" style="4"/>
    <col min="257" max="257" width="5.7109375" style="4" bestFit="1" customWidth="1"/>
    <col min="258" max="258" width="5" style="4" bestFit="1" customWidth="1"/>
    <col min="259" max="259" width="21" style="4" bestFit="1" customWidth="1"/>
    <col min="260" max="260" width="7.28515625" style="4" customWidth="1"/>
    <col min="261" max="261" width="5.140625" style="4" bestFit="1" customWidth="1"/>
    <col min="262" max="262" width="2.140625" style="4" customWidth="1"/>
    <col min="263" max="263" width="21.5703125" style="4" customWidth="1"/>
    <col min="264" max="269" width="8.7109375" style="4" customWidth="1"/>
    <col min="270" max="275" width="8.7109375" style="4" bestFit="1" customWidth="1"/>
    <col min="276" max="512" width="9.140625" style="4"/>
    <col min="513" max="513" width="5.7109375" style="4" bestFit="1" customWidth="1"/>
    <col min="514" max="514" width="5" style="4" bestFit="1" customWidth="1"/>
    <col min="515" max="515" width="21" style="4" bestFit="1" customWidth="1"/>
    <col min="516" max="516" width="7.28515625" style="4" customWidth="1"/>
    <col min="517" max="517" width="5.140625" style="4" bestFit="1" customWidth="1"/>
    <col min="518" max="518" width="2.140625" style="4" customWidth="1"/>
    <col min="519" max="519" width="21.5703125" style="4" customWidth="1"/>
    <col min="520" max="525" width="8.7109375" style="4" customWidth="1"/>
    <col min="526" max="531" width="8.7109375" style="4" bestFit="1" customWidth="1"/>
    <col min="532" max="768" width="9.140625" style="4"/>
    <col min="769" max="769" width="5.7109375" style="4" bestFit="1" customWidth="1"/>
    <col min="770" max="770" width="5" style="4" bestFit="1" customWidth="1"/>
    <col min="771" max="771" width="21" style="4" bestFit="1" customWidth="1"/>
    <col min="772" max="772" width="7.28515625" style="4" customWidth="1"/>
    <col min="773" max="773" width="5.140625" style="4" bestFit="1" customWidth="1"/>
    <col min="774" max="774" width="2.140625" style="4" customWidth="1"/>
    <col min="775" max="775" width="21.5703125" style="4" customWidth="1"/>
    <col min="776" max="781" width="8.7109375" style="4" customWidth="1"/>
    <col min="782" max="787" width="8.7109375" style="4" bestFit="1" customWidth="1"/>
    <col min="788" max="1024" width="9.140625" style="4"/>
    <col min="1025" max="1025" width="5.7109375" style="4" bestFit="1" customWidth="1"/>
    <col min="1026" max="1026" width="5" style="4" bestFit="1" customWidth="1"/>
    <col min="1027" max="1027" width="21" style="4" bestFit="1" customWidth="1"/>
    <col min="1028" max="1028" width="7.28515625" style="4" customWidth="1"/>
    <col min="1029" max="1029" width="5.140625" style="4" bestFit="1" customWidth="1"/>
    <col min="1030" max="1030" width="2.140625" style="4" customWidth="1"/>
    <col min="1031" max="1031" width="21.5703125" style="4" customWidth="1"/>
    <col min="1032" max="1037" width="8.7109375" style="4" customWidth="1"/>
    <col min="1038" max="1043" width="8.7109375" style="4" bestFit="1" customWidth="1"/>
    <col min="1044" max="1280" width="9.140625" style="4"/>
    <col min="1281" max="1281" width="5.7109375" style="4" bestFit="1" customWidth="1"/>
    <col min="1282" max="1282" width="5" style="4" bestFit="1" customWidth="1"/>
    <col min="1283" max="1283" width="21" style="4" bestFit="1" customWidth="1"/>
    <col min="1284" max="1284" width="7.28515625" style="4" customWidth="1"/>
    <col min="1285" max="1285" width="5.140625" style="4" bestFit="1" customWidth="1"/>
    <col min="1286" max="1286" width="2.140625" style="4" customWidth="1"/>
    <col min="1287" max="1287" width="21.5703125" style="4" customWidth="1"/>
    <col min="1288" max="1293" width="8.7109375" style="4" customWidth="1"/>
    <col min="1294" max="1299" width="8.7109375" style="4" bestFit="1" customWidth="1"/>
    <col min="1300" max="1536" width="9.140625" style="4"/>
    <col min="1537" max="1537" width="5.7109375" style="4" bestFit="1" customWidth="1"/>
    <col min="1538" max="1538" width="5" style="4" bestFit="1" customWidth="1"/>
    <col min="1539" max="1539" width="21" style="4" bestFit="1" customWidth="1"/>
    <col min="1540" max="1540" width="7.28515625" style="4" customWidth="1"/>
    <col min="1541" max="1541" width="5.140625" style="4" bestFit="1" customWidth="1"/>
    <col min="1542" max="1542" width="2.140625" style="4" customWidth="1"/>
    <col min="1543" max="1543" width="21.5703125" style="4" customWidth="1"/>
    <col min="1544" max="1549" width="8.7109375" style="4" customWidth="1"/>
    <col min="1550" max="1555" width="8.7109375" style="4" bestFit="1" customWidth="1"/>
    <col min="1556" max="1792" width="9.140625" style="4"/>
    <col min="1793" max="1793" width="5.7109375" style="4" bestFit="1" customWidth="1"/>
    <col min="1794" max="1794" width="5" style="4" bestFit="1" customWidth="1"/>
    <col min="1795" max="1795" width="21" style="4" bestFit="1" customWidth="1"/>
    <col min="1796" max="1796" width="7.28515625" style="4" customWidth="1"/>
    <col min="1797" max="1797" width="5.140625" style="4" bestFit="1" customWidth="1"/>
    <col min="1798" max="1798" width="2.140625" style="4" customWidth="1"/>
    <col min="1799" max="1799" width="21.5703125" style="4" customWidth="1"/>
    <col min="1800" max="1805" width="8.7109375" style="4" customWidth="1"/>
    <col min="1806" max="1811" width="8.7109375" style="4" bestFit="1" customWidth="1"/>
    <col min="1812" max="2048" width="9.140625" style="4"/>
    <col min="2049" max="2049" width="5.7109375" style="4" bestFit="1" customWidth="1"/>
    <col min="2050" max="2050" width="5" style="4" bestFit="1" customWidth="1"/>
    <col min="2051" max="2051" width="21" style="4" bestFit="1" customWidth="1"/>
    <col min="2052" max="2052" width="7.28515625" style="4" customWidth="1"/>
    <col min="2053" max="2053" width="5.140625" style="4" bestFit="1" customWidth="1"/>
    <col min="2054" max="2054" width="2.140625" style="4" customWidth="1"/>
    <col min="2055" max="2055" width="21.5703125" style="4" customWidth="1"/>
    <col min="2056" max="2061" width="8.7109375" style="4" customWidth="1"/>
    <col min="2062" max="2067" width="8.7109375" style="4" bestFit="1" customWidth="1"/>
    <col min="2068" max="2304" width="9.140625" style="4"/>
    <col min="2305" max="2305" width="5.7109375" style="4" bestFit="1" customWidth="1"/>
    <col min="2306" max="2306" width="5" style="4" bestFit="1" customWidth="1"/>
    <col min="2307" max="2307" width="21" style="4" bestFit="1" customWidth="1"/>
    <col min="2308" max="2308" width="7.28515625" style="4" customWidth="1"/>
    <col min="2309" max="2309" width="5.140625" style="4" bestFit="1" customWidth="1"/>
    <col min="2310" max="2310" width="2.140625" style="4" customWidth="1"/>
    <col min="2311" max="2311" width="21.5703125" style="4" customWidth="1"/>
    <col min="2312" max="2317" width="8.7109375" style="4" customWidth="1"/>
    <col min="2318" max="2323" width="8.7109375" style="4" bestFit="1" customWidth="1"/>
    <col min="2324" max="2560" width="9.140625" style="4"/>
    <col min="2561" max="2561" width="5.7109375" style="4" bestFit="1" customWidth="1"/>
    <col min="2562" max="2562" width="5" style="4" bestFit="1" customWidth="1"/>
    <col min="2563" max="2563" width="21" style="4" bestFit="1" customWidth="1"/>
    <col min="2564" max="2564" width="7.28515625" style="4" customWidth="1"/>
    <col min="2565" max="2565" width="5.140625" style="4" bestFit="1" customWidth="1"/>
    <col min="2566" max="2566" width="2.140625" style="4" customWidth="1"/>
    <col min="2567" max="2567" width="21.5703125" style="4" customWidth="1"/>
    <col min="2568" max="2573" width="8.7109375" style="4" customWidth="1"/>
    <col min="2574" max="2579" width="8.7109375" style="4" bestFit="1" customWidth="1"/>
    <col min="2580" max="2816" width="9.140625" style="4"/>
    <col min="2817" max="2817" width="5.7109375" style="4" bestFit="1" customWidth="1"/>
    <col min="2818" max="2818" width="5" style="4" bestFit="1" customWidth="1"/>
    <col min="2819" max="2819" width="21" style="4" bestFit="1" customWidth="1"/>
    <col min="2820" max="2820" width="7.28515625" style="4" customWidth="1"/>
    <col min="2821" max="2821" width="5.140625" style="4" bestFit="1" customWidth="1"/>
    <col min="2822" max="2822" width="2.140625" style="4" customWidth="1"/>
    <col min="2823" max="2823" width="21.5703125" style="4" customWidth="1"/>
    <col min="2824" max="2829" width="8.7109375" style="4" customWidth="1"/>
    <col min="2830" max="2835" width="8.7109375" style="4" bestFit="1" customWidth="1"/>
    <col min="2836" max="3072" width="9.140625" style="4"/>
    <col min="3073" max="3073" width="5.7109375" style="4" bestFit="1" customWidth="1"/>
    <col min="3074" max="3074" width="5" style="4" bestFit="1" customWidth="1"/>
    <col min="3075" max="3075" width="21" style="4" bestFit="1" customWidth="1"/>
    <col min="3076" max="3076" width="7.28515625" style="4" customWidth="1"/>
    <col min="3077" max="3077" width="5.140625" style="4" bestFit="1" customWidth="1"/>
    <col min="3078" max="3078" width="2.140625" style="4" customWidth="1"/>
    <col min="3079" max="3079" width="21.5703125" style="4" customWidth="1"/>
    <col min="3080" max="3085" width="8.7109375" style="4" customWidth="1"/>
    <col min="3086" max="3091" width="8.7109375" style="4" bestFit="1" customWidth="1"/>
    <col min="3092" max="3328" width="9.140625" style="4"/>
    <col min="3329" max="3329" width="5.7109375" style="4" bestFit="1" customWidth="1"/>
    <col min="3330" max="3330" width="5" style="4" bestFit="1" customWidth="1"/>
    <col min="3331" max="3331" width="21" style="4" bestFit="1" customWidth="1"/>
    <col min="3332" max="3332" width="7.28515625" style="4" customWidth="1"/>
    <col min="3333" max="3333" width="5.140625" style="4" bestFit="1" customWidth="1"/>
    <col min="3334" max="3334" width="2.140625" style="4" customWidth="1"/>
    <col min="3335" max="3335" width="21.5703125" style="4" customWidth="1"/>
    <col min="3336" max="3341" width="8.7109375" style="4" customWidth="1"/>
    <col min="3342" max="3347" width="8.7109375" style="4" bestFit="1" customWidth="1"/>
    <col min="3348" max="3584" width="9.140625" style="4"/>
    <col min="3585" max="3585" width="5.7109375" style="4" bestFit="1" customWidth="1"/>
    <col min="3586" max="3586" width="5" style="4" bestFit="1" customWidth="1"/>
    <col min="3587" max="3587" width="21" style="4" bestFit="1" customWidth="1"/>
    <col min="3588" max="3588" width="7.28515625" style="4" customWidth="1"/>
    <col min="3589" max="3589" width="5.140625" style="4" bestFit="1" customWidth="1"/>
    <col min="3590" max="3590" width="2.140625" style="4" customWidth="1"/>
    <col min="3591" max="3591" width="21.5703125" style="4" customWidth="1"/>
    <col min="3592" max="3597" width="8.7109375" style="4" customWidth="1"/>
    <col min="3598" max="3603" width="8.7109375" style="4" bestFit="1" customWidth="1"/>
    <col min="3604" max="3840" width="9.140625" style="4"/>
    <col min="3841" max="3841" width="5.7109375" style="4" bestFit="1" customWidth="1"/>
    <col min="3842" max="3842" width="5" style="4" bestFit="1" customWidth="1"/>
    <col min="3843" max="3843" width="21" style="4" bestFit="1" customWidth="1"/>
    <col min="3844" max="3844" width="7.28515625" style="4" customWidth="1"/>
    <col min="3845" max="3845" width="5.140625" style="4" bestFit="1" customWidth="1"/>
    <col min="3846" max="3846" width="2.140625" style="4" customWidth="1"/>
    <col min="3847" max="3847" width="21.5703125" style="4" customWidth="1"/>
    <col min="3848" max="3853" width="8.7109375" style="4" customWidth="1"/>
    <col min="3854" max="3859" width="8.7109375" style="4" bestFit="1" customWidth="1"/>
    <col min="3860" max="4096" width="9.140625" style="4"/>
    <col min="4097" max="4097" width="5.7109375" style="4" bestFit="1" customWidth="1"/>
    <col min="4098" max="4098" width="5" style="4" bestFit="1" customWidth="1"/>
    <col min="4099" max="4099" width="21" style="4" bestFit="1" customWidth="1"/>
    <col min="4100" max="4100" width="7.28515625" style="4" customWidth="1"/>
    <col min="4101" max="4101" width="5.140625" style="4" bestFit="1" customWidth="1"/>
    <col min="4102" max="4102" width="2.140625" style="4" customWidth="1"/>
    <col min="4103" max="4103" width="21.5703125" style="4" customWidth="1"/>
    <col min="4104" max="4109" width="8.7109375" style="4" customWidth="1"/>
    <col min="4110" max="4115" width="8.7109375" style="4" bestFit="1" customWidth="1"/>
    <col min="4116" max="4352" width="9.140625" style="4"/>
    <col min="4353" max="4353" width="5.7109375" style="4" bestFit="1" customWidth="1"/>
    <col min="4354" max="4354" width="5" style="4" bestFit="1" customWidth="1"/>
    <col min="4355" max="4355" width="21" style="4" bestFit="1" customWidth="1"/>
    <col min="4356" max="4356" width="7.28515625" style="4" customWidth="1"/>
    <col min="4357" max="4357" width="5.140625" style="4" bestFit="1" customWidth="1"/>
    <col min="4358" max="4358" width="2.140625" style="4" customWidth="1"/>
    <col min="4359" max="4359" width="21.5703125" style="4" customWidth="1"/>
    <col min="4360" max="4365" width="8.7109375" style="4" customWidth="1"/>
    <col min="4366" max="4371" width="8.7109375" style="4" bestFit="1" customWidth="1"/>
    <col min="4372" max="4608" width="9.140625" style="4"/>
    <col min="4609" max="4609" width="5.7109375" style="4" bestFit="1" customWidth="1"/>
    <col min="4610" max="4610" width="5" style="4" bestFit="1" customWidth="1"/>
    <col min="4611" max="4611" width="21" style="4" bestFit="1" customWidth="1"/>
    <col min="4612" max="4612" width="7.28515625" style="4" customWidth="1"/>
    <col min="4613" max="4613" width="5.140625" style="4" bestFit="1" customWidth="1"/>
    <col min="4614" max="4614" width="2.140625" style="4" customWidth="1"/>
    <col min="4615" max="4615" width="21.5703125" style="4" customWidth="1"/>
    <col min="4616" max="4621" width="8.7109375" style="4" customWidth="1"/>
    <col min="4622" max="4627" width="8.7109375" style="4" bestFit="1" customWidth="1"/>
    <col min="4628" max="4864" width="9.140625" style="4"/>
    <col min="4865" max="4865" width="5.7109375" style="4" bestFit="1" customWidth="1"/>
    <col min="4866" max="4866" width="5" style="4" bestFit="1" customWidth="1"/>
    <col min="4867" max="4867" width="21" style="4" bestFit="1" customWidth="1"/>
    <col min="4868" max="4868" width="7.28515625" style="4" customWidth="1"/>
    <col min="4869" max="4869" width="5.140625" style="4" bestFit="1" customWidth="1"/>
    <col min="4870" max="4870" width="2.140625" style="4" customWidth="1"/>
    <col min="4871" max="4871" width="21.5703125" style="4" customWidth="1"/>
    <col min="4872" max="4877" width="8.7109375" style="4" customWidth="1"/>
    <col min="4878" max="4883" width="8.7109375" style="4" bestFit="1" customWidth="1"/>
    <col min="4884" max="5120" width="9.140625" style="4"/>
    <col min="5121" max="5121" width="5.7109375" style="4" bestFit="1" customWidth="1"/>
    <col min="5122" max="5122" width="5" style="4" bestFit="1" customWidth="1"/>
    <col min="5123" max="5123" width="21" style="4" bestFit="1" customWidth="1"/>
    <col min="5124" max="5124" width="7.28515625" style="4" customWidth="1"/>
    <col min="5125" max="5125" width="5.140625" style="4" bestFit="1" customWidth="1"/>
    <col min="5126" max="5126" width="2.140625" style="4" customWidth="1"/>
    <col min="5127" max="5127" width="21.5703125" style="4" customWidth="1"/>
    <col min="5128" max="5133" width="8.7109375" style="4" customWidth="1"/>
    <col min="5134" max="5139" width="8.7109375" style="4" bestFit="1" customWidth="1"/>
    <col min="5140" max="5376" width="9.140625" style="4"/>
    <col min="5377" max="5377" width="5.7109375" style="4" bestFit="1" customWidth="1"/>
    <col min="5378" max="5378" width="5" style="4" bestFit="1" customWidth="1"/>
    <col min="5379" max="5379" width="21" style="4" bestFit="1" customWidth="1"/>
    <col min="5380" max="5380" width="7.28515625" style="4" customWidth="1"/>
    <col min="5381" max="5381" width="5.140625" style="4" bestFit="1" customWidth="1"/>
    <col min="5382" max="5382" width="2.140625" style="4" customWidth="1"/>
    <col min="5383" max="5383" width="21.5703125" style="4" customWidth="1"/>
    <col min="5384" max="5389" width="8.7109375" style="4" customWidth="1"/>
    <col min="5390" max="5395" width="8.7109375" style="4" bestFit="1" customWidth="1"/>
    <col min="5396" max="5632" width="9.140625" style="4"/>
    <col min="5633" max="5633" width="5.7109375" style="4" bestFit="1" customWidth="1"/>
    <col min="5634" max="5634" width="5" style="4" bestFit="1" customWidth="1"/>
    <col min="5635" max="5635" width="21" style="4" bestFit="1" customWidth="1"/>
    <col min="5636" max="5636" width="7.28515625" style="4" customWidth="1"/>
    <col min="5637" max="5637" width="5.140625" style="4" bestFit="1" customWidth="1"/>
    <col min="5638" max="5638" width="2.140625" style="4" customWidth="1"/>
    <col min="5639" max="5639" width="21.5703125" style="4" customWidth="1"/>
    <col min="5640" max="5645" width="8.7109375" style="4" customWidth="1"/>
    <col min="5646" max="5651" width="8.7109375" style="4" bestFit="1" customWidth="1"/>
    <col min="5652" max="5888" width="9.140625" style="4"/>
    <col min="5889" max="5889" width="5.7109375" style="4" bestFit="1" customWidth="1"/>
    <col min="5890" max="5890" width="5" style="4" bestFit="1" customWidth="1"/>
    <col min="5891" max="5891" width="21" style="4" bestFit="1" customWidth="1"/>
    <col min="5892" max="5892" width="7.28515625" style="4" customWidth="1"/>
    <col min="5893" max="5893" width="5.140625" style="4" bestFit="1" customWidth="1"/>
    <col min="5894" max="5894" width="2.140625" style="4" customWidth="1"/>
    <col min="5895" max="5895" width="21.5703125" style="4" customWidth="1"/>
    <col min="5896" max="5901" width="8.7109375" style="4" customWidth="1"/>
    <col min="5902" max="5907" width="8.7109375" style="4" bestFit="1" customWidth="1"/>
    <col min="5908" max="6144" width="9.140625" style="4"/>
    <col min="6145" max="6145" width="5.7109375" style="4" bestFit="1" customWidth="1"/>
    <col min="6146" max="6146" width="5" style="4" bestFit="1" customWidth="1"/>
    <col min="6147" max="6147" width="21" style="4" bestFit="1" customWidth="1"/>
    <col min="6148" max="6148" width="7.28515625" style="4" customWidth="1"/>
    <col min="6149" max="6149" width="5.140625" style="4" bestFit="1" customWidth="1"/>
    <col min="6150" max="6150" width="2.140625" style="4" customWidth="1"/>
    <col min="6151" max="6151" width="21.5703125" style="4" customWidth="1"/>
    <col min="6152" max="6157" width="8.7109375" style="4" customWidth="1"/>
    <col min="6158" max="6163" width="8.7109375" style="4" bestFit="1" customWidth="1"/>
    <col min="6164" max="6400" width="9.140625" style="4"/>
    <col min="6401" max="6401" width="5.7109375" style="4" bestFit="1" customWidth="1"/>
    <col min="6402" max="6402" width="5" style="4" bestFit="1" customWidth="1"/>
    <col min="6403" max="6403" width="21" style="4" bestFit="1" customWidth="1"/>
    <col min="6404" max="6404" width="7.28515625" style="4" customWidth="1"/>
    <col min="6405" max="6405" width="5.140625" style="4" bestFit="1" customWidth="1"/>
    <col min="6406" max="6406" width="2.140625" style="4" customWidth="1"/>
    <col min="6407" max="6407" width="21.5703125" style="4" customWidth="1"/>
    <col min="6408" max="6413" width="8.7109375" style="4" customWidth="1"/>
    <col min="6414" max="6419" width="8.7109375" style="4" bestFit="1" customWidth="1"/>
    <col min="6420" max="6656" width="9.140625" style="4"/>
    <col min="6657" max="6657" width="5.7109375" style="4" bestFit="1" customWidth="1"/>
    <col min="6658" max="6658" width="5" style="4" bestFit="1" customWidth="1"/>
    <col min="6659" max="6659" width="21" style="4" bestFit="1" customWidth="1"/>
    <col min="6660" max="6660" width="7.28515625" style="4" customWidth="1"/>
    <col min="6661" max="6661" width="5.140625" style="4" bestFit="1" customWidth="1"/>
    <col min="6662" max="6662" width="2.140625" style="4" customWidth="1"/>
    <col min="6663" max="6663" width="21.5703125" style="4" customWidth="1"/>
    <col min="6664" max="6669" width="8.7109375" style="4" customWidth="1"/>
    <col min="6670" max="6675" width="8.7109375" style="4" bestFit="1" customWidth="1"/>
    <col min="6676" max="6912" width="9.140625" style="4"/>
    <col min="6913" max="6913" width="5.7109375" style="4" bestFit="1" customWidth="1"/>
    <col min="6914" max="6914" width="5" style="4" bestFit="1" customWidth="1"/>
    <col min="6915" max="6915" width="21" style="4" bestFit="1" customWidth="1"/>
    <col min="6916" max="6916" width="7.28515625" style="4" customWidth="1"/>
    <col min="6917" max="6917" width="5.140625" style="4" bestFit="1" customWidth="1"/>
    <col min="6918" max="6918" width="2.140625" style="4" customWidth="1"/>
    <col min="6919" max="6919" width="21.5703125" style="4" customWidth="1"/>
    <col min="6920" max="6925" width="8.7109375" style="4" customWidth="1"/>
    <col min="6926" max="6931" width="8.7109375" style="4" bestFit="1" customWidth="1"/>
    <col min="6932" max="7168" width="9.140625" style="4"/>
    <col min="7169" max="7169" width="5.7109375" style="4" bestFit="1" customWidth="1"/>
    <col min="7170" max="7170" width="5" style="4" bestFit="1" customWidth="1"/>
    <col min="7171" max="7171" width="21" style="4" bestFit="1" customWidth="1"/>
    <col min="7172" max="7172" width="7.28515625" style="4" customWidth="1"/>
    <col min="7173" max="7173" width="5.140625" style="4" bestFit="1" customWidth="1"/>
    <col min="7174" max="7174" width="2.140625" style="4" customWidth="1"/>
    <col min="7175" max="7175" width="21.5703125" style="4" customWidth="1"/>
    <col min="7176" max="7181" width="8.7109375" style="4" customWidth="1"/>
    <col min="7182" max="7187" width="8.7109375" style="4" bestFit="1" customWidth="1"/>
    <col min="7188" max="7424" width="9.140625" style="4"/>
    <col min="7425" max="7425" width="5.7109375" style="4" bestFit="1" customWidth="1"/>
    <col min="7426" max="7426" width="5" style="4" bestFit="1" customWidth="1"/>
    <col min="7427" max="7427" width="21" style="4" bestFit="1" customWidth="1"/>
    <col min="7428" max="7428" width="7.28515625" style="4" customWidth="1"/>
    <col min="7429" max="7429" width="5.140625" style="4" bestFit="1" customWidth="1"/>
    <col min="7430" max="7430" width="2.140625" style="4" customWidth="1"/>
    <col min="7431" max="7431" width="21.5703125" style="4" customWidth="1"/>
    <col min="7432" max="7437" width="8.7109375" style="4" customWidth="1"/>
    <col min="7438" max="7443" width="8.7109375" style="4" bestFit="1" customWidth="1"/>
    <col min="7444" max="7680" width="9.140625" style="4"/>
    <col min="7681" max="7681" width="5.7109375" style="4" bestFit="1" customWidth="1"/>
    <col min="7682" max="7682" width="5" style="4" bestFit="1" customWidth="1"/>
    <col min="7683" max="7683" width="21" style="4" bestFit="1" customWidth="1"/>
    <col min="7684" max="7684" width="7.28515625" style="4" customWidth="1"/>
    <col min="7685" max="7685" width="5.140625" style="4" bestFit="1" customWidth="1"/>
    <col min="7686" max="7686" width="2.140625" style="4" customWidth="1"/>
    <col min="7687" max="7687" width="21.5703125" style="4" customWidth="1"/>
    <col min="7688" max="7693" width="8.7109375" style="4" customWidth="1"/>
    <col min="7694" max="7699" width="8.7109375" style="4" bestFit="1" customWidth="1"/>
    <col min="7700" max="7936" width="9.140625" style="4"/>
    <col min="7937" max="7937" width="5.7109375" style="4" bestFit="1" customWidth="1"/>
    <col min="7938" max="7938" width="5" style="4" bestFit="1" customWidth="1"/>
    <col min="7939" max="7939" width="21" style="4" bestFit="1" customWidth="1"/>
    <col min="7940" max="7940" width="7.28515625" style="4" customWidth="1"/>
    <col min="7941" max="7941" width="5.140625" style="4" bestFit="1" customWidth="1"/>
    <col min="7942" max="7942" width="2.140625" style="4" customWidth="1"/>
    <col min="7943" max="7943" width="21.5703125" style="4" customWidth="1"/>
    <col min="7944" max="7949" width="8.7109375" style="4" customWidth="1"/>
    <col min="7950" max="7955" width="8.7109375" style="4" bestFit="1" customWidth="1"/>
    <col min="7956" max="8192" width="9.140625" style="4"/>
    <col min="8193" max="8193" width="5.7109375" style="4" bestFit="1" customWidth="1"/>
    <col min="8194" max="8194" width="5" style="4" bestFit="1" customWidth="1"/>
    <col min="8195" max="8195" width="21" style="4" bestFit="1" customWidth="1"/>
    <col min="8196" max="8196" width="7.28515625" style="4" customWidth="1"/>
    <col min="8197" max="8197" width="5.140625" style="4" bestFit="1" customWidth="1"/>
    <col min="8198" max="8198" width="2.140625" style="4" customWidth="1"/>
    <col min="8199" max="8199" width="21.5703125" style="4" customWidth="1"/>
    <col min="8200" max="8205" width="8.7109375" style="4" customWidth="1"/>
    <col min="8206" max="8211" width="8.7109375" style="4" bestFit="1" customWidth="1"/>
    <col min="8212" max="8448" width="9.140625" style="4"/>
    <col min="8449" max="8449" width="5.7109375" style="4" bestFit="1" customWidth="1"/>
    <col min="8450" max="8450" width="5" style="4" bestFit="1" customWidth="1"/>
    <col min="8451" max="8451" width="21" style="4" bestFit="1" customWidth="1"/>
    <col min="8452" max="8452" width="7.28515625" style="4" customWidth="1"/>
    <col min="8453" max="8453" width="5.140625" style="4" bestFit="1" customWidth="1"/>
    <col min="8454" max="8454" width="2.140625" style="4" customWidth="1"/>
    <col min="8455" max="8455" width="21.5703125" style="4" customWidth="1"/>
    <col min="8456" max="8461" width="8.7109375" style="4" customWidth="1"/>
    <col min="8462" max="8467" width="8.7109375" style="4" bestFit="1" customWidth="1"/>
    <col min="8468" max="8704" width="9.140625" style="4"/>
    <col min="8705" max="8705" width="5.7109375" style="4" bestFit="1" customWidth="1"/>
    <col min="8706" max="8706" width="5" style="4" bestFit="1" customWidth="1"/>
    <col min="8707" max="8707" width="21" style="4" bestFit="1" customWidth="1"/>
    <col min="8708" max="8708" width="7.28515625" style="4" customWidth="1"/>
    <col min="8709" max="8709" width="5.140625" style="4" bestFit="1" customWidth="1"/>
    <col min="8710" max="8710" width="2.140625" style="4" customWidth="1"/>
    <col min="8711" max="8711" width="21.5703125" style="4" customWidth="1"/>
    <col min="8712" max="8717" width="8.7109375" style="4" customWidth="1"/>
    <col min="8718" max="8723" width="8.7109375" style="4" bestFit="1" customWidth="1"/>
    <col min="8724" max="8960" width="9.140625" style="4"/>
    <col min="8961" max="8961" width="5.7109375" style="4" bestFit="1" customWidth="1"/>
    <col min="8962" max="8962" width="5" style="4" bestFit="1" customWidth="1"/>
    <col min="8963" max="8963" width="21" style="4" bestFit="1" customWidth="1"/>
    <col min="8964" max="8964" width="7.28515625" style="4" customWidth="1"/>
    <col min="8965" max="8965" width="5.140625" style="4" bestFit="1" customWidth="1"/>
    <col min="8966" max="8966" width="2.140625" style="4" customWidth="1"/>
    <col min="8967" max="8967" width="21.5703125" style="4" customWidth="1"/>
    <col min="8968" max="8973" width="8.7109375" style="4" customWidth="1"/>
    <col min="8974" max="8979" width="8.7109375" style="4" bestFit="1" customWidth="1"/>
    <col min="8980" max="9216" width="9.140625" style="4"/>
    <col min="9217" max="9217" width="5.7109375" style="4" bestFit="1" customWidth="1"/>
    <col min="9218" max="9218" width="5" style="4" bestFit="1" customWidth="1"/>
    <col min="9219" max="9219" width="21" style="4" bestFit="1" customWidth="1"/>
    <col min="9220" max="9220" width="7.28515625" style="4" customWidth="1"/>
    <col min="9221" max="9221" width="5.140625" style="4" bestFit="1" customWidth="1"/>
    <col min="9222" max="9222" width="2.140625" style="4" customWidth="1"/>
    <col min="9223" max="9223" width="21.5703125" style="4" customWidth="1"/>
    <col min="9224" max="9229" width="8.7109375" style="4" customWidth="1"/>
    <col min="9230" max="9235" width="8.7109375" style="4" bestFit="1" customWidth="1"/>
    <col min="9236" max="9472" width="9.140625" style="4"/>
    <col min="9473" max="9473" width="5.7109375" style="4" bestFit="1" customWidth="1"/>
    <col min="9474" max="9474" width="5" style="4" bestFit="1" customWidth="1"/>
    <col min="9475" max="9475" width="21" style="4" bestFit="1" customWidth="1"/>
    <col min="9476" max="9476" width="7.28515625" style="4" customWidth="1"/>
    <col min="9477" max="9477" width="5.140625" style="4" bestFit="1" customWidth="1"/>
    <col min="9478" max="9478" width="2.140625" style="4" customWidth="1"/>
    <col min="9479" max="9479" width="21.5703125" style="4" customWidth="1"/>
    <col min="9480" max="9485" width="8.7109375" style="4" customWidth="1"/>
    <col min="9486" max="9491" width="8.7109375" style="4" bestFit="1" customWidth="1"/>
    <col min="9492" max="9728" width="9.140625" style="4"/>
    <col min="9729" max="9729" width="5.7109375" style="4" bestFit="1" customWidth="1"/>
    <col min="9730" max="9730" width="5" style="4" bestFit="1" customWidth="1"/>
    <col min="9731" max="9731" width="21" style="4" bestFit="1" customWidth="1"/>
    <col min="9732" max="9732" width="7.28515625" style="4" customWidth="1"/>
    <col min="9733" max="9733" width="5.140625" style="4" bestFit="1" customWidth="1"/>
    <col min="9734" max="9734" width="2.140625" style="4" customWidth="1"/>
    <col min="9735" max="9735" width="21.5703125" style="4" customWidth="1"/>
    <col min="9736" max="9741" width="8.7109375" style="4" customWidth="1"/>
    <col min="9742" max="9747" width="8.7109375" style="4" bestFit="1" customWidth="1"/>
    <col min="9748" max="9984" width="9.140625" style="4"/>
    <col min="9985" max="9985" width="5.7109375" style="4" bestFit="1" customWidth="1"/>
    <col min="9986" max="9986" width="5" style="4" bestFit="1" customWidth="1"/>
    <col min="9987" max="9987" width="21" style="4" bestFit="1" customWidth="1"/>
    <col min="9988" max="9988" width="7.28515625" style="4" customWidth="1"/>
    <col min="9989" max="9989" width="5.140625" style="4" bestFit="1" customWidth="1"/>
    <col min="9990" max="9990" width="2.140625" style="4" customWidth="1"/>
    <col min="9991" max="9991" width="21.5703125" style="4" customWidth="1"/>
    <col min="9992" max="9997" width="8.7109375" style="4" customWidth="1"/>
    <col min="9998" max="10003" width="8.7109375" style="4" bestFit="1" customWidth="1"/>
    <col min="10004" max="10240" width="9.140625" style="4"/>
    <col min="10241" max="10241" width="5.7109375" style="4" bestFit="1" customWidth="1"/>
    <col min="10242" max="10242" width="5" style="4" bestFit="1" customWidth="1"/>
    <col min="10243" max="10243" width="21" style="4" bestFit="1" customWidth="1"/>
    <col min="10244" max="10244" width="7.28515625" style="4" customWidth="1"/>
    <col min="10245" max="10245" width="5.140625" style="4" bestFit="1" customWidth="1"/>
    <col min="10246" max="10246" width="2.140625" style="4" customWidth="1"/>
    <col min="10247" max="10247" width="21.5703125" style="4" customWidth="1"/>
    <col min="10248" max="10253" width="8.7109375" style="4" customWidth="1"/>
    <col min="10254" max="10259" width="8.7109375" style="4" bestFit="1" customWidth="1"/>
    <col min="10260" max="10496" width="9.140625" style="4"/>
    <col min="10497" max="10497" width="5.7109375" style="4" bestFit="1" customWidth="1"/>
    <col min="10498" max="10498" width="5" style="4" bestFit="1" customWidth="1"/>
    <col min="10499" max="10499" width="21" style="4" bestFit="1" customWidth="1"/>
    <col min="10500" max="10500" width="7.28515625" style="4" customWidth="1"/>
    <col min="10501" max="10501" width="5.140625" style="4" bestFit="1" customWidth="1"/>
    <col min="10502" max="10502" width="2.140625" style="4" customWidth="1"/>
    <col min="10503" max="10503" width="21.5703125" style="4" customWidth="1"/>
    <col min="10504" max="10509" width="8.7109375" style="4" customWidth="1"/>
    <col min="10510" max="10515" width="8.7109375" style="4" bestFit="1" customWidth="1"/>
    <col min="10516" max="10752" width="9.140625" style="4"/>
    <col min="10753" max="10753" width="5.7109375" style="4" bestFit="1" customWidth="1"/>
    <col min="10754" max="10754" width="5" style="4" bestFit="1" customWidth="1"/>
    <col min="10755" max="10755" width="21" style="4" bestFit="1" customWidth="1"/>
    <col min="10756" max="10756" width="7.28515625" style="4" customWidth="1"/>
    <col min="10757" max="10757" width="5.140625" style="4" bestFit="1" customWidth="1"/>
    <col min="10758" max="10758" width="2.140625" style="4" customWidth="1"/>
    <col min="10759" max="10759" width="21.5703125" style="4" customWidth="1"/>
    <col min="10760" max="10765" width="8.7109375" style="4" customWidth="1"/>
    <col min="10766" max="10771" width="8.7109375" style="4" bestFit="1" customWidth="1"/>
    <col min="10772" max="11008" width="9.140625" style="4"/>
    <col min="11009" max="11009" width="5.7109375" style="4" bestFit="1" customWidth="1"/>
    <col min="11010" max="11010" width="5" style="4" bestFit="1" customWidth="1"/>
    <col min="11011" max="11011" width="21" style="4" bestFit="1" customWidth="1"/>
    <col min="11012" max="11012" width="7.28515625" style="4" customWidth="1"/>
    <col min="11013" max="11013" width="5.140625" style="4" bestFit="1" customWidth="1"/>
    <col min="11014" max="11014" width="2.140625" style="4" customWidth="1"/>
    <col min="11015" max="11015" width="21.5703125" style="4" customWidth="1"/>
    <col min="11016" max="11021" width="8.7109375" style="4" customWidth="1"/>
    <col min="11022" max="11027" width="8.7109375" style="4" bestFit="1" customWidth="1"/>
    <col min="11028" max="11264" width="9.140625" style="4"/>
    <col min="11265" max="11265" width="5.7109375" style="4" bestFit="1" customWidth="1"/>
    <col min="11266" max="11266" width="5" style="4" bestFit="1" customWidth="1"/>
    <col min="11267" max="11267" width="21" style="4" bestFit="1" customWidth="1"/>
    <col min="11268" max="11268" width="7.28515625" style="4" customWidth="1"/>
    <col min="11269" max="11269" width="5.140625" style="4" bestFit="1" customWidth="1"/>
    <col min="11270" max="11270" width="2.140625" style="4" customWidth="1"/>
    <col min="11271" max="11271" width="21.5703125" style="4" customWidth="1"/>
    <col min="11272" max="11277" width="8.7109375" style="4" customWidth="1"/>
    <col min="11278" max="11283" width="8.7109375" style="4" bestFit="1" customWidth="1"/>
    <col min="11284" max="11520" width="9.140625" style="4"/>
    <col min="11521" max="11521" width="5.7109375" style="4" bestFit="1" customWidth="1"/>
    <col min="11522" max="11522" width="5" style="4" bestFit="1" customWidth="1"/>
    <col min="11523" max="11523" width="21" style="4" bestFit="1" customWidth="1"/>
    <col min="11524" max="11524" width="7.28515625" style="4" customWidth="1"/>
    <col min="11525" max="11525" width="5.140625" style="4" bestFit="1" customWidth="1"/>
    <col min="11526" max="11526" width="2.140625" style="4" customWidth="1"/>
    <col min="11527" max="11527" width="21.5703125" style="4" customWidth="1"/>
    <col min="11528" max="11533" width="8.7109375" style="4" customWidth="1"/>
    <col min="11534" max="11539" width="8.7109375" style="4" bestFit="1" customWidth="1"/>
    <col min="11540" max="11776" width="9.140625" style="4"/>
    <col min="11777" max="11777" width="5.7109375" style="4" bestFit="1" customWidth="1"/>
    <col min="11778" max="11778" width="5" style="4" bestFit="1" customWidth="1"/>
    <col min="11779" max="11779" width="21" style="4" bestFit="1" customWidth="1"/>
    <col min="11780" max="11780" width="7.28515625" style="4" customWidth="1"/>
    <col min="11781" max="11781" width="5.140625" style="4" bestFit="1" customWidth="1"/>
    <col min="11782" max="11782" width="2.140625" style="4" customWidth="1"/>
    <col min="11783" max="11783" width="21.5703125" style="4" customWidth="1"/>
    <col min="11784" max="11789" width="8.7109375" style="4" customWidth="1"/>
    <col min="11790" max="11795" width="8.7109375" style="4" bestFit="1" customWidth="1"/>
    <col min="11796" max="12032" width="9.140625" style="4"/>
    <col min="12033" max="12033" width="5.7109375" style="4" bestFit="1" customWidth="1"/>
    <col min="12034" max="12034" width="5" style="4" bestFit="1" customWidth="1"/>
    <col min="12035" max="12035" width="21" style="4" bestFit="1" customWidth="1"/>
    <col min="12036" max="12036" width="7.28515625" style="4" customWidth="1"/>
    <col min="12037" max="12037" width="5.140625" style="4" bestFit="1" customWidth="1"/>
    <col min="12038" max="12038" width="2.140625" style="4" customWidth="1"/>
    <col min="12039" max="12039" width="21.5703125" style="4" customWidth="1"/>
    <col min="12040" max="12045" width="8.7109375" style="4" customWidth="1"/>
    <col min="12046" max="12051" width="8.7109375" style="4" bestFit="1" customWidth="1"/>
    <col min="12052" max="12288" width="9.140625" style="4"/>
    <col min="12289" max="12289" width="5.7109375" style="4" bestFit="1" customWidth="1"/>
    <col min="12290" max="12290" width="5" style="4" bestFit="1" customWidth="1"/>
    <col min="12291" max="12291" width="21" style="4" bestFit="1" customWidth="1"/>
    <col min="12292" max="12292" width="7.28515625" style="4" customWidth="1"/>
    <col min="12293" max="12293" width="5.140625" style="4" bestFit="1" customWidth="1"/>
    <col min="12294" max="12294" width="2.140625" style="4" customWidth="1"/>
    <col min="12295" max="12295" width="21.5703125" style="4" customWidth="1"/>
    <col min="12296" max="12301" width="8.7109375" style="4" customWidth="1"/>
    <col min="12302" max="12307" width="8.7109375" style="4" bestFit="1" customWidth="1"/>
    <col min="12308" max="12544" width="9.140625" style="4"/>
    <col min="12545" max="12545" width="5.7109375" style="4" bestFit="1" customWidth="1"/>
    <col min="12546" max="12546" width="5" style="4" bestFit="1" customWidth="1"/>
    <col min="12547" max="12547" width="21" style="4" bestFit="1" customWidth="1"/>
    <col min="12548" max="12548" width="7.28515625" style="4" customWidth="1"/>
    <col min="12549" max="12549" width="5.140625" style="4" bestFit="1" customWidth="1"/>
    <col min="12550" max="12550" width="2.140625" style="4" customWidth="1"/>
    <col min="12551" max="12551" width="21.5703125" style="4" customWidth="1"/>
    <col min="12552" max="12557" width="8.7109375" style="4" customWidth="1"/>
    <col min="12558" max="12563" width="8.7109375" style="4" bestFit="1" customWidth="1"/>
    <col min="12564" max="12800" width="9.140625" style="4"/>
    <col min="12801" max="12801" width="5.7109375" style="4" bestFit="1" customWidth="1"/>
    <col min="12802" max="12802" width="5" style="4" bestFit="1" customWidth="1"/>
    <col min="12803" max="12803" width="21" style="4" bestFit="1" customWidth="1"/>
    <col min="12804" max="12804" width="7.28515625" style="4" customWidth="1"/>
    <col min="12805" max="12805" width="5.140625" style="4" bestFit="1" customWidth="1"/>
    <col min="12806" max="12806" width="2.140625" style="4" customWidth="1"/>
    <col min="12807" max="12807" width="21.5703125" style="4" customWidth="1"/>
    <col min="12808" max="12813" width="8.7109375" style="4" customWidth="1"/>
    <col min="12814" max="12819" width="8.7109375" style="4" bestFit="1" customWidth="1"/>
    <col min="12820" max="13056" width="9.140625" style="4"/>
    <col min="13057" max="13057" width="5.7109375" style="4" bestFit="1" customWidth="1"/>
    <col min="13058" max="13058" width="5" style="4" bestFit="1" customWidth="1"/>
    <col min="13059" max="13059" width="21" style="4" bestFit="1" customWidth="1"/>
    <col min="13060" max="13060" width="7.28515625" style="4" customWidth="1"/>
    <col min="13061" max="13061" width="5.140625" style="4" bestFit="1" customWidth="1"/>
    <col min="13062" max="13062" width="2.140625" style="4" customWidth="1"/>
    <col min="13063" max="13063" width="21.5703125" style="4" customWidth="1"/>
    <col min="13064" max="13069" width="8.7109375" style="4" customWidth="1"/>
    <col min="13070" max="13075" width="8.7109375" style="4" bestFit="1" customWidth="1"/>
    <col min="13076" max="13312" width="9.140625" style="4"/>
    <col min="13313" max="13313" width="5.7109375" style="4" bestFit="1" customWidth="1"/>
    <col min="13314" max="13314" width="5" style="4" bestFit="1" customWidth="1"/>
    <col min="13315" max="13315" width="21" style="4" bestFit="1" customWidth="1"/>
    <col min="13316" max="13316" width="7.28515625" style="4" customWidth="1"/>
    <col min="13317" max="13317" width="5.140625" style="4" bestFit="1" customWidth="1"/>
    <col min="13318" max="13318" width="2.140625" style="4" customWidth="1"/>
    <col min="13319" max="13319" width="21.5703125" style="4" customWidth="1"/>
    <col min="13320" max="13325" width="8.7109375" style="4" customWidth="1"/>
    <col min="13326" max="13331" width="8.7109375" style="4" bestFit="1" customWidth="1"/>
    <col min="13332" max="13568" width="9.140625" style="4"/>
    <col min="13569" max="13569" width="5.7109375" style="4" bestFit="1" customWidth="1"/>
    <col min="13570" max="13570" width="5" style="4" bestFit="1" customWidth="1"/>
    <col min="13571" max="13571" width="21" style="4" bestFit="1" customWidth="1"/>
    <col min="13572" max="13572" width="7.28515625" style="4" customWidth="1"/>
    <col min="13573" max="13573" width="5.140625" style="4" bestFit="1" customWidth="1"/>
    <col min="13574" max="13574" width="2.140625" style="4" customWidth="1"/>
    <col min="13575" max="13575" width="21.5703125" style="4" customWidth="1"/>
    <col min="13576" max="13581" width="8.7109375" style="4" customWidth="1"/>
    <col min="13582" max="13587" width="8.7109375" style="4" bestFit="1" customWidth="1"/>
    <col min="13588" max="13824" width="9.140625" style="4"/>
    <col min="13825" max="13825" width="5.7109375" style="4" bestFit="1" customWidth="1"/>
    <col min="13826" max="13826" width="5" style="4" bestFit="1" customWidth="1"/>
    <col min="13827" max="13827" width="21" style="4" bestFit="1" customWidth="1"/>
    <col min="13828" max="13828" width="7.28515625" style="4" customWidth="1"/>
    <col min="13829" max="13829" width="5.140625" style="4" bestFit="1" customWidth="1"/>
    <col min="13830" max="13830" width="2.140625" style="4" customWidth="1"/>
    <col min="13831" max="13831" width="21.5703125" style="4" customWidth="1"/>
    <col min="13832" max="13837" width="8.7109375" style="4" customWidth="1"/>
    <col min="13838" max="13843" width="8.7109375" style="4" bestFit="1" customWidth="1"/>
    <col min="13844" max="14080" width="9.140625" style="4"/>
    <col min="14081" max="14081" width="5.7109375" style="4" bestFit="1" customWidth="1"/>
    <col min="14082" max="14082" width="5" style="4" bestFit="1" customWidth="1"/>
    <col min="14083" max="14083" width="21" style="4" bestFit="1" customWidth="1"/>
    <col min="14084" max="14084" width="7.28515625" style="4" customWidth="1"/>
    <col min="14085" max="14085" width="5.140625" style="4" bestFit="1" customWidth="1"/>
    <col min="14086" max="14086" width="2.140625" style="4" customWidth="1"/>
    <col min="14087" max="14087" width="21.5703125" style="4" customWidth="1"/>
    <col min="14088" max="14093" width="8.7109375" style="4" customWidth="1"/>
    <col min="14094" max="14099" width="8.7109375" style="4" bestFit="1" customWidth="1"/>
    <col min="14100" max="14336" width="9.140625" style="4"/>
    <col min="14337" max="14337" width="5.7109375" style="4" bestFit="1" customWidth="1"/>
    <col min="14338" max="14338" width="5" style="4" bestFit="1" customWidth="1"/>
    <col min="14339" max="14339" width="21" style="4" bestFit="1" customWidth="1"/>
    <col min="14340" max="14340" width="7.28515625" style="4" customWidth="1"/>
    <col min="14341" max="14341" width="5.140625" style="4" bestFit="1" customWidth="1"/>
    <col min="14342" max="14342" width="2.140625" style="4" customWidth="1"/>
    <col min="14343" max="14343" width="21.5703125" style="4" customWidth="1"/>
    <col min="14344" max="14349" width="8.7109375" style="4" customWidth="1"/>
    <col min="14350" max="14355" width="8.7109375" style="4" bestFit="1" customWidth="1"/>
    <col min="14356" max="14592" width="9.140625" style="4"/>
    <col min="14593" max="14593" width="5.7109375" style="4" bestFit="1" customWidth="1"/>
    <col min="14594" max="14594" width="5" style="4" bestFit="1" customWidth="1"/>
    <col min="14595" max="14595" width="21" style="4" bestFit="1" customWidth="1"/>
    <col min="14596" max="14596" width="7.28515625" style="4" customWidth="1"/>
    <col min="14597" max="14597" width="5.140625" style="4" bestFit="1" customWidth="1"/>
    <col min="14598" max="14598" width="2.140625" style="4" customWidth="1"/>
    <col min="14599" max="14599" width="21.5703125" style="4" customWidth="1"/>
    <col min="14600" max="14605" width="8.7109375" style="4" customWidth="1"/>
    <col min="14606" max="14611" width="8.7109375" style="4" bestFit="1" customWidth="1"/>
    <col min="14612" max="14848" width="9.140625" style="4"/>
    <col min="14849" max="14849" width="5.7109375" style="4" bestFit="1" customWidth="1"/>
    <col min="14850" max="14850" width="5" style="4" bestFit="1" customWidth="1"/>
    <col min="14851" max="14851" width="21" style="4" bestFit="1" customWidth="1"/>
    <col min="14852" max="14852" width="7.28515625" style="4" customWidth="1"/>
    <col min="14853" max="14853" width="5.140625" style="4" bestFit="1" customWidth="1"/>
    <col min="14854" max="14854" width="2.140625" style="4" customWidth="1"/>
    <col min="14855" max="14855" width="21.5703125" style="4" customWidth="1"/>
    <col min="14856" max="14861" width="8.7109375" style="4" customWidth="1"/>
    <col min="14862" max="14867" width="8.7109375" style="4" bestFit="1" customWidth="1"/>
    <col min="14868" max="15104" width="9.140625" style="4"/>
    <col min="15105" max="15105" width="5.7109375" style="4" bestFit="1" customWidth="1"/>
    <col min="15106" max="15106" width="5" style="4" bestFit="1" customWidth="1"/>
    <col min="15107" max="15107" width="21" style="4" bestFit="1" customWidth="1"/>
    <col min="15108" max="15108" width="7.28515625" style="4" customWidth="1"/>
    <col min="15109" max="15109" width="5.140625" style="4" bestFit="1" customWidth="1"/>
    <col min="15110" max="15110" width="2.140625" style="4" customWidth="1"/>
    <col min="15111" max="15111" width="21.5703125" style="4" customWidth="1"/>
    <col min="15112" max="15117" width="8.7109375" style="4" customWidth="1"/>
    <col min="15118" max="15123" width="8.7109375" style="4" bestFit="1" customWidth="1"/>
    <col min="15124" max="15360" width="9.140625" style="4"/>
    <col min="15361" max="15361" width="5.7109375" style="4" bestFit="1" customWidth="1"/>
    <col min="15362" max="15362" width="5" style="4" bestFit="1" customWidth="1"/>
    <col min="15363" max="15363" width="21" style="4" bestFit="1" customWidth="1"/>
    <col min="15364" max="15364" width="7.28515625" style="4" customWidth="1"/>
    <col min="15365" max="15365" width="5.140625" style="4" bestFit="1" customWidth="1"/>
    <col min="15366" max="15366" width="2.140625" style="4" customWidth="1"/>
    <col min="15367" max="15367" width="21.5703125" style="4" customWidth="1"/>
    <col min="15368" max="15373" width="8.7109375" style="4" customWidth="1"/>
    <col min="15374" max="15379" width="8.7109375" style="4" bestFit="1" customWidth="1"/>
    <col min="15380" max="15616" width="9.140625" style="4"/>
    <col min="15617" max="15617" width="5.7109375" style="4" bestFit="1" customWidth="1"/>
    <col min="15618" max="15618" width="5" style="4" bestFit="1" customWidth="1"/>
    <col min="15619" max="15619" width="21" style="4" bestFit="1" customWidth="1"/>
    <col min="15620" max="15620" width="7.28515625" style="4" customWidth="1"/>
    <col min="15621" max="15621" width="5.140625" style="4" bestFit="1" customWidth="1"/>
    <col min="15622" max="15622" width="2.140625" style="4" customWidth="1"/>
    <col min="15623" max="15623" width="21.5703125" style="4" customWidth="1"/>
    <col min="15624" max="15629" width="8.7109375" style="4" customWidth="1"/>
    <col min="15630" max="15635" width="8.7109375" style="4" bestFit="1" customWidth="1"/>
    <col min="15636" max="15872" width="9.140625" style="4"/>
    <col min="15873" max="15873" width="5.7109375" style="4" bestFit="1" customWidth="1"/>
    <col min="15874" max="15874" width="5" style="4" bestFit="1" customWidth="1"/>
    <col min="15875" max="15875" width="21" style="4" bestFit="1" customWidth="1"/>
    <col min="15876" max="15876" width="7.28515625" style="4" customWidth="1"/>
    <col min="15877" max="15877" width="5.140625" style="4" bestFit="1" customWidth="1"/>
    <col min="15878" max="15878" width="2.140625" style="4" customWidth="1"/>
    <col min="15879" max="15879" width="21.5703125" style="4" customWidth="1"/>
    <col min="15880" max="15885" width="8.7109375" style="4" customWidth="1"/>
    <col min="15886" max="15891" width="8.7109375" style="4" bestFit="1" customWidth="1"/>
    <col min="15892" max="16128" width="9.140625" style="4"/>
    <col min="16129" max="16129" width="5.7109375" style="4" bestFit="1" customWidth="1"/>
    <col min="16130" max="16130" width="5" style="4" bestFit="1" customWidth="1"/>
    <col min="16131" max="16131" width="21" style="4" bestFit="1" customWidth="1"/>
    <col min="16132" max="16132" width="7.28515625" style="4" customWidth="1"/>
    <col min="16133" max="16133" width="5.140625" style="4" bestFit="1" customWidth="1"/>
    <col min="16134" max="16134" width="2.140625" style="4" customWidth="1"/>
    <col min="16135" max="16135" width="21.5703125" style="4" customWidth="1"/>
    <col min="16136" max="16141" width="8.7109375" style="4" customWidth="1"/>
    <col min="16142" max="16147" width="8.7109375" style="4" bestFit="1" customWidth="1"/>
    <col min="16148" max="16384" width="9.140625" style="4"/>
  </cols>
  <sheetData>
    <row r="1" spans="1:20" x14ac:dyDescent="0.2">
      <c r="A1" s="1"/>
      <c r="C1" s="3"/>
      <c r="D1" s="3"/>
      <c r="E1" s="1"/>
      <c r="F1" s="1"/>
      <c r="G1" s="4"/>
    </row>
    <row r="2" spans="1:20" ht="15" x14ac:dyDescent="0.25">
      <c r="A2" s="3" t="s">
        <v>0</v>
      </c>
      <c r="B2" s="5" t="s">
        <v>1</v>
      </c>
      <c r="C2" s="3" t="s">
        <v>2</v>
      </c>
      <c r="D2" s="3"/>
      <c r="E2" s="1" t="s">
        <v>3</v>
      </c>
      <c r="F2" s="1"/>
      <c r="G2" s="596" t="s">
        <v>585</v>
      </c>
      <c r="H2" s="597" t="s">
        <v>586</v>
      </c>
      <c r="I2" s="428"/>
      <c r="J2" s="428"/>
      <c r="K2" s="598"/>
      <c r="L2" s="629" t="s">
        <v>473</v>
      </c>
      <c r="M2" s="599"/>
      <c r="N2" s="766" t="s">
        <v>587</v>
      </c>
      <c r="O2" s="767"/>
      <c r="P2" s="767"/>
      <c r="Q2" s="767"/>
      <c r="R2" s="767"/>
      <c r="S2" s="767"/>
    </row>
    <row r="3" spans="1:20" x14ac:dyDescent="0.2">
      <c r="A3" s="1"/>
      <c r="B3" s="6"/>
      <c r="C3" s="3"/>
      <c r="D3" s="3"/>
      <c r="E3" s="1"/>
      <c r="F3" s="1"/>
      <c r="G3" s="94" t="s">
        <v>4</v>
      </c>
      <c r="H3" s="600">
        <v>40908</v>
      </c>
      <c r="I3" s="600">
        <v>41274</v>
      </c>
      <c r="J3" s="600">
        <v>41639</v>
      </c>
      <c r="K3" s="600">
        <v>42004</v>
      </c>
      <c r="L3" s="600">
        <v>42369</v>
      </c>
      <c r="M3" s="600">
        <v>42735</v>
      </c>
      <c r="N3" s="431">
        <v>43100</v>
      </c>
      <c r="O3" s="431">
        <v>43465</v>
      </c>
      <c r="P3" s="431">
        <v>43830</v>
      </c>
      <c r="Q3" s="431">
        <v>44196</v>
      </c>
      <c r="R3" s="431">
        <v>44561</v>
      </c>
      <c r="S3" s="431">
        <v>44926</v>
      </c>
    </row>
    <row r="4" spans="1:20" x14ac:dyDescent="0.2">
      <c r="A4" s="7"/>
      <c r="B4" s="2" t="s">
        <v>5</v>
      </c>
      <c r="C4" s="3">
        <v>1</v>
      </c>
      <c r="D4" s="3"/>
      <c r="E4" s="5"/>
      <c r="F4" s="7"/>
      <c r="G4" s="103" t="s">
        <v>6</v>
      </c>
      <c r="H4" s="77">
        <f t="shared" ref="H4:R4" si="0">H5+H10</f>
        <v>0</v>
      </c>
      <c r="I4" s="77">
        <f t="shared" si="0"/>
        <v>0</v>
      </c>
      <c r="J4" s="77">
        <f t="shared" si="0"/>
        <v>0</v>
      </c>
      <c r="K4" s="77">
        <f t="shared" si="0"/>
        <v>0</v>
      </c>
      <c r="L4" s="77">
        <f t="shared" si="0"/>
        <v>0</v>
      </c>
      <c r="M4" s="77">
        <f t="shared" si="0"/>
        <v>0</v>
      </c>
      <c r="N4" s="77">
        <f t="shared" si="0"/>
        <v>12480</v>
      </c>
      <c r="O4" s="77">
        <f t="shared" si="0"/>
        <v>12517</v>
      </c>
      <c r="P4" s="77">
        <f t="shared" si="0"/>
        <v>12562</v>
      </c>
      <c r="Q4" s="77">
        <f t="shared" si="0"/>
        <v>12253</v>
      </c>
      <c r="R4" s="77">
        <f t="shared" si="0"/>
        <v>11912</v>
      </c>
      <c r="S4" s="77">
        <f>S5+S10</f>
        <v>11575</v>
      </c>
    </row>
    <row r="5" spans="1:20" x14ac:dyDescent="0.2">
      <c r="B5" s="2" t="s">
        <v>7</v>
      </c>
      <c r="C5" s="3">
        <v>10</v>
      </c>
      <c r="D5" s="3"/>
      <c r="G5" s="110" t="s">
        <v>8</v>
      </c>
      <c r="H5" s="77">
        <f t="shared" ref="H5:Q5" si="1">SUM(H6:H9)</f>
        <v>0</v>
      </c>
      <c r="I5" s="77">
        <f t="shared" si="1"/>
        <v>0</v>
      </c>
      <c r="J5" s="77">
        <f t="shared" si="1"/>
        <v>0</v>
      </c>
      <c r="K5" s="77">
        <f t="shared" si="1"/>
        <v>0</v>
      </c>
      <c r="L5" s="77">
        <f t="shared" si="1"/>
        <v>0</v>
      </c>
      <c r="M5" s="77">
        <f t="shared" si="1"/>
        <v>0</v>
      </c>
      <c r="N5" s="77">
        <f t="shared" si="1"/>
        <v>274</v>
      </c>
      <c r="O5" s="77">
        <f t="shared" si="1"/>
        <v>180</v>
      </c>
      <c r="P5" s="77">
        <f t="shared" si="1"/>
        <v>180</v>
      </c>
      <c r="Q5" s="77">
        <f t="shared" si="1"/>
        <v>186</v>
      </c>
      <c r="R5" s="77">
        <f>SUM(R6:R9)</f>
        <v>190</v>
      </c>
      <c r="S5" s="77">
        <f>SUM(S6:S9)</f>
        <v>192</v>
      </c>
    </row>
    <row r="6" spans="1:20" ht="12" x14ac:dyDescent="0.2">
      <c r="B6" s="2" t="s">
        <v>9</v>
      </c>
      <c r="C6" s="10" t="s">
        <v>10</v>
      </c>
      <c r="E6" s="11" t="s">
        <v>11</v>
      </c>
      <c r="G6" s="110" t="s">
        <v>12</v>
      </c>
      <c r="H6" s="76">
        <v>0</v>
      </c>
      <c r="I6" s="76">
        <v>0</v>
      </c>
      <c r="J6" s="76">
        <v>0</v>
      </c>
      <c r="K6" s="76">
        <v>0</v>
      </c>
      <c r="L6" s="76">
        <v>0</v>
      </c>
      <c r="M6" s="76">
        <v>0</v>
      </c>
      <c r="N6" s="76">
        <v>224</v>
      </c>
      <c r="O6" s="76">
        <v>133</v>
      </c>
      <c r="P6" s="76">
        <v>134</v>
      </c>
      <c r="Q6" s="76">
        <v>134</v>
      </c>
      <c r="R6" s="76">
        <v>138</v>
      </c>
      <c r="S6" s="76">
        <v>140</v>
      </c>
    </row>
    <row r="7" spans="1:20" ht="12" x14ac:dyDescent="0.2">
      <c r="B7" s="2" t="s">
        <v>13</v>
      </c>
      <c r="C7" s="10" t="s">
        <v>14</v>
      </c>
      <c r="E7" s="11" t="s">
        <v>11</v>
      </c>
      <c r="G7" s="110" t="s">
        <v>15</v>
      </c>
      <c r="H7" s="76">
        <v>0</v>
      </c>
      <c r="I7" s="76">
        <v>0</v>
      </c>
      <c r="J7" s="76">
        <v>0</v>
      </c>
      <c r="K7" s="76">
        <v>0</v>
      </c>
      <c r="L7" s="76">
        <v>0</v>
      </c>
      <c r="M7" s="76">
        <v>0</v>
      </c>
      <c r="N7" s="76">
        <v>9</v>
      </c>
      <c r="O7" s="76">
        <v>6</v>
      </c>
      <c r="P7" s="76">
        <v>6</v>
      </c>
      <c r="Q7" s="76">
        <v>7</v>
      </c>
      <c r="R7" s="76">
        <v>7</v>
      </c>
      <c r="S7" s="76">
        <v>7</v>
      </c>
    </row>
    <row r="8" spans="1:20" ht="12" x14ac:dyDescent="0.2">
      <c r="B8" s="2" t="s">
        <v>16</v>
      </c>
      <c r="C8" s="10" t="s">
        <v>17</v>
      </c>
      <c r="E8" s="11" t="s">
        <v>11</v>
      </c>
      <c r="G8" s="110" t="s">
        <v>18</v>
      </c>
      <c r="H8" s="76">
        <v>0</v>
      </c>
      <c r="I8" s="76">
        <v>0</v>
      </c>
      <c r="J8" s="76">
        <v>0</v>
      </c>
      <c r="K8" s="76">
        <v>0</v>
      </c>
      <c r="L8" s="76">
        <v>0</v>
      </c>
      <c r="M8" s="76">
        <v>0</v>
      </c>
      <c r="N8" s="76">
        <v>41</v>
      </c>
      <c r="O8" s="76">
        <v>41</v>
      </c>
      <c r="P8" s="76">
        <v>40</v>
      </c>
      <c r="Q8" s="76">
        <v>45</v>
      </c>
      <c r="R8" s="76">
        <v>45</v>
      </c>
      <c r="S8" s="76">
        <v>45</v>
      </c>
    </row>
    <row r="9" spans="1:20" x14ac:dyDescent="0.2">
      <c r="B9" s="2" t="s">
        <v>19</v>
      </c>
      <c r="C9" s="10">
        <v>108</v>
      </c>
      <c r="E9" s="12"/>
      <c r="G9" s="110" t="s">
        <v>20</v>
      </c>
      <c r="H9" s="76">
        <v>0</v>
      </c>
      <c r="I9" s="76">
        <v>0</v>
      </c>
      <c r="J9" s="76">
        <v>0</v>
      </c>
      <c r="K9" s="76">
        <v>0</v>
      </c>
      <c r="L9" s="76">
        <v>0</v>
      </c>
      <c r="M9" s="76">
        <v>0</v>
      </c>
      <c r="N9" s="76">
        <v>0</v>
      </c>
      <c r="O9" s="76">
        <v>0</v>
      </c>
      <c r="P9" s="76">
        <v>0</v>
      </c>
      <c r="Q9" s="76">
        <v>0</v>
      </c>
      <c r="R9" s="76">
        <v>0</v>
      </c>
      <c r="S9" s="76">
        <v>0</v>
      </c>
    </row>
    <row r="10" spans="1:20" x14ac:dyDescent="0.2">
      <c r="A10" s="13"/>
      <c r="B10" s="2" t="s">
        <v>21</v>
      </c>
      <c r="C10" s="14">
        <v>15</v>
      </c>
      <c r="D10" s="14"/>
      <c r="E10" s="12"/>
      <c r="F10" s="13"/>
      <c r="G10" s="110" t="s">
        <v>22</v>
      </c>
      <c r="H10" s="77">
        <f>SUM(H11:H16)</f>
        <v>0</v>
      </c>
      <c r="I10" s="77">
        <f t="shared" ref="I10:R10" si="2">SUM(I11:I16)</f>
        <v>0</v>
      </c>
      <c r="J10" s="77">
        <f t="shared" si="2"/>
        <v>0</v>
      </c>
      <c r="K10" s="77">
        <f t="shared" si="2"/>
        <v>0</v>
      </c>
      <c r="L10" s="77">
        <f t="shared" si="2"/>
        <v>0</v>
      </c>
      <c r="M10" s="77">
        <f t="shared" si="2"/>
        <v>0</v>
      </c>
      <c r="N10" s="77">
        <f t="shared" si="2"/>
        <v>12206</v>
      </c>
      <c r="O10" s="77">
        <f t="shared" si="2"/>
        <v>12337</v>
      </c>
      <c r="P10" s="77">
        <f t="shared" si="2"/>
        <v>12382</v>
      </c>
      <c r="Q10" s="77">
        <f t="shared" si="2"/>
        <v>12067</v>
      </c>
      <c r="R10" s="77">
        <f t="shared" si="2"/>
        <v>11722</v>
      </c>
      <c r="S10" s="77">
        <f>SUM(S11:S16)</f>
        <v>11383</v>
      </c>
    </row>
    <row r="11" spans="1:20" ht="12" x14ac:dyDescent="0.2">
      <c r="A11" s="13"/>
      <c r="B11" s="2" t="s">
        <v>23</v>
      </c>
      <c r="C11" s="14">
        <v>150</v>
      </c>
      <c r="D11" s="14"/>
      <c r="E11" s="11" t="s">
        <v>11</v>
      </c>
      <c r="F11" s="13"/>
      <c r="G11" s="110" t="s">
        <v>24</v>
      </c>
      <c r="H11" s="76">
        <v>0</v>
      </c>
      <c r="I11" s="76">
        <v>0</v>
      </c>
      <c r="J11" s="76">
        <v>0</v>
      </c>
      <c r="K11" s="76">
        <v>0</v>
      </c>
      <c r="L11" s="76">
        <v>0</v>
      </c>
      <c r="M11" s="76">
        <v>0</v>
      </c>
      <c r="N11" s="76">
        <v>0</v>
      </c>
      <c r="O11" s="76">
        <v>0</v>
      </c>
      <c r="P11" s="76">
        <v>0</v>
      </c>
      <c r="Q11" s="76">
        <v>0</v>
      </c>
      <c r="R11" s="76">
        <v>0</v>
      </c>
      <c r="S11" s="76">
        <v>0</v>
      </c>
    </row>
    <row r="12" spans="1:20" ht="12" x14ac:dyDescent="0.2">
      <c r="A12" s="13"/>
      <c r="B12" s="2" t="s">
        <v>25</v>
      </c>
      <c r="C12" s="14">
        <v>151</v>
      </c>
      <c r="D12" s="14"/>
      <c r="E12" s="11" t="s">
        <v>11</v>
      </c>
      <c r="F12" s="13"/>
      <c r="G12" s="110" t="s">
        <v>26</v>
      </c>
      <c r="H12" s="76">
        <v>0</v>
      </c>
      <c r="I12" s="76">
        <v>0</v>
      </c>
      <c r="J12" s="76">
        <v>0</v>
      </c>
      <c r="K12" s="76">
        <v>0</v>
      </c>
      <c r="L12" s="76">
        <v>0</v>
      </c>
      <c r="M12" s="76">
        <v>0</v>
      </c>
      <c r="N12" s="76">
        <v>0</v>
      </c>
      <c r="O12" s="76">
        <v>0</v>
      </c>
      <c r="P12" s="76">
        <v>0</v>
      </c>
      <c r="Q12" s="76">
        <v>0</v>
      </c>
      <c r="R12" s="76">
        <v>0</v>
      </c>
      <c r="S12" s="76">
        <v>0</v>
      </c>
      <c r="T12" s="628"/>
    </row>
    <row r="13" spans="1:20" ht="12" x14ac:dyDescent="0.2">
      <c r="B13" s="2" t="s">
        <v>27</v>
      </c>
      <c r="C13" s="10" t="s">
        <v>28</v>
      </c>
      <c r="E13" s="11" t="s">
        <v>11</v>
      </c>
      <c r="G13" s="110" t="s">
        <v>29</v>
      </c>
      <c r="H13" s="76">
        <v>0</v>
      </c>
      <c r="I13" s="76">
        <v>0</v>
      </c>
      <c r="J13" s="76">
        <v>0</v>
      </c>
      <c r="K13" s="76">
        <v>0</v>
      </c>
      <c r="L13" s="76">
        <v>0</v>
      </c>
      <c r="M13" s="76">
        <v>0</v>
      </c>
      <c r="N13" s="76">
        <v>0</v>
      </c>
      <c r="O13" s="76">
        <v>0</v>
      </c>
      <c r="P13" s="76">
        <v>0</v>
      </c>
      <c r="Q13" s="76">
        <v>0</v>
      </c>
      <c r="R13" s="76">
        <v>0</v>
      </c>
      <c r="S13" s="76">
        <v>0</v>
      </c>
    </row>
    <row r="14" spans="1:20" ht="12" x14ac:dyDescent="0.2">
      <c r="B14" s="2" t="s">
        <v>30</v>
      </c>
      <c r="C14" s="10">
        <v>154</v>
      </c>
      <c r="E14" s="11" t="s">
        <v>11</v>
      </c>
      <c r="G14" s="110" t="s">
        <v>31</v>
      </c>
      <c r="H14" s="76">
        <v>0</v>
      </c>
      <c r="I14" s="76">
        <v>0</v>
      </c>
      <c r="J14" s="76">
        <v>0</v>
      </c>
      <c r="K14" s="76">
        <v>0</v>
      </c>
      <c r="L14" s="76">
        <v>0</v>
      </c>
      <c r="M14" s="76">
        <v>0</v>
      </c>
      <c r="N14" s="76">
        <v>72</v>
      </c>
      <c r="O14" s="76">
        <v>70</v>
      </c>
      <c r="P14" s="76">
        <v>68</v>
      </c>
      <c r="Q14" s="76">
        <v>65</v>
      </c>
      <c r="R14" s="76">
        <v>63</v>
      </c>
      <c r="S14" s="76">
        <v>61</v>
      </c>
    </row>
    <row r="15" spans="1:20" ht="12" x14ac:dyDescent="0.2">
      <c r="B15" s="2" t="s">
        <v>32</v>
      </c>
      <c r="C15" s="10" t="s">
        <v>33</v>
      </c>
      <c r="E15" s="11" t="s">
        <v>11</v>
      </c>
      <c r="G15" s="110" t="s">
        <v>34</v>
      </c>
      <c r="H15" s="76">
        <v>0</v>
      </c>
      <c r="I15" s="76">
        <v>0</v>
      </c>
      <c r="J15" s="76">
        <v>0</v>
      </c>
      <c r="K15" s="76">
        <v>0</v>
      </c>
      <c r="L15" s="76">
        <v>0</v>
      </c>
      <c r="M15" s="76">
        <v>0</v>
      </c>
      <c r="N15" s="76">
        <v>12134</v>
      </c>
      <c r="O15" s="76">
        <v>12267</v>
      </c>
      <c r="P15" s="76">
        <v>12314</v>
      </c>
      <c r="Q15" s="76">
        <v>12002</v>
      </c>
      <c r="R15" s="76">
        <v>11659</v>
      </c>
      <c r="S15" s="76">
        <v>11322</v>
      </c>
    </row>
    <row r="16" spans="1:20" ht="12" x14ac:dyDescent="0.2">
      <c r="B16" s="2" t="s">
        <v>35</v>
      </c>
      <c r="C16" s="10">
        <v>157</v>
      </c>
      <c r="E16" s="11" t="s">
        <v>11</v>
      </c>
      <c r="G16" s="110" t="s">
        <v>36</v>
      </c>
      <c r="H16" s="76">
        <v>0</v>
      </c>
      <c r="I16" s="76">
        <v>0</v>
      </c>
      <c r="J16" s="76">
        <v>0</v>
      </c>
      <c r="K16" s="76">
        <v>0</v>
      </c>
      <c r="L16" s="76">
        <v>0</v>
      </c>
      <c r="M16" s="76">
        <v>0</v>
      </c>
      <c r="N16" s="76">
        <v>0</v>
      </c>
      <c r="O16" s="76">
        <v>0</v>
      </c>
      <c r="P16" s="76">
        <v>0</v>
      </c>
      <c r="Q16" s="76">
        <v>0</v>
      </c>
      <c r="R16" s="76">
        <v>0</v>
      </c>
      <c r="S16" s="76">
        <v>0</v>
      </c>
    </row>
    <row r="17" spans="1:19" s="438" customFormat="1" ht="12" x14ac:dyDescent="0.2">
      <c r="A17" s="15"/>
      <c r="B17" s="2" t="s">
        <v>37</v>
      </c>
      <c r="C17" s="15" t="s">
        <v>38</v>
      </c>
      <c r="D17" s="15"/>
      <c r="E17" s="11" t="s">
        <v>11</v>
      </c>
      <c r="F17" s="16"/>
      <c r="G17" s="436" t="s">
        <v>39</v>
      </c>
      <c r="H17" s="80">
        <v>0</v>
      </c>
      <c r="I17" s="80">
        <v>0</v>
      </c>
      <c r="J17" s="80">
        <v>0</v>
      </c>
      <c r="K17" s="80">
        <v>0</v>
      </c>
      <c r="L17" s="80">
        <v>0</v>
      </c>
      <c r="M17" s="80">
        <v>0</v>
      </c>
      <c r="N17" s="80">
        <v>0</v>
      </c>
      <c r="O17" s="80">
        <v>0</v>
      </c>
      <c r="P17" s="80">
        <v>0</v>
      </c>
      <c r="Q17" s="80">
        <v>0</v>
      </c>
      <c r="R17" s="80">
        <v>0</v>
      </c>
      <c r="S17" s="80">
        <v>0</v>
      </c>
    </row>
    <row r="18" spans="1:19" x14ac:dyDescent="0.2">
      <c r="B18" s="2" t="s">
        <v>40</v>
      </c>
      <c r="C18" s="10">
        <v>2</v>
      </c>
      <c r="E18" s="12"/>
      <c r="G18" s="110" t="s">
        <v>41</v>
      </c>
      <c r="H18" s="77">
        <f>H19+H27</f>
        <v>0</v>
      </c>
      <c r="I18" s="77">
        <f t="shared" ref="I18:R18" si="3">I19+I27</f>
        <v>0</v>
      </c>
      <c r="J18" s="77">
        <f t="shared" si="3"/>
        <v>0</v>
      </c>
      <c r="K18" s="77">
        <f t="shared" si="3"/>
        <v>0</v>
      </c>
      <c r="L18" s="77">
        <f t="shared" si="3"/>
        <v>0</v>
      </c>
      <c r="M18" s="77">
        <f t="shared" si="3"/>
        <v>0</v>
      </c>
      <c r="N18" s="77">
        <f t="shared" si="3"/>
        <v>12480</v>
      </c>
      <c r="O18" s="77">
        <f t="shared" si="3"/>
        <v>12517</v>
      </c>
      <c r="P18" s="77">
        <f t="shared" si="3"/>
        <v>12562</v>
      </c>
      <c r="Q18" s="77">
        <f t="shared" si="3"/>
        <v>12253</v>
      </c>
      <c r="R18" s="77">
        <f t="shared" si="3"/>
        <v>11912</v>
      </c>
      <c r="S18" s="77">
        <f>S19+S27</f>
        <v>11575</v>
      </c>
    </row>
    <row r="19" spans="1:19" x14ac:dyDescent="0.2">
      <c r="B19" s="2" t="s">
        <v>42</v>
      </c>
      <c r="C19" s="10" t="s">
        <v>43</v>
      </c>
      <c r="E19" s="12"/>
      <c r="G19" s="110" t="s">
        <v>44</v>
      </c>
      <c r="H19" s="77">
        <f>SUM(H21:H26)</f>
        <v>0</v>
      </c>
      <c r="I19" s="77">
        <f t="shared" ref="I19:R19" si="4">SUM(I21:I26)</f>
        <v>0</v>
      </c>
      <c r="J19" s="77">
        <f t="shared" si="4"/>
        <v>0</v>
      </c>
      <c r="K19" s="77">
        <f t="shared" si="4"/>
        <v>0</v>
      </c>
      <c r="L19" s="77">
        <f t="shared" si="4"/>
        <v>0</v>
      </c>
      <c r="M19" s="77">
        <f t="shared" si="4"/>
        <v>0</v>
      </c>
      <c r="N19" s="77">
        <f t="shared" si="4"/>
        <v>92</v>
      </c>
      <c r="O19" s="77">
        <f t="shared" si="4"/>
        <v>28</v>
      </c>
      <c r="P19" s="77">
        <f t="shared" si="4"/>
        <v>28</v>
      </c>
      <c r="Q19" s="77">
        <f t="shared" si="4"/>
        <v>28</v>
      </c>
      <c r="R19" s="77">
        <f t="shared" si="4"/>
        <v>29</v>
      </c>
      <c r="S19" s="77">
        <f>SUM(S21:S26)</f>
        <v>30</v>
      </c>
    </row>
    <row r="20" spans="1:19" s="439" customFormat="1" ht="12" x14ac:dyDescent="0.2">
      <c r="A20" s="17"/>
      <c r="B20" s="2" t="s">
        <v>45</v>
      </c>
      <c r="C20" s="15" t="s">
        <v>46</v>
      </c>
      <c r="D20" s="15"/>
      <c r="E20" s="11" t="s">
        <v>11</v>
      </c>
      <c r="F20" s="17"/>
      <c r="G20" s="436" t="s">
        <v>47</v>
      </c>
      <c r="H20" s="82">
        <v>0</v>
      </c>
      <c r="I20" s="82">
        <v>0</v>
      </c>
      <c r="J20" s="82">
        <v>0</v>
      </c>
      <c r="K20" s="82">
        <v>0</v>
      </c>
      <c r="L20" s="82">
        <v>0</v>
      </c>
      <c r="M20" s="82">
        <v>0</v>
      </c>
      <c r="N20" s="82">
        <v>90</v>
      </c>
      <c r="O20" s="82">
        <v>27</v>
      </c>
      <c r="P20" s="82">
        <v>27</v>
      </c>
      <c r="Q20" s="82">
        <v>28</v>
      </c>
      <c r="R20" s="82">
        <v>28</v>
      </c>
      <c r="S20" s="82">
        <v>29</v>
      </c>
    </row>
    <row r="21" spans="1:19" ht="12" x14ac:dyDescent="0.2">
      <c r="B21" s="2" t="s">
        <v>48</v>
      </c>
      <c r="C21" s="18" t="s">
        <v>49</v>
      </c>
      <c r="D21" s="18"/>
      <c r="E21" s="11" t="s">
        <v>11</v>
      </c>
      <c r="G21" s="110" t="s">
        <v>50</v>
      </c>
      <c r="H21" s="76">
        <v>0</v>
      </c>
      <c r="I21" s="76">
        <v>0</v>
      </c>
      <c r="J21" s="76">
        <v>0</v>
      </c>
      <c r="K21" s="76">
        <v>0</v>
      </c>
      <c r="L21" s="76">
        <v>0</v>
      </c>
      <c r="M21" s="76">
        <v>0</v>
      </c>
      <c r="N21" s="76">
        <v>92</v>
      </c>
      <c r="O21" s="76">
        <v>28</v>
      </c>
      <c r="P21" s="76">
        <v>28</v>
      </c>
      <c r="Q21" s="76">
        <v>28</v>
      </c>
      <c r="R21" s="76">
        <v>29</v>
      </c>
      <c r="S21" s="76">
        <v>30</v>
      </c>
    </row>
    <row r="22" spans="1:19" ht="12" x14ac:dyDescent="0.2">
      <c r="B22" s="2" t="s">
        <v>51</v>
      </c>
      <c r="C22" s="10" t="s">
        <v>52</v>
      </c>
      <c r="E22" s="11" t="s">
        <v>11</v>
      </c>
      <c r="G22" s="110" t="s">
        <v>53</v>
      </c>
      <c r="H22" s="76">
        <v>0</v>
      </c>
      <c r="I22" s="76">
        <v>0</v>
      </c>
      <c r="J22" s="76">
        <v>0</v>
      </c>
      <c r="K22" s="76">
        <v>0</v>
      </c>
      <c r="L22" s="76">
        <v>0</v>
      </c>
      <c r="M22" s="76">
        <v>0</v>
      </c>
      <c r="N22" s="76">
        <v>0</v>
      </c>
      <c r="O22" s="76">
        <v>0</v>
      </c>
      <c r="P22" s="76">
        <v>0</v>
      </c>
      <c r="Q22" s="76">
        <v>0</v>
      </c>
      <c r="R22" s="76">
        <v>0</v>
      </c>
      <c r="S22" s="76">
        <v>0</v>
      </c>
    </row>
    <row r="23" spans="1:19" ht="12" x14ac:dyDescent="0.2">
      <c r="B23" s="2" t="s">
        <v>54</v>
      </c>
      <c r="C23" s="10">
        <v>257</v>
      </c>
      <c r="E23" s="11" t="s">
        <v>11</v>
      </c>
      <c r="G23" s="110" t="s">
        <v>55</v>
      </c>
      <c r="H23" s="76">
        <v>0</v>
      </c>
      <c r="I23" s="76">
        <v>0</v>
      </c>
      <c r="J23" s="76">
        <v>0</v>
      </c>
      <c r="K23" s="76">
        <v>0</v>
      </c>
      <c r="L23" s="76">
        <v>0</v>
      </c>
      <c r="M23" s="76">
        <v>0</v>
      </c>
      <c r="N23" s="76">
        <v>0</v>
      </c>
      <c r="O23" s="76">
        <v>0</v>
      </c>
      <c r="P23" s="76">
        <v>0</v>
      </c>
      <c r="Q23" s="76">
        <v>0</v>
      </c>
      <c r="R23" s="76">
        <v>0</v>
      </c>
      <c r="S23" s="76">
        <v>0</v>
      </c>
    </row>
    <row r="24" spans="1:19" ht="12" x14ac:dyDescent="0.2">
      <c r="A24" s="19"/>
      <c r="B24" s="2" t="s">
        <v>56</v>
      </c>
      <c r="C24" s="10" t="s">
        <v>57</v>
      </c>
      <c r="E24" s="11" t="s">
        <v>11</v>
      </c>
      <c r="F24" s="19"/>
      <c r="G24" s="110" t="s">
        <v>58</v>
      </c>
      <c r="H24" s="76">
        <v>0</v>
      </c>
      <c r="I24" s="76">
        <v>0</v>
      </c>
      <c r="J24" s="76">
        <v>0</v>
      </c>
      <c r="K24" s="76">
        <v>0</v>
      </c>
      <c r="L24" s="76">
        <v>0</v>
      </c>
      <c r="M24" s="76">
        <v>0</v>
      </c>
      <c r="N24" s="76">
        <v>0</v>
      </c>
      <c r="O24" s="76">
        <v>0</v>
      </c>
      <c r="P24" s="76">
        <v>0</v>
      </c>
      <c r="Q24" s="76">
        <v>0</v>
      </c>
      <c r="R24" s="76">
        <v>0</v>
      </c>
      <c r="S24" s="76">
        <v>0</v>
      </c>
    </row>
    <row r="25" spans="1:19" ht="12" x14ac:dyDescent="0.2">
      <c r="A25" s="19"/>
      <c r="B25" s="2" t="s">
        <v>59</v>
      </c>
      <c r="C25" s="10" t="s">
        <v>60</v>
      </c>
      <c r="E25" s="11" t="s">
        <v>11</v>
      </c>
      <c r="F25" s="19"/>
      <c r="G25" s="110" t="s">
        <v>61</v>
      </c>
      <c r="H25" s="76">
        <v>0</v>
      </c>
      <c r="I25" s="76">
        <v>0</v>
      </c>
      <c r="J25" s="76">
        <v>0</v>
      </c>
      <c r="K25" s="76">
        <v>0</v>
      </c>
      <c r="L25" s="76">
        <v>0</v>
      </c>
      <c r="M25" s="76">
        <v>0</v>
      </c>
      <c r="N25" s="76">
        <v>0</v>
      </c>
      <c r="O25" s="76">
        <v>0</v>
      </c>
      <c r="P25" s="76">
        <v>0</v>
      </c>
      <c r="Q25" s="76">
        <v>0</v>
      </c>
      <c r="R25" s="76">
        <v>0</v>
      </c>
      <c r="S25" s="76">
        <v>0</v>
      </c>
    </row>
    <row r="26" spans="1:19" ht="12" x14ac:dyDescent="0.2">
      <c r="B26" s="2" t="s">
        <v>62</v>
      </c>
      <c r="C26" s="10">
        <v>28</v>
      </c>
      <c r="E26" s="11" t="s">
        <v>11</v>
      </c>
      <c r="G26" s="110" t="s">
        <v>63</v>
      </c>
      <c r="H26" s="76">
        <v>0</v>
      </c>
      <c r="I26" s="76">
        <v>0</v>
      </c>
      <c r="J26" s="76">
        <v>0</v>
      </c>
      <c r="K26" s="76">
        <v>0</v>
      </c>
      <c r="L26" s="76">
        <v>0</v>
      </c>
      <c r="M26" s="76">
        <v>0</v>
      </c>
      <c r="N26" s="76">
        <v>0</v>
      </c>
      <c r="O26" s="76">
        <v>0</v>
      </c>
      <c r="P26" s="76">
        <v>0</v>
      </c>
      <c r="Q26" s="76">
        <v>0</v>
      </c>
      <c r="R26" s="76">
        <v>0</v>
      </c>
      <c r="S26" s="76">
        <v>0</v>
      </c>
    </row>
    <row r="27" spans="1:19" x14ac:dyDescent="0.2">
      <c r="B27" s="2" t="s">
        <v>64</v>
      </c>
      <c r="C27" s="10">
        <v>29</v>
      </c>
      <c r="E27" s="12"/>
      <c r="G27" s="110" t="s">
        <v>65</v>
      </c>
      <c r="H27" s="77">
        <f>SUM(H28:H30)</f>
        <v>0</v>
      </c>
      <c r="I27" s="77">
        <f t="shared" ref="I27:R27" si="5">SUM(I28:I30)</f>
        <v>0</v>
      </c>
      <c r="J27" s="77">
        <f t="shared" si="5"/>
        <v>0</v>
      </c>
      <c r="K27" s="77">
        <f t="shared" si="5"/>
        <v>0</v>
      </c>
      <c r="L27" s="77">
        <f t="shared" si="5"/>
        <v>0</v>
      </c>
      <c r="M27" s="77">
        <f t="shared" si="5"/>
        <v>0</v>
      </c>
      <c r="N27" s="77">
        <f t="shared" si="5"/>
        <v>12388</v>
      </c>
      <c r="O27" s="77">
        <f t="shared" si="5"/>
        <v>12489</v>
      </c>
      <c r="P27" s="77">
        <f t="shared" si="5"/>
        <v>12534</v>
      </c>
      <c r="Q27" s="77">
        <f t="shared" si="5"/>
        <v>12225</v>
      </c>
      <c r="R27" s="77">
        <f t="shared" si="5"/>
        <v>11883</v>
      </c>
      <c r="S27" s="77">
        <f>SUM(S28:S30)</f>
        <v>11545</v>
      </c>
    </row>
    <row r="28" spans="1:19" ht="12" x14ac:dyDescent="0.2">
      <c r="B28" s="2" t="s">
        <v>66</v>
      </c>
      <c r="C28" s="8" t="s">
        <v>67</v>
      </c>
      <c r="D28" s="8"/>
      <c r="E28" s="11" t="s">
        <v>11</v>
      </c>
      <c r="G28" s="110" t="s">
        <v>68</v>
      </c>
      <c r="H28" s="76">
        <v>0</v>
      </c>
      <c r="I28" s="76">
        <v>0</v>
      </c>
      <c r="J28" s="76">
        <v>0</v>
      </c>
      <c r="K28" s="76">
        <v>0</v>
      </c>
      <c r="L28" s="76">
        <v>0</v>
      </c>
      <c r="M28" s="76">
        <v>0</v>
      </c>
      <c r="N28" s="76">
        <v>12497</v>
      </c>
      <c r="O28" s="76">
        <v>12497</v>
      </c>
      <c r="P28" s="76">
        <v>12497</v>
      </c>
      <c r="Q28" s="76">
        <v>12497</v>
      </c>
      <c r="R28" s="76">
        <v>12497</v>
      </c>
      <c r="S28" s="76">
        <v>12497</v>
      </c>
    </row>
    <row r="29" spans="1:19" ht="12" x14ac:dyDescent="0.2">
      <c r="B29" s="2" t="s">
        <v>69</v>
      </c>
      <c r="C29" s="10">
        <v>298</v>
      </c>
      <c r="E29" s="11" t="s">
        <v>11</v>
      </c>
      <c r="G29" s="110" t="s">
        <v>70</v>
      </c>
      <c r="H29" s="76">
        <v>0</v>
      </c>
      <c r="I29" s="76">
        <v>0</v>
      </c>
      <c r="J29" s="76">
        <v>0</v>
      </c>
      <c r="K29" s="76">
        <v>0</v>
      </c>
      <c r="L29" s="76">
        <v>0</v>
      </c>
      <c r="M29" s="76">
        <v>0</v>
      </c>
      <c r="N29" s="76">
        <v>0</v>
      </c>
      <c r="O29" s="76">
        <v>-109</v>
      </c>
      <c r="P29" s="76">
        <v>-8</v>
      </c>
      <c r="Q29" s="76">
        <v>37</v>
      </c>
      <c r="R29" s="76">
        <v>-272</v>
      </c>
      <c r="S29" s="76">
        <v>-614</v>
      </c>
    </row>
    <row r="30" spans="1:19" ht="12" x14ac:dyDescent="0.2">
      <c r="B30" s="2" t="s">
        <v>71</v>
      </c>
      <c r="C30" s="10">
        <v>299</v>
      </c>
      <c r="E30" s="11" t="s">
        <v>72</v>
      </c>
      <c r="G30" s="110" t="s">
        <v>73</v>
      </c>
      <c r="H30" s="76">
        <v>0</v>
      </c>
      <c r="I30" s="76">
        <v>0</v>
      </c>
      <c r="J30" s="76">
        <v>0</v>
      </c>
      <c r="K30" s="76">
        <v>0</v>
      </c>
      <c r="L30" s="76">
        <v>0</v>
      </c>
      <c r="M30" s="76">
        <v>0</v>
      </c>
      <c r="N30" s="76">
        <v>-109</v>
      </c>
      <c r="O30" s="76">
        <v>101</v>
      </c>
      <c r="P30" s="76">
        <v>45</v>
      </c>
      <c r="Q30" s="76">
        <v>-309</v>
      </c>
      <c r="R30" s="76">
        <v>-342</v>
      </c>
      <c r="S30" s="76">
        <v>-338</v>
      </c>
    </row>
    <row r="31" spans="1:19" s="442" customFormat="1" x14ac:dyDescent="0.2">
      <c r="A31" s="20"/>
      <c r="B31" s="6"/>
      <c r="C31" s="21"/>
      <c r="D31" s="21"/>
      <c r="E31" s="22"/>
      <c r="F31" s="20"/>
      <c r="G31" s="440" t="s">
        <v>74</v>
      </c>
      <c r="H31" s="85">
        <f t="shared" ref="H31:R31" si="6">H4-H18</f>
        <v>0</v>
      </c>
      <c r="I31" s="85">
        <f t="shared" si="6"/>
        <v>0</v>
      </c>
      <c r="J31" s="85">
        <f t="shared" si="6"/>
        <v>0</v>
      </c>
      <c r="K31" s="85">
        <f t="shared" si="6"/>
        <v>0</v>
      </c>
      <c r="L31" s="85">
        <f t="shared" si="6"/>
        <v>0</v>
      </c>
      <c r="M31" s="85">
        <f t="shared" si="6"/>
        <v>0</v>
      </c>
      <c r="N31" s="85">
        <f t="shared" si="6"/>
        <v>0</v>
      </c>
      <c r="O31" s="85">
        <f t="shared" si="6"/>
        <v>0</v>
      </c>
      <c r="P31" s="85">
        <f t="shared" si="6"/>
        <v>0</v>
      </c>
      <c r="Q31" s="85">
        <f t="shared" si="6"/>
        <v>0</v>
      </c>
      <c r="R31" s="85">
        <f t="shared" si="6"/>
        <v>0</v>
      </c>
      <c r="S31" s="85">
        <f>S4-S18</f>
        <v>0</v>
      </c>
    </row>
    <row r="32" spans="1:19" x14ac:dyDescent="0.2">
      <c r="G32" s="94" t="s">
        <v>75</v>
      </c>
      <c r="H32" s="87">
        <v>2011</v>
      </c>
      <c r="I32" s="87">
        <f t="shared" ref="I32:S32" si="7">H32+1</f>
        <v>2012</v>
      </c>
      <c r="J32" s="87">
        <f t="shared" si="7"/>
        <v>2013</v>
      </c>
      <c r="K32" s="87">
        <f t="shared" si="7"/>
        <v>2014</v>
      </c>
      <c r="L32" s="87">
        <f t="shared" si="7"/>
        <v>2015</v>
      </c>
      <c r="M32" s="87">
        <f t="shared" si="7"/>
        <v>2016</v>
      </c>
      <c r="N32" s="87">
        <f t="shared" si="7"/>
        <v>2017</v>
      </c>
      <c r="O32" s="87">
        <f t="shared" si="7"/>
        <v>2018</v>
      </c>
      <c r="P32" s="87">
        <f t="shared" si="7"/>
        <v>2019</v>
      </c>
      <c r="Q32" s="87">
        <f t="shared" si="7"/>
        <v>2020</v>
      </c>
      <c r="R32" s="87">
        <f t="shared" si="7"/>
        <v>2021</v>
      </c>
      <c r="S32" s="87">
        <f t="shared" si="7"/>
        <v>2022</v>
      </c>
    </row>
    <row r="33" spans="1:19" x14ac:dyDescent="0.2">
      <c r="B33" s="2" t="s">
        <v>76</v>
      </c>
      <c r="C33" s="10">
        <v>3</v>
      </c>
      <c r="G33" s="103" t="s">
        <v>77</v>
      </c>
      <c r="H33" s="77">
        <f>SUM(H34:H37)</f>
        <v>0</v>
      </c>
      <c r="I33" s="77">
        <f t="shared" ref="I33:R33" si="8">SUM(I34:I37)</f>
        <v>0</v>
      </c>
      <c r="J33" s="77">
        <f t="shared" si="8"/>
        <v>0</v>
      </c>
      <c r="K33" s="77">
        <f t="shared" si="8"/>
        <v>0</v>
      </c>
      <c r="L33" s="77">
        <f t="shared" si="8"/>
        <v>0</v>
      </c>
      <c r="M33" s="77">
        <f t="shared" si="8"/>
        <v>0</v>
      </c>
      <c r="N33" s="77">
        <f t="shared" si="8"/>
        <v>179</v>
      </c>
      <c r="O33" s="77">
        <f t="shared" si="8"/>
        <v>1214</v>
      </c>
      <c r="P33" s="77">
        <f t="shared" si="8"/>
        <v>1157</v>
      </c>
      <c r="Q33" s="77">
        <f t="shared" si="8"/>
        <v>805</v>
      </c>
      <c r="R33" s="77">
        <f t="shared" si="8"/>
        <v>771</v>
      </c>
      <c r="S33" s="77">
        <f>SUM(S34:S37)</f>
        <v>774</v>
      </c>
    </row>
    <row r="34" spans="1:19" ht="12" x14ac:dyDescent="0.2">
      <c r="B34" s="2" t="s">
        <v>78</v>
      </c>
      <c r="C34" s="10">
        <v>30</v>
      </c>
      <c r="E34" s="11" t="s">
        <v>11</v>
      </c>
      <c r="G34" s="110" t="s">
        <v>79</v>
      </c>
      <c r="H34" s="76">
        <v>0</v>
      </c>
      <c r="I34" s="76">
        <v>0</v>
      </c>
      <c r="J34" s="76">
        <v>0</v>
      </c>
      <c r="K34" s="76">
        <v>0</v>
      </c>
      <c r="L34" s="76">
        <v>0</v>
      </c>
      <c r="M34" s="76">
        <v>0</v>
      </c>
      <c r="N34" s="76">
        <v>0</v>
      </c>
      <c r="O34" s="76">
        <v>0</v>
      </c>
      <c r="P34" s="76">
        <v>0</v>
      </c>
      <c r="Q34" s="76">
        <v>0</v>
      </c>
      <c r="R34" s="76">
        <v>0</v>
      </c>
      <c r="S34" s="76">
        <v>0</v>
      </c>
    </row>
    <row r="35" spans="1:19" ht="12" x14ac:dyDescent="0.2">
      <c r="B35" s="2" t="s">
        <v>80</v>
      </c>
      <c r="C35" s="10">
        <v>32</v>
      </c>
      <c r="E35" s="11" t="s">
        <v>11</v>
      </c>
      <c r="G35" s="110" t="s">
        <v>81</v>
      </c>
      <c r="H35" s="76">
        <v>0</v>
      </c>
      <c r="I35" s="76">
        <v>0</v>
      </c>
      <c r="J35" s="76">
        <v>0</v>
      </c>
      <c r="K35" s="76">
        <v>0</v>
      </c>
      <c r="L35" s="76">
        <v>0</v>
      </c>
      <c r="M35" s="76">
        <v>0</v>
      </c>
      <c r="N35" s="76">
        <v>30</v>
      </c>
      <c r="O35" s="76">
        <v>321</v>
      </c>
      <c r="P35" s="76">
        <v>321</v>
      </c>
      <c r="Q35" s="76">
        <v>325</v>
      </c>
      <c r="R35" s="76">
        <v>330</v>
      </c>
      <c r="S35" s="76">
        <v>333</v>
      </c>
    </row>
    <row r="36" spans="1:19" ht="12" x14ac:dyDescent="0.2">
      <c r="A36" s="13"/>
      <c r="B36" s="2" t="s">
        <v>82</v>
      </c>
      <c r="C36" s="10">
        <v>35</v>
      </c>
      <c r="E36" s="11" t="s">
        <v>11</v>
      </c>
      <c r="F36" s="13"/>
      <c r="G36" s="110" t="s">
        <v>83</v>
      </c>
      <c r="H36" s="76">
        <v>0</v>
      </c>
      <c r="I36" s="76">
        <v>0</v>
      </c>
      <c r="J36" s="76">
        <v>0</v>
      </c>
      <c r="K36" s="76">
        <v>0</v>
      </c>
      <c r="L36" s="76">
        <v>0</v>
      </c>
      <c r="M36" s="76">
        <v>0</v>
      </c>
      <c r="N36" s="76">
        <v>149</v>
      </c>
      <c r="O36" s="76">
        <v>893</v>
      </c>
      <c r="P36" s="76">
        <v>836</v>
      </c>
      <c r="Q36" s="76">
        <v>480</v>
      </c>
      <c r="R36" s="76">
        <v>441</v>
      </c>
      <c r="S36" s="76">
        <v>441</v>
      </c>
    </row>
    <row r="37" spans="1:19" ht="12" x14ac:dyDescent="0.2">
      <c r="B37" s="2" t="s">
        <v>84</v>
      </c>
      <c r="C37" s="10">
        <v>38</v>
      </c>
      <c r="E37" s="11" t="s">
        <v>11</v>
      </c>
      <c r="G37" s="110" t="s">
        <v>85</v>
      </c>
      <c r="H37" s="76">
        <v>0</v>
      </c>
      <c r="I37" s="76">
        <v>0</v>
      </c>
      <c r="J37" s="76">
        <v>0</v>
      </c>
      <c r="K37" s="76">
        <v>0</v>
      </c>
      <c r="L37" s="76">
        <v>0</v>
      </c>
      <c r="M37" s="76">
        <v>0</v>
      </c>
      <c r="N37" s="76">
        <v>0</v>
      </c>
      <c r="O37" s="76">
        <v>0</v>
      </c>
      <c r="P37" s="76">
        <v>0</v>
      </c>
      <c r="Q37" s="76">
        <v>0</v>
      </c>
      <c r="R37" s="76">
        <v>0</v>
      </c>
      <c r="S37" s="76">
        <v>0</v>
      </c>
    </row>
    <row r="38" spans="1:19" x14ac:dyDescent="0.2">
      <c r="B38" s="2" t="s">
        <v>86</v>
      </c>
      <c r="C38" s="10">
        <v>4</v>
      </c>
      <c r="E38" s="23"/>
      <c r="G38" s="110" t="s">
        <v>87</v>
      </c>
      <c r="H38" s="77">
        <f>H39+H40</f>
        <v>0</v>
      </c>
      <c r="I38" s="77">
        <f t="shared" ref="I38:R38" si="9">I39+I40</f>
        <v>0</v>
      </c>
      <c r="J38" s="77">
        <f t="shared" si="9"/>
        <v>0</v>
      </c>
      <c r="K38" s="77">
        <f t="shared" si="9"/>
        <v>0</v>
      </c>
      <c r="L38" s="77">
        <f t="shared" si="9"/>
        <v>0</v>
      </c>
      <c r="M38" s="77">
        <f t="shared" si="9"/>
        <v>0</v>
      </c>
      <c r="N38" s="77">
        <f t="shared" si="9"/>
        <v>0</v>
      </c>
      <c r="O38" s="77">
        <f t="shared" si="9"/>
        <v>0</v>
      </c>
      <c r="P38" s="77">
        <f t="shared" si="9"/>
        <v>0</v>
      </c>
      <c r="Q38" s="77">
        <f t="shared" si="9"/>
        <v>0</v>
      </c>
      <c r="R38" s="77">
        <f t="shared" si="9"/>
        <v>0</v>
      </c>
      <c r="S38" s="77">
        <f>S39+S40</f>
        <v>0</v>
      </c>
    </row>
    <row r="39" spans="1:19" ht="12" x14ac:dyDescent="0.2">
      <c r="B39" s="2" t="s">
        <v>88</v>
      </c>
      <c r="C39" s="10">
        <v>41</v>
      </c>
      <c r="E39" s="11" t="s">
        <v>89</v>
      </c>
      <c r="G39" s="110" t="s">
        <v>90</v>
      </c>
      <c r="H39" s="76">
        <v>0</v>
      </c>
      <c r="I39" s="76">
        <v>0</v>
      </c>
      <c r="J39" s="76">
        <v>0</v>
      </c>
      <c r="K39" s="76">
        <v>0</v>
      </c>
      <c r="L39" s="76">
        <v>0</v>
      </c>
      <c r="M39" s="76">
        <v>0</v>
      </c>
      <c r="N39" s="76">
        <v>0</v>
      </c>
      <c r="O39" s="76">
        <v>0</v>
      </c>
      <c r="P39" s="76">
        <v>0</v>
      </c>
      <c r="Q39" s="76">
        <v>0</v>
      </c>
      <c r="R39" s="76">
        <v>0</v>
      </c>
      <c r="S39" s="76">
        <v>0</v>
      </c>
    </row>
    <row r="40" spans="1:19" ht="12" x14ac:dyDescent="0.2">
      <c r="B40" s="2" t="s">
        <v>91</v>
      </c>
      <c r="C40" s="10">
        <v>45</v>
      </c>
      <c r="E40" s="11" t="s">
        <v>89</v>
      </c>
      <c r="G40" s="110" t="s">
        <v>92</v>
      </c>
      <c r="H40" s="76">
        <v>0</v>
      </c>
      <c r="I40" s="76">
        <v>0</v>
      </c>
      <c r="J40" s="76">
        <v>0</v>
      </c>
      <c r="K40" s="76">
        <v>0</v>
      </c>
      <c r="L40" s="76">
        <v>0</v>
      </c>
      <c r="M40" s="76">
        <v>0</v>
      </c>
      <c r="N40" s="76">
        <v>0</v>
      </c>
      <c r="O40" s="76">
        <v>0</v>
      </c>
      <c r="P40" s="76">
        <v>0</v>
      </c>
      <c r="Q40" s="76">
        <v>0</v>
      </c>
      <c r="R40" s="76">
        <v>0</v>
      </c>
      <c r="S40" s="76">
        <v>0</v>
      </c>
    </row>
    <row r="41" spans="1:19" x14ac:dyDescent="0.2">
      <c r="A41" s="13"/>
      <c r="B41" s="2" t="s">
        <v>93</v>
      </c>
      <c r="C41" s="10" t="s">
        <v>94</v>
      </c>
      <c r="E41" s="23"/>
      <c r="F41" s="13"/>
      <c r="G41" s="110" t="s">
        <v>95</v>
      </c>
      <c r="H41" s="77">
        <f>SUM(H42:H45)</f>
        <v>0</v>
      </c>
      <c r="I41" s="77">
        <f t="shared" ref="I41:R41" si="10">SUM(I42:I45)</f>
        <v>0</v>
      </c>
      <c r="J41" s="77">
        <f t="shared" si="10"/>
        <v>0</v>
      </c>
      <c r="K41" s="77">
        <f t="shared" si="10"/>
        <v>0</v>
      </c>
      <c r="L41" s="77">
        <f t="shared" si="10"/>
        <v>0</v>
      </c>
      <c r="M41" s="77">
        <f t="shared" si="10"/>
        <v>0</v>
      </c>
      <c r="N41" s="77">
        <f t="shared" si="10"/>
        <v>-288</v>
      </c>
      <c r="O41" s="77">
        <f t="shared" si="10"/>
        <v>-1113</v>
      </c>
      <c r="P41" s="77">
        <f t="shared" si="10"/>
        <v>-1112</v>
      </c>
      <c r="Q41" s="77">
        <f t="shared" si="10"/>
        <v>-1114</v>
      </c>
      <c r="R41" s="77">
        <f t="shared" si="10"/>
        <v>-1113</v>
      </c>
      <c r="S41" s="77">
        <f>SUM(S42:S45)</f>
        <v>-1112</v>
      </c>
    </row>
    <row r="42" spans="1:19" ht="12" x14ac:dyDescent="0.2">
      <c r="B42" s="2" t="s">
        <v>96</v>
      </c>
      <c r="C42" s="10">
        <v>50</v>
      </c>
      <c r="E42" s="11" t="s">
        <v>89</v>
      </c>
      <c r="G42" s="110" t="s">
        <v>97</v>
      </c>
      <c r="H42" s="76">
        <v>0</v>
      </c>
      <c r="I42" s="76">
        <v>0</v>
      </c>
      <c r="J42" s="76">
        <v>0</v>
      </c>
      <c r="K42" s="76">
        <v>0</v>
      </c>
      <c r="L42" s="76">
        <v>0</v>
      </c>
      <c r="M42" s="76">
        <v>0</v>
      </c>
      <c r="N42" s="76">
        <v>-135</v>
      </c>
      <c r="O42" s="76">
        <v>-562</v>
      </c>
      <c r="P42" s="76">
        <v>-562</v>
      </c>
      <c r="Q42" s="76">
        <v>-562</v>
      </c>
      <c r="R42" s="76">
        <v>-562</v>
      </c>
      <c r="S42" s="76">
        <v>-562</v>
      </c>
    </row>
    <row r="43" spans="1:19" ht="12" x14ac:dyDescent="0.2">
      <c r="B43" s="2" t="s">
        <v>98</v>
      </c>
      <c r="C43" s="10">
        <v>55</v>
      </c>
      <c r="E43" s="11" t="s">
        <v>89</v>
      </c>
      <c r="G43" s="110" t="s">
        <v>99</v>
      </c>
      <c r="H43" s="76">
        <v>0</v>
      </c>
      <c r="I43" s="76">
        <v>0</v>
      </c>
      <c r="J43" s="76">
        <v>0</v>
      </c>
      <c r="K43" s="76">
        <v>0</v>
      </c>
      <c r="L43" s="76">
        <v>0</v>
      </c>
      <c r="M43" s="76">
        <v>0</v>
      </c>
      <c r="N43" s="76">
        <v>-35</v>
      </c>
      <c r="O43" s="76">
        <v>-198</v>
      </c>
      <c r="P43" s="76">
        <v>-198</v>
      </c>
      <c r="Q43" s="76">
        <v>-200</v>
      </c>
      <c r="R43" s="76">
        <v>-200</v>
      </c>
      <c r="S43" s="76">
        <v>-200</v>
      </c>
    </row>
    <row r="44" spans="1:19" ht="12" x14ac:dyDescent="0.2">
      <c r="A44" s="13"/>
      <c r="B44" s="2" t="s">
        <v>100</v>
      </c>
      <c r="C44" s="10">
        <v>60</v>
      </c>
      <c r="E44" s="11" t="s">
        <v>89</v>
      </c>
      <c r="F44" s="13"/>
      <c r="G44" s="110" t="s">
        <v>101</v>
      </c>
      <c r="H44" s="76">
        <v>0</v>
      </c>
      <c r="I44" s="76">
        <v>0</v>
      </c>
      <c r="J44" s="76">
        <v>0</v>
      </c>
      <c r="K44" s="76">
        <v>0</v>
      </c>
      <c r="L44" s="76">
        <v>0</v>
      </c>
      <c r="M44" s="76">
        <v>0</v>
      </c>
      <c r="N44" s="76">
        <v>0</v>
      </c>
      <c r="O44" s="76">
        <v>-2</v>
      </c>
      <c r="P44" s="76">
        <v>-2</v>
      </c>
      <c r="Q44" s="76">
        <v>-2</v>
      </c>
      <c r="R44" s="76">
        <v>-2</v>
      </c>
      <c r="S44" s="76">
        <v>-2</v>
      </c>
    </row>
    <row r="45" spans="1:19" ht="12" x14ac:dyDescent="0.2">
      <c r="B45" s="2" t="s">
        <v>102</v>
      </c>
      <c r="C45" s="10">
        <v>61</v>
      </c>
      <c r="E45" s="11" t="s">
        <v>89</v>
      </c>
      <c r="G45" s="110" t="s">
        <v>103</v>
      </c>
      <c r="H45" s="76">
        <v>0</v>
      </c>
      <c r="I45" s="76">
        <v>0</v>
      </c>
      <c r="J45" s="76">
        <v>0</v>
      </c>
      <c r="K45" s="76">
        <v>0</v>
      </c>
      <c r="L45" s="76">
        <v>0</v>
      </c>
      <c r="M45" s="76">
        <v>0</v>
      </c>
      <c r="N45" s="76">
        <v>-118</v>
      </c>
      <c r="O45" s="76">
        <v>-351</v>
      </c>
      <c r="P45" s="76">
        <v>-350</v>
      </c>
      <c r="Q45" s="76">
        <v>-350</v>
      </c>
      <c r="R45" s="76">
        <v>-349</v>
      </c>
      <c r="S45" s="76">
        <v>-348</v>
      </c>
    </row>
    <row r="46" spans="1:19" x14ac:dyDescent="0.2">
      <c r="B46" s="2" t="s">
        <v>104</v>
      </c>
      <c r="G46" s="110" t="s">
        <v>105</v>
      </c>
      <c r="H46" s="77">
        <f>H33+H38+H41</f>
        <v>0</v>
      </c>
      <c r="I46" s="77">
        <f t="shared" ref="I46:R46" si="11">I33+I38+I41</f>
        <v>0</v>
      </c>
      <c r="J46" s="77">
        <f t="shared" si="11"/>
        <v>0</v>
      </c>
      <c r="K46" s="77">
        <f t="shared" si="11"/>
        <v>0</v>
      </c>
      <c r="L46" s="77">
        <f t="shared" si="11"/>
        <v>0</v>
      </c>
      <c r="M46" s="77">
        <f t="shared" si="11"/>
        <v>0</v>
      </c>
      <c r="N46" s="77">
        <f t="shared" si="11"/>
        <v>-109</v>
      </c>
      <c r="O46" s="77">
        <f t="shared" si="11"/>
        <v>101</v>
      </c>
      <c r="P46" s="77">
        <f t="shared" si="11"/>
        <v>45</v>
      </c>
      <c r="Q46" s="77">
        <f t="shared" si="11"/>
        <v>-309</v>
      </c>
      <c r="R46" s="77">
        <f t="shared" si="11"/>
        <v>-342</v>
      </c>
      <c r="S46" s="77">
        <f>S33+S38+S41</f>
        <v>-338</v>
      </c>
    </row>
    <row r="47" spans="1:19" ht="12" x14ac:dyDescent="0.2">
      <c r="B47" s="2" t="s">
        <v>106</v>
      </c>
      <c r="C47" s="10">
        <v>65</v>
      </c>
      <c r="E47" s="11" t="s">
        <v>72</v>
      </c>
      <c r="G47" s="110" t="s">
        <v>107</v>
      </c>
      <c r="H47" s="76">
        <v>0</v>
      </c>
      <c r="I47" s="76">
        <v>0</v>
      </c>
      <c r="J47" s="76">
        <v>0</v>
      </c>
      <c r="K47" s="76">
        <v>0</v>
      </c>
      <c r="L47" s="76">
        <v>0</v>
      </c>
      <c r="M47" s="76">
        <v>0</v>
      </c>
      <c r="N47" s="76">
        <v>0</v>
      </c>
      <c r="O47" s="76">
        <v>0</v>
      </c>
      <c r="P47" s="76">
        <v>0</v>
      </c>
      <c r="Q47" s="76">
        <v>0</v>
      </c>
      <c r="R47" s="76">
        <v>0</v>
      </c>
      <c r="S47" s="76">
        <v>0</v>
      </c>
    </row>
    <row r="48" spans="1:19" x14ac:dyDescent="0.2">
      <c r="B48" s="2" t="s">
        <v>108</v>
      </c>
      <c r="G48" s="110" t="s">
        <v>109</v>
      </c>
      <c r="H48" s="77">
        <f>H46+H47</f>
        <v>0</v>
      </c>
      <c r="I48" s="77">
        <f t="shared" ref="I48:R48" si="12">I46+I47</f>
        <v>0</v>
      </c>
      <c r="J48" s="77">
        <f t="shared" si="12"/>
        <v>0</v>
      </c>
      <c r="K48" s="77">
        <f t="shared" si="12"/>
        <v>0</v>
      </c>
      <c r="L48" s="77">
        <f t="shared" si="12"/>
        <v>0</v>
      </c>
      <c r="M48" s="77">
        <f t="shared" si="12"/>
        <v>0</v>
      </c>
      <c r="N48" s="77">
        <f t="shared" si="12"/>
        <v>-109</v>
      </c>
      <c r="O48" s="77">
        <f t="shared" si="12"/>
        <v>101</v>
      </c>
      <c r="P48" s="77">
        <f t="shared" si="12"/>
        <v>45</v>
      </c>
      <c r="Q48" s="77">
        <f t="shared" si="12"/>
        <v>-309</v>
      </c>
      <c r="R48" s="77">
        <f t="shared" si="12"/>
        <v>-342</v>
      </c>
      <c r="S48" s="77">
        <f>S46+S47</f>
        <v>-338</v>
      </c>
    </row>
    <row r="49" spans="1:19" ht="12" x14ac:dyDescent="0.2">
      <c r="B49" s="2" t="s">
        <v>110</v>
      </c>
      <c r="C49" s="10">
        <v>68</v>
      </c>
      <c r="E49" s="11" t="s">
        <v>89</v>
      </c>
      <c r="G49" s="110" t="s">
        <v>111</v>
      </c>
      <c r="H49" s="76">
        <v>0</v>
      </c>
      <c r="I49" s="76">
        <v>0</v>
      </c>
      <c r="J49" s="76">
        <v>0</v>
      </c>
      <c r="K49" s="76">
        <v>0</v>
      </c>
      <c r="L49" s="76">
        <v>0</v>
      </c>
      <c r="M49" s="76">
        <v>0</v>
      </c>
      <c r="N49" s="76">
        <v>0</v>
      </c>
      <c r="O49" s="76">
        <v>0</v>
      </c>
      <c r="P49" s="76">
        <v>0</v>
      </c>
      <c r="Q49" s="76">
        <v>0</v>
      </c>
      <c r="R49" s="76">
        <v>0</v>
      </c>
      <c r="S49" s="76">
        <v>0</v>
      </c>
    </row>
    <row r="50" spans="1:19" ht="12" x14ac:dyDescent="0.2">
      <c r="B50" s="2" t="s">
        <v>112</v>
      </c>
      <c r="C50" s="10">
        <v>69</v>
      </c>
      <c r="E50" s="11" t="s">
        <v>11</v>
      </c>
      <c r="G50" s="110" t="s">
        <v>113</v>
      </c>
      <c r="H50" s="76">
        <v>0</v>
      </c>
      <c r="I50" s="76">
        <v>0</v>
      </c>
      <c r="J50" s="76">
        <v>0</v>
      </c>
      <c r="K50" s="76">
        <v>0</v>
      </c>
      <c r="L50" s="76">
        <v>0</v>
      </c>
      <c r="M50" s="76">
        <v>0</v>
      </c>
      <c r="N50" s="76">
        <v>0</v>
      </c>
      <c r="O50" s="76">
        <v>0</v>
      </c>
      <c r="P50" s="76">
        <v>0</v>
      </c>
      <c r="Q50" s="76">
        <v>0</v>
      </c>
      <c r="R50" s="76">
        <v>0</v>
      </c>
      <c r="S50" s="76">
        <v>0</v>
      </c>
    </row>
    <row r="51" spans="1:19" x14ac:dyDescent="0.2">
      <c r="B51" s="2" t="s">
        <v>114</v>
      </c>
      <c r="G51" s="110" t="s">
        <v>115</v>
      </c>
      <c r="H51" s="77">
        <f>H48+H49+H50</f>
        <v>0</v>
      </c>
      <c r="I51" s="77">
        <f t="shared" ref="I51:R51" si="13">I48+I49+I50</f>
        <v>0</v>
      </c>
      <c r="J51" s="77">
        <f t="shared" si="13"/>
        <v>0</v>
      </c>
      <c r="K51" s="77">
        <f t="shared" si="13"/>
        <v>0</v>
      </c>
      <c r="L51" s="77">
        <f t="shared" si="13"/>
        <v>0</v>
      </c>
      <c r="M51" s="77">
        <f t="shared" si="13"/>
        <v>0</v>
      </c>
      <c r="N51" s="77">
        <f t="shared" si="13"/>
        <v>-109</v>
      </c>
      <c r="O51" s="77">
        <f t="shared" si="13"/>
        <v>101</v>
      </c>
      <c r="P51" s="77">
        <f t="shared" si="13"/>
        <v>45</v>
      </c>
      <c r="Q51" s="77">
        <f t="shared" si="13"/>
        <v>-309</v>
      </c>
      <c r="R51" s="77">
        <f t="shared" si="13"/>
        <v>-342</v>
      </c>
      <c r="S51" s="77">
        <f>S48+S49+S50</f>
        <v>-338</v>
      </c>
    </row>
    <row r="52" spans="1:19" x14ac:dyDescent="0.2">
      <c r="A52" s="24"/>
      <c r="C52" s="25"/>
      <c r="D52" s="25"/>
      <c r="E52" s="26"/>
      <c r="F52" s="24"/>
      <c r="G52" s="440" t="s">
        <v>116</v>
      </c>
      <c r="H52" s="85">
        <f>H30-H51</f>
        <v>0</v>
      </c>
      <c r="I52" s="85">
        <f t="shared" ref="I52:R52" si="14">I30-I51</f>
        <v>0</v>
      </c>
      <c r="J52" s="85">
        <f t="shared" si="14"/>
        <v>0</v>
      </c>
      <c r="K52" s="85">
        <f t="shared" si="14"/>
        <v>0</v>
      </c>
      <c r="L52" s="85">
        <f t="shared" si="14"/>
        <v>0</v>
      </c>
      <c r="M52" s="85">
        <f t="shared" si="14"/>
        <v>0</v>
      </c>
      <c r="N52" s="85">
        <f t="shared" si="14"/>
        <v>0</v>
      </c>
      <c r="O52" s="85">
        <f t="shared" si="14"/>
        <v>0</v>
      </c>
      <c r="P52" s="85">
        <f t="shared" si="14"/>
        <v>0</v>
      </c>
      <c r="Q52" s="85">
        <f t="shared" si="14"/>
        <v>0</v>
      </c>
      <c r="R52" s="85">
        <f t="shared" si="14"/>
        <v>0</v>
      </c>
      <c r="S52" s="85">
        <f>S30-S51</f>
        <v>0</v>
      </c>
    </row>
    <row r="53" spans="1:19" x14ac:dyDescent="0.2">
      <c r="G53" s="27" t="s">
        <v>117</v>
      </c>
    </row>
    <row r="54" spans="1:19" ht="12" x14ac:dyDescent="0.2">
      <c r="C54" s="10">
        <v>90</v>
      </c>
      <c r="E54" s="11" t="s">
        <v>11</v>
      </c>
      <c r="G54" s="27" t="s">
        <v>118</v>
      </c>
      <c r="H54" s="76">
        <v>0</v>
      </c>
      <c r="I54" s="76">
        <v>0</v>
      </c>
      <c r="J54" s="76">
        <v>0</v>
      </c>
      <c r="K54" s="76">
        <v>0</v>
      </c>
      <c r="L54" s="76">
        <v>0</v>
      </c>
      <c r="M54" s="76">
        <v>0</v>
      </c>
      <c r="N54" s="76">
        <v>44</v>
      </c>
      <c r="O54" s="76">
        <v>45</v>
      </c>
      <c r="P54" s="76">
        <v>45</v>
      </c>
      <c r="Q54" s="76">
        <v>45</v>
      </c>
      <c r="R54" s="76">
        <v>45</v>
      </c>
      <c r="S54" s="76">
        <v>45</v>
      </c>
    </row>
    <row r="55" spans="1:19" ht="12" x14ac:dyDescent="0.2">
      <c r="E55" s="11" t="s">
        <v>11</v>
      </c>
      <c r="G55" s="27" t="s">
        <v>119</v>
      </c>
      <c r="H55" s="76"/>
      <c r="I55" s="76"/>
      <c r="J55" s="76"/>
      <c r="K55" s="76"/>
      <c r="L55" s="88"/>
      <c r="M55" s="88"/>
      <c r="N55" s="88"/>
      <c r="O55" s="88"/>
      <c r="P55" s="88"/>
      <c r="Q55" s="88"/>
      <c r="R55" s="88"/>
      <c r="S55" s="88"/>
    </row>
    <row r="57" spans="1:19" x14ac:dyDescent="0.2">
      <c r="D57" s="29" t="s">
        <v>120</v>
      </c>
      <c r="E57" s="30" t="s">
        <v>3</v>
      </c>
      <c r="F57" s="9"/>
      <c r="G57" s="94" t="s">
        <v>121</v>
      </c>
      <c r="H57" s="87">
        <f>H32</f>
        <v>2011</v>
      </c>
      <c r="I57" s="87">
        <f t="shared" ref="I57:R57" si="15">I32</f>
        <v>2012</v>
      </c>
      <c r="J57" s="87">
        <f t="shared" si="15"/>
        <v>2013</v>
      </c>
      <c r="K57" s="87">
        <f t="shared" si="15"/>
        <v>2014</v>
      </c>
      <c r="L57" s="87">
        <f t="shared" si="15"/>
        <v>2015</v>
      </c>
      <c r="M57" s="87">
        <f t="shared" si="15"/>
        <v>2016</v>
      </c>
      <c r="N57" s="87">
        <f t="shared" si="15"/>
        <v>2017</v>
      </c>
      <c r="O57" s="87">
        <f t="shared" si="15"/>
        <v>2018</v>
      </c>
      <c r="P57" s="87">
        <f t="shared" si="15"/>
        <v>2019</v>
      </c>
      <c r="Q57" s="87">
        <f t="shared" si="15"/>
        <v>2020</v>
      </c>
      <c r="R57" s="87">
        <f t="shared" si="15"/>
        <v>2021</v>
      </c>
      <c r="S57" s="87">
        <f>S32</f>
        <v>2022</v>
      </c>
    </row>
    <row r="58" spans="1:19" ht="11.25" customHeight="1" x14ac:dyDescent="0.2">
      <c r="B58" s="31" t="s">
        <v>122</v>
      </c>
      <c r="C58" s="8" t="s">
        <v>123</v>
      </c>
      <c r="D58" s="32" t="s">
        <v>124</v>
      </c>
      <c r="E58" s="11" t="s">
        <v>89</v>
      </c>
      <c r="F58" s="12"/>
      <c r="G58" s="103" t="s">
        <v>125</v>
      </c>
      <c r="H58" s="76">
        <v>0</v>
      </c>
      <c r="I58" s="76">
        <v>0</v>
      </c>
      <c r="J58" s="76">
        <v>0</v>
      </c>
      <c r="K58" s="76">
        <v>0</v>
      </c>
      <c r="L58" s="76">
        <v>0</v>
      </c>
      <c r="M58" s="76">
        <v>0</v>
      </c>
      <c r="N58" s="76">
        <v>-39</v>
      </c>
      <c r="O58" s="76">
        <v>-482</v>
      </c>
      <c r="P58" s="76">
        <v>-395</v>
      </c>
      <c r="Q58" s="76">
        <v>-39</v>
      </c>
      <c r="R58" s="76">
        <v>0</v>
      </c>
      <c r="S58" s="76">
        <v>0</v>
      </c>
    </row>
    <row r="59" spans="1:19" ht="12" x14ac:dyDescent="0.2">
      <c r="B59" s="31" t="s">
        <v>126</v>
      </c>
      <c r="C59" s="33" t="s">
        <v>127</v>
      </c>
      <c r="D59" s="32" t="s">
        <v>128</v>
      </c>
      <c r="E59" s="11" t="s">
        <v>11</v>
      </c>
      <c r="F59" s="12"/>
      <c r="G59" s="158" t="s">
        <v>129</v>
      </c>
      <c r="H59" s="76">
        <v>0</v>
      </c>
      <c r="I59" s="76">
        <v>0</v>
      </c>
      <c r="J59" s="76">
        <v>0</v>
      </c>
      <c r="K59" s="76">
        <v>0</v>
      </c>
      <c r="L59" s="76">
        <v>0</v>
      </c>
      <c r="M59" s="76">
        <v>0</v>
      </c>
      <c r="N59" s="76">
        <v>0</v>
      </c>
      <c r="O59" s="76">
        <v>0</v>
      </c>
      <c r="P59" s="76">
        <v>0</v>
      </c>
      <c r="Q59" s="76">
        <v>0</v>
      </c>
      <c r="R59" s="76">
        <v>0</v>
      </c>
      <c r="S59" s="76">
        <v>0</v>
      </c>
    </row>
    <row r="60" spans="1:19" ht="12" x14ac:dyDescent="0.2">
      <c r="B60" s="31" t="s">
        <v>130</v>
      </c>
      <c r="C60" s="34" t="s">
        <v>492</v>
      </c>
      <c r="D60" s="32" t="s">
        <v>131</v>
      </c>
      <c r="E60" s="11" t="s">
        <v>11</v>
      </c>
      <c r="F60" s="12"/>
      <c r="G60" s="110" t="s">
        <v>132</v>
      </c>
      <c r="H60" s="76">
        <v>0</v>
      </c>
      <c r="I60" s="76">
        <v>0</v>
      </c>
      <c r="J60" s="76">
        <v>0</v>
      </c>
      <c r="K60" s="76">
        <v>0</v>
      </c>
      <c r="L60" s="76">
        <v>0</v>
      </c>
      <c r="M60" s="76">
        <v>0</v>
      </c>
      <c r="N60" s="76">
        <v>39</v>
      </c>
      <c r="O60" s="76">
        <v>482</v>
      </c>
      <c r="P60" s="76">
        <v>395</v>
      </c>
      <c r="Q60" s="76">
        <v>39</v>
      </c>
      <c r="R60" s="76">
        <v>0</v>
      </c>
      <c r="S60" s="76">
        <v>0</v>
      </c>
    </row>
    <row r="61" spans="1:19" ht="12" x14ac:dyDescent="0.2">
      <c r="B61" s="31" t="s">
        <v>133</v>
      </c>
      <c r="C61" s="34" t="s">
        <v>134</v>
      </c>
      <c r="D61" s="34" t="s">
        <v>135</v>
      </c>
      <c r="E61" s="11" t="s">
        <v>89</v>
      </c>
      <c r="F61" s="12"/>
      <c r="G61" s="110" t="s">
        <v>136</v>
      </c>
      <c r="H61" s="76">
        <v>0</v>
      </c>
      <c r="I61" s="76">
        <v>0</v>
      </c>
      <c r="J61" s="76">
        <v>0</v>
      </c>
      <c r="K61" s="76">
        <v>0</v>
      </c>
      <c r="L61" s="76">
        <v>0</v>
      </c>
      <c r="M61" s="76">
        <v>0</v>
      </c>
      <c r="N61" s="76">
        <v>0</v>
      </c>
      <c r="O61" s="76">
        <v>0</v>
      </c>
      <c r="P61" s="76">
        <v>0</v>
      </c>
      <c r="Q61" s="76">
        <v>0</v>
      </c>
      <c r="R61" s="76">
        <v>0</v>
      </c>
      <c r="S61" s="76">
        <v>0</v>
      </c>
    </row>
    <row r="62" spans="1:19" ht="12" x14ac:dyDescent="0.2">
      <c r="B62" s="31" t="s">
        <v>137</v>
      </c>
      <c r="C62" s="10">
        <v>253800</v>
      </c>
      <c r="D62" s="34" t="s">
        <v>131</v>
      </c>
      <c r="E62" s="11" t="s">
        <v>11</v>
      </c>
      <c r="F62" s="12"/>
      <c r="G62" s="110" t="s">
        <v>138</v>
      </c>
      <c r="H62" s="76">
        <v>0</v>
      </c>
      <c r="I62" s="76">
        <v>0</v>
      </c>
      <c r="J62" s="76">
        <v>0</v>
      </c>
      <c r="K62" s="76">
        <v>0</v>
      </c>
      <c r="L62" s="76">
        <v>0</v>
      </c>
      <c r="M62" s="76">
        <v>0</v>
      </c>
      <c r="N62" s="76">
        <v>0</v>
      </c>
      <c r="O62" s="76">
        <v>0</v>
      </c>
      <c r="P62" s="76">
        <v>0</v>
      </c>
      <c r="Q62" s="76">
        <v>0</v>
      </c>
      <c r="R62" s="76">
        <v>0</v>
      </c>
      <c r="S62" s="76">
        <v>0</v>
      </c>
    </row>
    <row r="63" spans="1:19" ht="12" x14ac:dyDescent="0.2">
      <c r="B63" s="31" t="s">
        <v>139</v>
      </c>
      <c r="C63" s="10">
        <v>150</v>
      </c>
      <c r="D63" s="34" t="s">
        <v>135</v>
      </c>
      <c r="E63" s="11" t="s">
        <v>89</v>
      </c>
      <c r="F63" s="12"/>
      <c r="G63" s="110" t="s">
        <v>140</v>
      </c>
      <c r="H63" s="76">
        <v>0</v>
      </c>
      <c r="I63" s="76">
        <v>0</v>
      </c>
      <c r="J63" s="76">
        <v>0</v>
      </c>
      <c r="K63" s="76">
        <v>0</v>
      </c>
      <c r="L63" s="76">
        <v>0</v>
      </c>
      <c r="M63" s="76">
        <v>0</v>
      </c>
      <c r="N63" s="76">
        <v>0</v>
      </c>
      <c r="O63" s="76">
        <v>0</v>
      </c>
      <c r="P63" s="76">
        <v>0</v>
      </c>
      <c r="Q63" s="76">
        <v>0</v>
      </c>
      <c r="R63" s="76">
        <v>0</v>
      </c>
      <c r="S63" s="76">
        <v>0</v>
      </c>
    </row>
    <row r="64" spans="1:19" ht="12" x14ac:dyDescent="0.2">
      <c r="B64" s="31" t="s">
        <v>141</v>
      </c>
      <c r="C64" s="34" t="s">
        <v>142</v>
      </c>
      <c r="D64" s="34" t="s">
        <v>131</v>
      </c>
      <c r="E64" s="11" t="s">
        <v>11</v>
      </c>
      <c r="F64" s="12"/>
      <c r="G64" s="110" t="s">
        <v>143</v>
      </c>
      <c r="H64" s="76">
        <v>0</v>
      </c>
      <c r="I64" s="76">
        <v>0</v>
      </c>
      <c r="J64" s="76">
        <v>0</v>
      </c>
      <c r="K64" s="76">
        <v>0</v>
      </c>
      <c r="L64" s="76">
        <v>0</v>
      </c>
      <c r="M64" s="76">
        <v>0</v>
      </c>
      <c r="N64" s="76">
        <v>0</v>
      </c>
      <c r="O64" s="76">
        <v>0</v>
      </c>
      <c r="P64" s="76">
        <v>0</v>
      </c>
      <c r="Q64" s="76">
        <v>0</v>
      </c>
      <c r="R64" s="76">
        <v>0</v>
      </c>
      <c r="S64" s="76">
        <v>0</v>
      </c>
    </row>
    <row r="65" spans="2:19" ht="12" x14ac:dyDescent="0.2">
      <c r="B65" s="31" t="s">
        <v>144</v>
      </c>
      <c r="C65" s="8" t="s">
        <v>493</v>
      </c>
      <c r="D65" s="34" t="s">
        <v>135</v>
      </c>
      <c r="E65" s="11" t="s">
        <v>89</v>
      </c>
      <c r="F65" s="12"/>
      <c r="G65" s="110" t="s">
        <v>145</v>
      </c>
      <c r="H65" s="76">
        <v>0</v>
      </c>
      <c r="I65" s="76">
        <v>0</v>
      </c>
      <c r="J65" s="76">
        <v>0</v>
      </c>
      <c r="K65" s="76">
        <v>0</v>
      </c>
      <c r="L65" s="76">
        <v>0</v>
      </c>
      <c r="M65" s="76">
        <v>0</v>
      </c>
      <c r="N65" s="76">
        <v>0</v>
      </c>
      <c r="O65" s="76">
        <v>0</v>
      </c>
      <c r="P65" s="76">
        <v>0</v>
      </c>
      <c r="Q65" s="76">
        <v>0</v>
      </c>
      <c r="R65" s="76">
        <v>0</v>
      </c>
      <c r="S65" s="76">
        <v>0</v>
      </c>
    </row>
    <row r="66" spans="2:19" ht="12" x14ac:dyDescent="0.2">
      <c r="B66" s="31" t="s">
        <v>146</v>
      </c>
      <c r="C66" s="8" t="s">
        <v>493</v>
      </c>
      <c r="D66" s="34" t="s">
        <v>131</v>
      </c>
      <c r="E66" s="11" t="s">
        <v>11</v>
      </c>
      <c r="F66" s="12"/>
      <c r="G66" s="110" t="s">
        <v>147</v>
      </c>
      <c r="H66" s="76">
        <v>0</v>
      </c>
      <c r="I66" s="76">
        <v>0</v>
      </c>
      <c r="J66" s="76">
        <v>0</v>
      </c>
      <c r="K66" s="76">
        <v>0</v>
      </c>
      <c r="L66" s="76">
        <v>0</v>
      </c>
      <c r="M66" s="76">
        <v>0</v>
      </c>
      <c r="N66" s="76">
        <v>0</v>
      </c>
      <c r="O66" s="76">
        <v>0</v>
      </c>
      <c r="P66" s="76">
        <v>0</v>
      </c>
      <c r="Q66" s="76">
        <v>0</v>
      </c>
      <c r="R66" s="76">
        <v>0</v>
      </c>
      <c r="S66" s="76">
        <v>0</v>
      </c>
    </row>
    <row r="67" spans="2:19" ht="12" x14ac:dyDescent="0.2">
      <c r="B67" s="31" t="s">
        <v>148</v>
      </c>
      <c r="C67" s="8" t="s">
        <v>149</v>
      </c>
      <c r="D67" s="34" t="s">
        <v>135</v>
      </c>
      <c r="E67" s="11" t="s">
        <v>89</v>
      </c>
      <c r="F67" s="12"/>
      <c r="G67" s="110" t="s">
        <v>150</v>
      </c>
      <c r="H67" s="76">
        <v>0</v>
      </c>
      <c r="I67" s="76">
        <v>0</v>
      </c>
      <c r="J67" s="76">
        <v>0</v>
      </c>
      <c r="K67" s="76">
        <v>0</v>
      </c>
      <c r="L67" s="76">
        <v>0</v>
      </c>
      <c r="M67" s="76">
        <v>0</v>
      </c>
      <c r="N67" s="76">
        <v>0</v>
      </c>
      <c r="O67" s="76">
        <v>0</v>
      </c>
      <c r="P67" s="76">
        <v>0</v>
      </c>
      <c r="Q67" s="76">
        <v>0</v>
      </c>
      <c r="R67" s="76">
        <v>0</v>
      </c>
      <c r="S67" s="76">
        <v>0</v>
      </c>
    </row>
    <row r="68" spans="2:19" ht="12" x14ac:dyDescent="0.2">
      <c r="B68" s="31" t="s">
        <v>151</v>
      </c>
      <c r="C68" s="8" t="s">
        <v>149</v>
      </c>
      <c r="D68" s="34" t="s">
        <v>131</v>
      </c>
      <c r="E68" s="11" t="s">
        <v>11</v>
      </c>
      <c r="F68" s="12"/>
      <c r="G68" s="110" t="s">
        <v>152</v>
      </c>
      <c r="H68" s="76">
        <v>0</v>
      </c>
      <c r="I68" s="76">
        <v>0</v>
      </c>
      <c r="J68" s="76">
        <v>0</v>
      </c>
      <c r="K68" s="76">
        <v>0</v>
      </c>
      <c r="L68" s="76">
        <v>0</v>
      </c>
      <c r="M68" s="76">
        <v>0</v>
      </c>
      <c r="N68" s="76">
        <v>0</v>
      </c>
      <c r="O68" s="76">
        <v>0</v>
      </c>
      <c r="P68" s="76">
        <v>0</v>
      </c>
      <c r="Q68" s="76">
        <v>0</v>
      </c>
      <c r="R68" s="76">
        <v>0</v>
      </c>
      <c r="S68" s="76">
        <v>0</v>
      </c>
    </row>
    <row r="69" spans="2:19" ht="12" x14ac:dyDescent="0.2">
      <c r="B69" s="31" t="s">
        <v>153</v>
      </c>
      <c r="C69" s="34" t="s">
        <v>142</v>
      </c>
      <c r="D69" s="34" t="s">
        <v>131</v>
      </c>
      <c r="E69" s="11" t="s">
        <v>11</v>
      </c>
      <c r="F69" s="12"/>
      <c r="G69" s="110" t="s">
        <v>154</v>
      </c>
      <c r="H69" s="76">
        <v>0</v>
      </c>
      <c r="I69" s="76">
        <v>0</v>
      </c>
      <c r="J69" s="76">
        <v>0</v>
      </c>
      <c r="K69" s="76">
        <v>0</v>
      </c>
      <c r="L69" s="76">
        <v>0</v>
      </c>
      <c r="M69" s="76">
        <v>0</v>
      </c>
      <c r="N69" s="76">
        <v>0</v>
      </c>
      <c r="O69" s="76">
        <v>0</v>
      </c>
      <c r="P69" s="76">
        <v>0</v>
      </c>
      <c r="Q69" s="76">
        <v>0</v>
      </c>
      <c r="R69" s="76">
        <v>0</v>
      </c>
      <c r="S69" s="76">
        <v>0</v>
      </c>
    </row>
    <row r="70" spans="2:19" ht="12" x14ac:dyDescent="0.2">
      <c r="B70" s="31" t="s">
        <v>155</v>
      </c>
      <c r="C70" s="35" t="s">
        <v>156</v>
      </c>
      <c r="D70" s="8"/>
      <c r="E70" s="11" t="s">
        <v>72</v>
      </c>
      <c r="F70" s="12"/>
      <c r="G70" s="110" t="s">
        <v>107</v>
      </c>
      <c r="H70" s="76">
        <v>0</v>
      </c>
      <c r="I70" s="76">
        <v>0</v>
      </c>
      <c r="J70" s="76">
        <v>0</v>
      </c>
      <c r="K70" s="76">
        <v>0</v>
      </c>
      <c r="L70" s="76">
        <v>0</v>
      </c>
      <c r="M70" s="76">
        <v>0</v>
      </c>
      <c r="N70" s="76">
        <v>0</v>
      </c>
      <c r="O70" s="76">
        <v>0</v>
      </c>
      <c r="P70" s="76">
        <v>0</v>
      </c>
      <c r="Q70" s="76">
        <v>0</v>
      </c>
      <c r="R70" s="76">
        <v>0</v>
      </c>
      <c r="S70" s="76">
        <v>0</v>
      </c>
    </row>
    <row r="71" spans="2:19" x14ac:dyDescent="0.2">
      <c r="B71" s="31" t="s">
        <v>157</v>
      </c>
      <c r="D71" s="8"/>
      <c r="E71" s="12"/>
      <c r="F71" s="12"/>
      <c r="G71" s="100" t="s">
        <v>158</v>
      </c>
      <c r="H71" s="77">
        <f t="shared" ref="H71:R71" si="16">SUM(H58:H70)</f>
        <v>0</v>
      </c>
      <c r="I71" s="77">
        <f t="shared" si="16"/>
        <v>0</v>
      </c>
      <c r="J71" s="77">
        <f t="shared" si="16"/>
        <v>0</v>
      </c>
      <c r="K71" s="77">
        <f t="shared" si="16"/>
        <v>0</v>
      </c>
      <c r="L71" s="77">
        <f t="shared" si="16"/>
        <v>0</v>
      </c>
      <c r="M71" s="77">
        <f t="shared" si="16"/>
        <v>0</v>
      </c>
      <c r="N71" s="77">
        <f t="shared" si="16"/>
        <v>0</v>
      </c>
      <c r="O71" s="77">
        <f t="shared" si="16"/>
        <v>0</v>
      </c>
      <c r="P71" s="77">
        <f t="shared" si="16"/>
        <v>0</v>
      </c>
      <c r="Q71" s="77">
        <f t="shared" si="16"/>
        <v>0</v>
      </c>
      <c r="R71" s="77">
        <f t="shared" si="16"/>
        <v>0</v>
      </c>
      <c r="S71" s="77">
        <f>SUM(S58:S70)</f>
        <v>0</v>
      </c>
    </row>
    <row r="72" spans="2:19" x14ac:dyDescent="0.2">
      <c r="D72" s="8"/>
    </row>
    <row r="73" spans="2:19" x14ac:dyDescent="0.2">
      <c r="D73" s="29" t="s">
        <v>120</v>
      </c>
      <c r="E73" s="30" t="s">
        <v>3</v>
      </c>
      <c r="F73" s="9"/>
      <c r="G73" s="94" t="s">
        <v>159</v>
      </c>
      <c r="H73" s="87">
        <f t="shared" ref="H73:R73" si="17">H57</f>
        <v>2011</v>
      </c>
      <c r="I73" s="87">
        <f t="shared" si="17"/>
        <v>2012</v>
      </c>
      <c r="J73" s="87">
        <f t="shared" si="17"/>
        <v>2013</v>
      </c>
      <c r="K73" s="87">
        <f t="shared" si="17"/>
        <v>2014</v>
      </c>
      <c r="L73" s="87">
        <f t="shared" si="17"/>
        <v>2015</v>
      </c>
      <c r="M73" s="87">
        <f t="shared" si="17"/>
        <v>2016</v>
      </c>
      <c r="N73" s="87">
        <f t="shared" si="17"/>
        <v>2017</v>
      </c>
      <c r="O73" s="87">
        <f t="shared" si="17"/>
        <v>2018</v>
      </c>
      <c r="P73" s="87">
        <f t="shared" si="17"/>
        <v>2019</v>
      </c>
      <c r="Q73" s="87">
        <f t="shared" si="17"/>
        <v>2020</v>
      </c>
      <c r="R73" s="87">
        <f t="shared" si="17"/>
        <v>2021</v>
      </c>
      <c r="S73" s="87">
        <f>S57</f>
        <v>2022</v>
      </c>
    </row>
    <row r="74" spans="2:19" ht="12" x14ac:dyDescent="0.2">
      <c r="B74" s="2" t="s">
        <v>160</v>
      </c>
      <c r="C74" s="34" t="s">
        <v>161</v>
      </c>
      <c r="D74" s="34" t="s">
        <v>128</v>
      </c>
      <c r="E74" s="11" t="s">
        <v>11</v>
      </c>
      <c r="G74" s="103" t="s">
        <v>162</v>
      </c>
      <c r="H74" s="76">
        <v>0</v>
      </c>
      <c r="I74" s="76">
        <v>0</v>
      </c>
      <c r="J74" s="76">
        <v>0</v>
      </c>
      <c r="K74" s="76">
        <v>0</v>
      </c>
      <c r="L74" s="76">
        <v>0</v>
      </c>
      <c r="M74" s="76">
        <v>0</v>
      </c>
      <c r="N74" s="76">
        <v>0</v>
      </c>
      <c r="O74" s="76">
        <v>0</v>
      </c>
      <c r="P74" s="76">
        <v>0</v>
      </c>
      <c r="Q74" s="76">
        <v>0</v>
      </c>
      <c r="R74" s="76">
        <v>0</v>
      </c>
      <c r="S74" s="76">
        <v>0</v>
      </c>
    </row>
    <row r="75" spans="2:19" ht="12" x14ac:dyDescent="0.2">
      <c r="B75" s="2" t="s">
        <v>163</v>
      </c>
      <c r="C75" s="34" t="s">
        <v>161</v>
      </c>
      <c r="D75" s="34" t="s">
        <v>124</v>
      </c>
      <c r="E75" s="11" t="s">
        <v>89</v>
      </c>
      <c r="F75" s="12"/>
      <c r="G75" s="110" t="s">
        <v>164</v>
      </c>
      <c r="H75" s="76">
        <v>0</v>
      </c>
      <c r="I75" s="76">
        <v>0</v>
      </c>
      <c r="J75" s="76">
        <v>0</v>
      </c>
      <c r="K75" s="76">
        <v>0</v>
      </c>
      <c r="L75" s="76">
        <v>0</v>
      </c>
      <c r="M75" s="76">
        <v>0</v>
      </c>
      <c r="N75" s="76">
        <v>0</v>
      </c>
      <c r="O75" s="76">
        <v>0</v>
      </c>
      <c r="P75" s="76">
        <v>0</v>
      </c>
      <c r="Q75" s="76">
        <v>0</v>
      </c>
      <c r="R75" s="76">
        <v>0</v>
      </c>
      <c r="S75" s="76">
        <v>0</v>
      </c>
    </row>
    <row r="76" spans="2:19" ht="12" x14ac:dyDescent="0.2">
      <c r="B76" s="2" t="s">
        <v>165</v>
      </c>
      <c r="C76" s="34" t="s">
        <v>166</v>
      </c>
      <c r="D76" s="34" t="s">
        <v>131</v>
      </c>
      <c r="E76" s="11" t="s">
        <v>11</v>
      </c>
      <c r="G76" s="110" t="s">
        <v>167</v>
      </c>
      <c r="H76" s="76">
        <v>0</v>
      </c>
      <c r="I76" s="76">
        <v>0</v>
      </c>
      <c r="J76" s="76">
        <v>0</v>
      </c>
      <c r="K76" s="76">
        <v>0</v>
      </c>
      <c r="L76" s="76">
        <v>0</v>
      </c>
      <c r="M76" s="76">
        <v>0</v>
      </c>
      <c r="N76" s="76">
        <v>0</v>
      </c>
      <c r="O76" s="76">
        <v>0</v>
      </c>
      <c r="P76" s="76">
        <v>0</v>
      </c>
      <c r="Q76" s="76">
        <v>0</v>
      </c>
      <c r="R76" s="76">
        <v>0</v>
      </c>
      <c r="S76" s="76">
        <v>0</v>
      </c>
    </row>
    <row r="77" spans="2:19" ht="12" x14ac:dyDescent="0.2">
      <c r="B77" s="2" t="s">
        <v>168</v>
      </c>
      <c r="C77" s="34" t="s">
        <v>166</v>
      </c>
      <c r="D77" s="34" t="s">
        <v>135</v>
      </c>
      <c r="E77" s="11" t="s">
        <v>89</v>
      </c>
      <c r="F77" s="12"/>
      <c r="G77" s="110" t="s">
        <v>169</v>
      </c>
      <c r="H77" s="76">
        <v>0</v>
      </c>
      <c r="I77" s="76">
        <v>0</v>
      </c>
      <c r="J77" s="76">
        <v>0</v>
      </c>
      <c r="K77" s="76">
        <v>0</v>
      </c>
      <c r="L77" s="76">
        <v>0</v>
      </c>
      <c r="M77" s="76">
        <v>0</v>
      </c>
      <c r="N77" s="76">
        <v>0</v>
      </c>
      <c r="O77" s="76">
        <v>0</v>
      </c>
      <c r="P77" s="76">
        <v>0</v>
      </c>
      <c r="Q77" s="76">
        <v>0</v>
      </c>
      <c r="R77" s="76">
        <v>0</v>
      </c>
      <c r="S77" s="76">
        <v>0</v>
      </c>
    </row>
    <row r="78" spans="2:19" ht="12" x14ac:dyDescent="0.2">
      <c r="B78" s="2" t="s">
        <v>170</v>
      </c>
      <c r="C78" s="34" t="s">
        <v>171</v>
      </c>
      <c r="D78" s="34" t="s">
        <v>135</v>
      </c>
      <c r="E78" s="11" t="s">
        <v>89</v>
      </c>
      <c r="F78" s="12"/>
      <c r="G78" s="110" t="s">
        <v>172</v>
      </c>
      <c r="H78" s="76">
        <v>0</v>
      </c>
      <c r="I78" s="76">
        <v>0</v>
      </c>
      <c r="J78" s="76">
        <v>0</v>
      </c>
      <c r="K78" s="76">
        <v>0</v>
      </c>
      <c r="L78" s="76">
        <v>0</v>
      </c>
      <c r="M78" s="76">
        <v>0</v>
      </c>
      <c r="N78" s="76">
        <v>0</v>
      </c>
      <c r="O78" s="76">
        <v>0</v>
      </c>
      <c r="P78" s="76">
        <v>0</v>
      </c>
      <c r="Q78" s="76">
        <v>0</v>
      </c>
      <c r="R78" s="76">
        <v>0</v>
      </c>
      <c r="S78" s="76">
        <v>0</v>
      </c>
    </row>
    <row r="79" spans="2:19" ht="12" x14ac:dyDescent="0.2">
      <c r="B79" s="2" t="s">
        <v>173</v>
      </c>
      <c r="C79" s="34" t="s">
        <v>174</v>
      </c>
      <c r="D79" s="34" t="s">
        <v>135</v>
      </c>
      <c r="E79" s="11" t="s">
        <v>89</v>
      </c>
      <c r="F79" s="12"/>
      <c r="G79" s="110" t="s">
        <v>175</v>
      </c>
      <c r="H79" s="76">
        <v>0</v>
      </c>
      <c r="I79" s="76">
        <v>0</v>
      </c>
      <c r="J79" s="76">
        <v>0</v>
      </c>
      <c r="K79" s="76">
        <v>0</v>
      </c>
      <c r="L79" s="76">
        <v>0</v>
      </c>
      <c r="M79" s="76">
        <v>0</v>
      </c>
      <c r="N79" s="76">
        <v>0</v>
      </c>
      <c r="O79" s="76">
        <v>0</v>
      </c>
      <c r="P79" s="76">
        <v>0</v>
      </c>
      <c r="Q79" s="76">
        <v>0</v>
      </c>
      <c r="R79" s="76">
        <v>0</v>
      </c>
      <c r="S79" s="76">
        <v>0</v>
      </c>
    </row>
    <row r="80" spans="2:19" ht="12" x14ac:dyDescent="0.2">
      <c r="B80" s="2" t="s">
        <v>176</v>
      </c>
      <c r="C80" s="34" t="s">
        <v>177</v>
      </c>
      <c r="D80" s="34" t="s">
        <v>135</v>
      </c>
      <c r="E80" s="11" t="s">
        <v>89</v>
      </c>
      <c r="F80" s="12"/>
      <c r="G80" s="110" t="s">
        <v>178</v>
      </c>
      <c r="H80" s="76">
        <v>0</v>
      </c>
      <c r="I80" s="76">
        <v>0</v>
      </c>
      <c r="J80" s="76">
        <v>0</v>
      </c>
      <c r="K80" s="76">
        <v>0</v>
      </c>
      <c r="L80" s="76">
        <v>0</v>
      </c>
      <c r="M80" s="76">
        <v>0</v>
      </c>
      <c r="N80" s="76">
        <v>0</v>
      </c>
      <c r="O80" s="76">
        <v>0</v>
      </c>
      <c r="P80" s="76">
        <v>0</v>
      </c>
      <c r="Q80" s="76">
        <v>0</v>
      </c>
      <c r="R80" s="76">
        <v>0</v>
      </c>
      <c r="S80" s="76">
        <v>0</v>
      </c>
    </row>
    <row r="81" spans="1:19" ht="12" x14ac:dyDescent="0.2">
      <c r="B81" s="2" t="s">
        <v>179</v>
      </c>
      <c r="C81" s="34" t="s">
        <v>52</v>
      </c>
      <c r="D81" s="34" t="s">
        <v>135</v>
      </c>
      <c r="E81" s="11" t="s">
        <v>89</v>
      </c>
      <c r="F81" s="12"/>
      <c r="G81" s="110" t="s">
        <v>180</v>
      </c>
      <c r="H81" s="76">
        <v>0</v>
      </c>
      <c r="I81" s="76">
        <v>0</v>
      </c>
      <c r="J81" s="76">
        <v>0</v>
      </c>
      <c r="K81" s="76">
        <v>0</v>
      </c>
      <c r="L81" s="76">
        <v>0</v>
      </c>
      <c r="M81" s="76">
        <v>0</v>
      </c>
      <c r="N81" s="76">
        <v>0</v>
      </c>
      <c r="O81" s="76">
        <v>0</v>
      </c>
      <c r="P81" s="76">
        <v>0</v>
      </c>
      <c r="Q81" s="76">
        <v>0</v>
      </c>
      <c r="R81" s="76">
        <v>0</v>
      </c>
      <c r="S81" s="76">
        <v>0</v>
      </c>
    </row>
    <row r="82" spans="1:19" ht="12" x14ac:dyDescent="0.2">
      <c r="B82" s="2" t="s">
        <v>181</v>
      </c>
      <c r="C82" s="34" t="s">
        <v>182</v>
      </c>
      <c r="D82" s="34" t="s">
        <v>131</v>
      </c>
      <c r="E82" s="11" t="s">
        <v>11</v>
      </c>
      <c r="G82" s="110" t="s">
        <v>183</v>
      </c>
      <c r="H82" s="76">
        <v>0</v>
      </c>
      <c r="I82" s="76">
        <v>0</v>
      </c>
      <c r="J82" s="76">
        <v>0</v>
      </c>
      <c r="K82" s="76">
        <v>0</v>
      </c>
      <c r="L82" s="76">
        <v>0</v>
      </c>
      <c r="M82" s="76">
        <v>0</v>
      </c>
      <c r="N82" s="76">
        <v>0</v>
      </c>
      <c r="O82" s="76">
        <v>0</v>
      </c>
      <c r="P82" s="76">
        <v>0</v>
      </c>
      <c r="Q82" s="76">
        <v>0</v>
      </c>
      <c r="R82" s="76">
        <v>0</v>
      </c>
      <c r="S82" s="76">
        <v>0</v>
      </c>
    </row>
    <row r="83" spans="1:19" ht="12" x14ac:dyDescent="0.2">
      <c r="B83" s="2" t="s">
        <v>184</v>
      </c>
      <c r="C83" s="34" t="s">
        <v>182</v>
      </c>
      <c r="D83" s="34" t="s">
        <v>135</v>
      </c>
      <c r="E83" s="11" t="s">
        <v>89</v>
      </c>
      <c r="F83" s="12"/>
      <c r="G83" s="110" t="s">
        <v>494</v>
      </c>
      <c r="H83" s="76">
        <v>0</v>
      </c>
      <c r="I83" s="76">
        <v>0</v>
      </c>
      <c r="J83" s="76">
        <v>0</v>
      </c>
      <c r="K83" s="76">
        <v>0</v>
      </c>
      <c r="L83" s="76">
        <v>0</v>
      </c>
      <c r="M83" s="76">
        <v>0</v>
      </c>
      <c r="N83" s="76">
        <v>0</v>
      </c>
      <c r="O83" s="76">
        <v>0</v>
      </c>
      <c r="P83" s="76">
        <v>0</v>
      </c>
      <c r="Q83" s="76">
        <v>0</v>
      </c>
      <c r="R83" s="76">
        <v>0</v>
      </c>
      <c r="S83" s="76">
        <v>0</v>
      </c>
    </row>
    <row r="84" spans="1:19" ht="12" x14ac:dyDescent="0.2">
      <c r="B84" s="2" t="s">
        <v>185</v>
      </c>
      <c r="C84" s="36">
        <v>68</v>
      </c>
      <c r="D84" s="34" t="s">
        <v>135</v>
      </c>
      <c r="E84" s="11" t="s">
        <v>89</v>
      </c>
      <c r="F84" s="12"/>
      <c r="G84" s="46" t="s">
        <v>111</v>
      </c>
      <c r="H84" s="76">
        <v>0</v>
      </c>
      <c r="I84" s="76">
        <v>0</v>
      </c>
      <c r="J84" s="76">
        <v>0</v>
      </c>
      <c r="K84" s="76">
        <v>0</v>
      </c>
      <c r="L84" s="76">
        <v>0</v>
      </c>
      <c r="M84" s="76">
        <v>0</v>
      </c>
      <c r="N84" s="76">
        <v>0</v>
      </c>
      <c r="O84" s="76">
        <v>0</v>
      </c>
      <c r="P84" s="76">
        <v>0</v>
      </c>
      <c r="Q84" s="76">
        <v>0</v>
      </c>
      <c r="R84" s="76">
        <v>0</v>
      </c>
      <c r="S84" s="76">
        <v>0</v>
      </c>
    </row>
    <row r="85" spans="1:19" x14ac:dyDescent="0.2">
      <c r="B85" s="2" t="s">
        <v>186</v>
      </c>
      <c r="G85" s="46" t="s">
        <v>158</v>
      </c>
      <c r="H85" s="77">
        <f t="shared" ref="H85:R85" si="18">SUM(H74:H84)</f>
        <v>0</v>
      </c>
      <c r="I85" s="77">
        <f t="shared" si="18"/>
        <v>0</v>
      </c>
      <c r="J85" s="77">
        <f t="shared" si="18"/>
        <v>0</v>
      </c>
      <c r="K85" s="77">
        <f t="shared" si="18"/>
        <v>0</v>
      </c>
      <c r="L85" s="77">
        <f t="shared" si="18"/>
        <v>0</v>
      </c>
      <c r="M85" s="77">
        <f t="shared" si="18"/>
        <v>0</v>
      </c>
      <c r="N85" s="77">
        <f t="shared" si="18"/>
        <v>0</v>
      </c>
      <c r="O85" s="77">
        <f t="shared" si="18"/>
        <v>0</v>
      </c>
      <c r="P85" s="77">
        <f t="shared" si="18"/>
        <v>0</v>
      </c>
      <c r="Q85" s="77">
        <f t="shared" si="18"/>
        <v>0</v>
      </c>
      <c r="R85" s="77">
        <f t="shared" si="18"/>
        <v>0</v>
      </c>
      <c r="S85" s="77">
        <f>SUM(S74:S84)</f>
        <v>0</v>
      </c>
    </row>
    <row r="87" spans="1:19" x14ac:dyDescent="0.2">
      <c r="A87" s="13" t="s">
        <v>0</v>
      </c>
      <c r="D87" s="753" t="s">
        <v>187</v>
      </c>
      <c r="E87" s="754"/>
      <c r="G87" s="94" t="s">
        <v>495</v>
      </c>
      <c r="H87" s="87">
        <f t="shared" ref="H87:R87" si="19">H32</f>
        <v>2011</v>
      </c>
      <c r="I87" s="87">
        <f t="shared" si="19"/>
        <v>2012</v>
      </c>
      <c r="J87" s="87">
        <f t="shared" si="19"/>
        <v>2013</v>
      </c>
      <c r="K87" s="87">
        <f t="shared" si="19"/>
        <v>2014</v>
      </c>
      <c r="L87" s="87">
        <f t="shared" si="19"/>
        <v>2015</v>
      </c>
      <c r="M87" s="87">
        <f t="shared" si="19"/>
        <v>2016</v>
      </c>
      <c r="N87" s="87">
        <f t="shared" si="19"/>
        <v>2017</v>
      </c>
      <c r="O87" s="87">
        <f t="shared" si="19"/>
        <v>2018</v>
      </c>
      <c r="P87" s="87">
        <f t="shared" si="19"/>
        <v>2019</v>
      </c>
      <c r="Q87" s="87">
        <f t="shared" si="19"/>
        <v>2020</v>
      </c>
      <c r="R87" s="87">
        <f t="shared" si="19"/>
        <v>2021</v>
      </c>
      <c r="S87" s="87">
        <f>S32</f>
        <v>2022</v>
      </c>
    </row>
    <row r="88" spans="1:19" x14ac:dyDescent="0.2">
      <c r="A88" s="8" t="s">
        <v>496</v>
      </c>
      <c r="B88" s="2" t="s">
        <v>188</v>
      </c>
      <c r="C88" s="8" t="s">
        <v>497</v>
      </c>
      <c r="E88" s="109"/>
      <c r="G88" s="103" t="s">
        <v>498</v>
      </c>
      <c r="H88" s="77">
        <f>H46+H71</f>
        <v>0</v>
      </c>
      <c r="I88" s="77">
        <f t="shared" ref="I88:R88" si="20">I46+I71</f>
        <v>0</v>
      </c>
      <c r="J88" s="77">
        <f t="shared" si="20"/>
        <v>0</v>
      </c>
      <c r="K88" s="77">
        <f t="shared" si="20"/>
        <v>0</v>
      </c>
      <c r="L88" s="77">
        <f t="shared" si="20"/>
        <v>0</v>
      </c>
      <c r="M88" s="77">
        <f t="shared" si="20"/>
        <v>0</v>
      </c>
      <c r="N88" s="77">
        <f t="shared" si="20"/>
        <v>-109</v>
      </c>
      <c r="O88" s="77">
        <f t="shared" si="20"/>
        <v>101</v>
      </c>
      <c r="P88" s="77">
        <f t="shared" si="20"/>
        <v>45</v>
      </c>
      <c r="Q88" s="77">
        <f t="shared" si="20"/>
        <v>-309</v>
      </c>
      <c r="R88" s="77">
        <f t="shared" si="20"/>
        <v>-342</v>
      </c>
      <c r="S88" s="77">
        <f>S46+S71</f>
        <v>-338</v>
      </c>
    </row>
    <row r="89" spans="1:19" x14ac:dyDescent="0.2">
      <c r="A89" s="8" t="s">
        <v>499</v>
      </c>
      <c r="B89" s="2" t="s">
        <v>189</v>
      </c>
      <c r="C89" s="34" t="s">
        <v>190</v>
      </c>
      <c r="E89" s="109"/>
      <c r="G89" s="103" t="s">
        <v>191</v>
      </c>
      <c r="H89" s="105">
        <f t="shared" ref="H89:R89" si="21">H33+H38+H41-H45</f>
        <v>0</v>
      </c>
      <c r="I89" s="77">
        <f t="shared" si="21"/>
        <v>0</v>
      </c>
      <c r="J89" s="77">
        <f t="shared" si="21"/>
        <v>0</v>
      </c>
      <c r="K89" s="77">
        <f t="shared" si="21"/>
        <v>0</v>
      </c>
      <c r="L89" s="77">
        <f t="shared" si="21"/>
        <v>0</v>
      </c>
      <c r="M89" s="77">
        <f t="shared" si="21"/>
        <v>0</v>
      </c>
      <c r="N89" s="77">
        <f t="shared" si="21"/>
        <v>9</v>
      </c>
      <c r="O89" s="77">
        <f t="shared" si="21"/>
        <v>452</v>
      </c>
      <c r="P89" s="77">
        <f t="shared" si="21"/>
        <v>395</v>
      </c>
      <c r="Q89" s="77">
        <f t="shared" si="21"/>
        <v>41</v>
      </c>
      <c r="R89" s="77">
        <f t="shared" si="21"/>
        <v>7</v>
      </c>
      <c r="S89" s="77">
        <f>S33+S38+S41-S45</f>
        <v>10</v>
      </c>
    </row>
    <row r="90" spans="1:19" x14ac:dyDescent="0.2">
      <c r="A90" s="8" t="s">
        <v>500</v>
      </c>
      <c r="B90" s="2" t="s">
        <v>192</v>
      </c>
      <c r="C90" s="8" t="s">
        <v>501</v>
      </c>
      <c r="E90" s="106">
        <v>0</v>
      </c>
      <c r="G90" s="46" t="s">
        <v>193</v>
      </c>
      <c r="H90" s="107" t="e">
        <f t="shared" ref="H90:R90" si="22">H89/H33</f>
        <v>#DIV/0!</v>
      </c>
      <c r="I90" s="108" t="e">
        <f t="shared" si="22"/>
        <v>#DIV/0!</v>
      </c>
      <c r="J90" s="108" t="e">
        <f t="shared" si="22"/>
        <v>#DIV/0!</v>
      </c>
      <c r="K90" s="108" t="e">
        <f t="shared" si="22"/>
        <v>#DIV/0!</v>
      </c>
      <c r="L90" s="108" t="e">
        <f t="shared" si="22"/>
        <v>#DIV/0!</v>
      </c>
      <c r="M90" s="108" t="e">
        <f t="shared" si="22"/>
        <v>#DIV/0!</v>
      </c>
      <c r="N90" s="108">
        <f t="shared" si="22"/>
        <v>5.027932960893855E-2</v>
      </c>
      <c r="O90" s="108">
        <f t="shared" si="22"/>
        <v>0.37232289950576608</v>
      </c>
      <c r="P90" s="108">
        <f t="shared" si="22"/>
        <v>0.34140017286084701</v>
      </c>
      <c r="Q90" s="108">
        <f t="shared" si="22"/>
        <v>5.0931677018633541E-2</v>
      </c>
      <c r="R90" s="108">
        <f t="shared" si="22"/>
        <v>9.0791180285343717E-3</v>
      </c>
      <c r="S90" s="108">
        <f>S89/S33</f>
        <v>1.2919896640826873E-2</v>
      </c>
    </row>
    <row r="91" spans="1:19" x14ac:dyDescent="0.2">
      <c r="A91" s="8" t="s">
        <v>502</v>
      </c>
      <c r="B91" s="2" t="s">
        <v>194</v>
      </c>
      <c r="C91" s="34" t="s">
        <v>195</v>
      </c>
      <c r="E91" s="109"/>
      <c r="G91" s="110" t="s">
        <v>196</v>
      </c>
      <c r="H91" s="111" t="e">
        <f t="shared" ref="H91:R91" si="23">-H33/(H38+H41)</f>
        <v>#DIV/0!</v>
      </c>
      <c r="I91" s="111" t="e">
        <f t="shared" si="23"/>
        <v>#DIV/0!</v>
      </c>
      <c r="J91" s="111" t="e">
        <f t="shared" si="23"/>
        <v>#DIV/0!</v>
      </c>
      <c r="K91" s="111" t="e">
        <f t="shared" si="23"/>
        <v>#DIV/0!</v>
      </c>
      <c r="L91" s="111" t="e">
        <f t="shared" si="23"/>
        <v>#DIV/0!</v>
      </c>
      <c r="M91" s="111" t="e">
        <f t="shared" si="23"/>
        <v>#DIV/0!</v>
      </c>
      <c r="N91" s="111">
        <f t="shared" si="23"/>
        <v>0.62152777777777779</v>
      </c>
      <c r="O91" s="111">
        <f t="shared" si="23"/>
        <v>1.0907457322551661</v>
      </c>
      <c r="P91" s="111">
        <f t="shared" si="23"/>
        <v>1.0404676258992807</v>
      </c>
      <c r="Q91" s="111">
        <f t="shared" si="23"/>
        <v>0.72262118491921001</v>
      </c>
      <c r="R91" s="111">
        <f t="shared" si="23"/>
        <v>0.69272237196765496</v>
      </c>
      <c r="S91" s="111">
        <f>-S33/(S38+S41)</f>
        <v>0.6960431654676259</v>
      </c>
    </row>
    <row r="92" spans="1:19" x14ac:dyDescent="0.2">
      <c r="A92" s="8" t="s">
        <v>503</v>
      </c>
      <c r="B92" s="2" t="s">
        <v>197</v>
      </c>
      <c r="C92" s="8" t="s">
        <v>198</v>
      </c>
      <c r="E92" s="109"/>
      <c r="G92" s="103" t="s">
        <v>199</v>
      </c>
      <c r="H92" s="105">
        <f>H46</f>
        <v>0</v>
      </c>
      <c r="I92" s="105">
        <f t="shared" ref="I92:R92" si="24">I46</f>
        <v>0</v>
      </c>
      <c r="J92" s="105">
        <f t="shared" si="24"/>
        <v>0</v>
      </c>
      <c r="K92" s="105">
        <f t="shared" si="24"/>
        <v>0</v>
      </c>
      <c r="L92" s="105">
        <f t="shared" si="24"/>
        <v>0</v>
      </c>
      <c r="M92" s="105">
        <f t="shared" si="24"/>
        <v>0</v>
      </c>
      <c r="N92" s="105">
        <f t="shared" si="24"/>
        <v>-109</v>
      </c>
      <c r="O92" s="105">
        <f t="shared" si="24"/>
        <v>101</v>
      </c>
      <c r="P92" s="105">
        <f t="shared" si="24"/>
        <v>45</v>
      </c>
      <c r="Q92" s="105">
        <f t="shared" si="24"/>
        <v>-309</v>
      </c>
      <c r="R92" s="105">
        <f t="shared" si="24"/>
        <v>-342</v>
      </c>
      <c r="S92" s="105">
        <f>S46</f>
        <v>-338</v>
      </c>
    </row>
    <row r="93" spans="1:19" x14ac:dyDescent="0.2">
      <c r="A93" s="8" t="s">
        <v>504</v>
      </c>
      <c r="B93" s="2" t="s">
        <v>200</v>
      </c>
      <c r="C93" s="8" t="s">
        <v>201</v>
      </c>
      <c r="D93" s="106">
        <v>-0.3</v>
      </c>
      <c r="E93" s="106">
        <v>0</v>
      </c>
      <c r="G93" s="110" t="s">
        <v>202</v>
      </c>
      <c r="H93" s="112" t="e">
        <f>H46/H33</f>
        <v>#DIV/0!</v>
      </c>
      <c r="I93" s="113" t="e">
        <f t="shared" ref="I93:R93" si="25">I46/I33</f>
        <v>#DIV/0!</v>
      </c>
      <c r="J93" s="113" t="e">
        <f t="shared" si="25"/>
        <v>#DIV/0!</v>
      </c>
      <c r="K93" s="113" t="e">
        <f t="shared" si="25"/>
        <v>#DIV/0!</v>
      </c>
      <c r="L93" s="113" t="e">
        <f t="shared" si="25"/>
        <v>#DIV/0!</v>
      </c>
      <c r="M93" s="113" t="e">
        <f t="shared" si="25"/>
        <v>#DIV/0!</v>
      </c>
      <c r="N93" s="113">
        <f t="shared" si="25"/>
        <v>-0.60893854748603349</v>
      </c>
      <c r="O93" s="113">
        <f t="shared" si="25"/>
        <v>8.3196046128500817E-2</v>
      </c>
      <c r="P93" s="113">
        <f t="shared" si="25"/>
        <v>3.8893690579083838E-2</v>
      </c>
      <c r="Q93" s="113">
        <f t="shared" si="25"/>
        <v>-0.38385093167701861</v>
      </c>
      <c r="R93" s="113">
        <f t="shared" si="25"/>
        <v>-0.44357976653696496</v>
      </c>
      <c r="S93" s="113">
        <f>S46/S33</f>
        <v>-0.43669250645994834</v>
      </c>
    </row>
    <row r="94" spans="1:19" x14ac:dyDescent="0.2">
      <c r="A94" s="8" t="s">
        <v>505</v>
      </c>
      <c r="B94" s="2" t="s">
        <v>203</v>
      </c>
      <c r="C94" s="8" t="s">
        <v>204</v>
      </c>
      <c r="E94" s="109"/>
      <c r="G94" s="46" t="s">
        <v>205</v>
      </c>
      <c r="H94" s="105">
        <f>H29+H30</f>
        <v>0</v>
      </c>
      <c r="I94" s="105">
        <f t="shared" ref="I94:R94" si="26">I29+I30</f>
        <v>0</v>
      </c>
      <c r="J94" s="105">
        <f t="shared" si="26"/>
        <v>0</v>
      </c>
      <c r="K94" s="105">
        <f t="shared" si="26"/>
        <v>0</v>
      </c>
      <c r="L94" s="105">
        <f t="shared" si="26"/>
        <v>0</v>
      </c>
      <c r="M94" s="105">
        <f t="shared" si="26"/>
        <v>0</v>
      </c>
      <c r="N94" s="105">
        <f t="shared" si="26"/>
        <v>-109</v>
      </c>
      <c r="O94" s="105">
        <f t="shared" si="26"/>
        <v>-8</v>
      </c>
      <c r="P94" s="105">
        <f t="shared" si="26"/>
        <v>37</v>
      </c>
      <c r="Q94" s="105">
        <f t="shared" si="26"/>
        <v>-272</v>
      </c>
      <c r="R94" s="105">
        <f t="shared" si="26"/>
        <v>-614</v>
      </c>
      <c r="S94" s="105">
        <f>S29+S30</f>
        <v>-952</v>
      </c>
    </row>
    <row r="95" spans="1:19" x14ac:dyDescent="0.2">
      <c r="G95" s="451" t="s">
        <v>206</v>
      </c>
      <c r="H95" s="87">
        <f t="shared" ref="H95:R95" si="27">H87</f>
        <v>2011</v>
      </c>
      <c r="I95" s="87">
        <f t="shared" si="27"/>
        <v>2012</v>
      </c>
      <c r="J95" s="87">
        <f t="shared" si="27"/>
        <v>2013</v>
      </c>
      <c r="K95" s="87">
        <f t="shared" si="27"/>
        <v>2014</v>
      </c>
      <c r="L95" s="87">
        <f t="shared" si="27"/>
        <v>2015</v>
      </c>
      <c r="M95" s="87">
        <f t="shared" si="27"/>
        <v>2016</v>
      </c>
      <c r="N95" s="87">
        <f t="shared" si="27"/>
        <v>2017</v>
      </c>
      <c r="O95" s="87">
        <f t="shared" si="27"/>
        <v>2018</v>
      </c>
      <c r="P95" s="87">
        <f t="shared" si="27"/>
        <v>2019</v>
      </c>
      <c r="Q95" s="87">
        <f t="shared" si="27"/>
        <v>2020</v>
      </c>
      <c r="R95" s="87">
        <f t="shared" si="27"/>
        <v>2021</v>
      </c>
      <c r="S95" s="87">
        <f>S87</f>
        <v>2022</v>
      </c>
    </row>
    <row r="96" spans="1:19" x14ac:dyDescent="0.2">
      <c r="A96" s="34" t="s">
        <v>506</v>
      </c>
      <c r="B96" s="2" t="s">
        <v>207</v>
      </c>
      <c r="C96" s="10" t="s">
        <v>208</v>
      </c>
      <c r="E96" s="109"/>
      <c r="F96" s="37"/>
      <c r="G96" s="103" t="s">
        <v>209</v>
      </c>
      <c r="H96" s="105">
        <f t="shared" ref="H96:R96" si="28">H6+H12</f>
        <v>0</v>
      </c>
      <c r="I96" s="77">
        <f t="shared" si="28"/>
        <v>0</v>
      </c>
      <c r="J96" s="77">
        <f t="shared" si="28"/>
        <v>0</v>
      </c>
      <c r="K96" s="77">
        <f t="shared" si="28"/>
        <v>0</v>
      </c>
      <c r="L96" s="77">
        <f t="shared" si="28"/>
        <v>0</v>
      </c>
      <c r="M96" s="77">
        <f t="shared" si="28"/>
        <v>0</v>
      </c>
      <c r="N96" s="77">
        <f t="shared" si="28"/>
        <v>224</v>
      </c>
      <c r="O96" s="77">
        <f t="shared" si="28"/>
        <v>133</v>
      </c>
      <c r="P96" s="77">
        <f t="shared" si="28"/>
        <v>134</v>
      </c>
      <c r="Q96" s="77">
        <f t="shared" si="28"/>
        <v>134</v>
      </c>
      <c r="R96" s="77">
        <f t="shared" si="28"/>
        <v>138</v>
      </c>
      <c r="S96" s="77">
        <f>S6+S12</f>
        <v>140</v>
      </c>
    </row>
    <row r="97" spans="1:19" x14ac:dyDescent="0.2">
      <c r="A97" s="8" t="s">
        <v>507</v>
      </c>
      <c r="B97" s="2" t="s">
        <v>210</v>
      </c>
      <c r="C97" s="8" t="s">
        <v>42</v>
      </c>
      <c r="E97" s="109"/>
      <c r="F97" s="37"/>
      <c r="G97" s="110" t="s">
        <v>211</v>
      </c>
      <c r="H97" s="105">
        <f>H19</f>
        <v>0</v>
      </c>
      <c r="I97" s="105">
        <f t="shared" ref="I97:R97" si="29">I19</f>
        <v>0</v>
      </c>
      <c r="J97" s="105">
        <f t="shared" si="29"/>
        <v>0</v>
      </c>
      <c r="K97" s="105">
        <f t="shared" si="29"/>
        <v>0</v>
      </c>
      <c r="L97" s="105">
        <f t="shared" si="29"/>
        <v>0</v>
      </c>
      <c r="M97" s="105">
        <f t="shared" si="29"/>
        <v>0</v>
      </c>
      <c r="N97" s="105">
        <f t="shared" si="29"/>
        <v>92</v>
      </c>
      <c r="O97" s="105">
        <f t="shared" si="29"/>
        <v>28</v>
      </c>
      <c r="P97" s="105">
        <f t="shared" si="29"/>
        <v>28</v>
      </c>
      <c r="Q97" s="105">
        <f t="shared" si="29"/>
        <v>28</v>
      </c>
      <c r="R97" s="105">
        <f t="shared" si="29"/>
        <v>29</v>
      </c>
      <c r="S97" s="105">
        <f>S19</f>
        <v>30</v>
      </c>
    </row>
    <row r="98" spans="1:19" x14ac:dyDescent="0.2">
      <c r="A98" s="8" t="s">
        <v>508</v>
      </c>
      <c r="B98" s="2" t="s">
        <v>509</v>
      </c>
      <c r="C98" s="8" t="s">
        <v>510</v>
      </c>
      <c r="E98" s="109"/>
      <c r="F98" s="37"/>
      <c r="G98" s="110" t="s">
        <v>212</v>
      </c>
      <c r="H98" s="105">
        <f t="shared" ref="H98:R98" si="30">H97-H96</f>
        <v>0</v>
      </c>
      <c r="I98" s="77">
        <f t="shared" si="30"/>
        <v>0</v>
      </c>
      <c r="J98" s="77">
        <f t="shared" si="30"/>
        <v>0</v>
      </c>
      <c r="K98" s="77">
        <f t="shared" si="30"/>
        <v>0</v>
      </c>
      <c r="L98" s="77">
        <f t="shared" si="30"/>
        <v>0</v>
      </c>
      <c r="M98" s="77">
        <f t="shared" si="30"/>
        <v>0</v>
      </c>
      <c r="N98" s="77">
        <f t="shared" si="30"/>
        <v>-132</v>
      </c>
      <c r="O98" s="77">
        <f t="shared" si="30"/>
        <v>-105</v>
      </c>
      <c r="P98" s="77">
        <f t="shared" si="30"/>
        <v>-106</v>
      </c>
      <c r="Q98" s="77">
        <f t="shared" si="30"/>
        <v>-106</v>
      </c>
      <c r="R98" s="77">
        <f t="shared" si="30"/>
        <v>-109</v>
      </c>
      <c r="S98" s="77">
        <f>S97-S96</f>
        <v>-110</v>
      </c>
    </row>
    <row r="99" spans="1:19" x14ac:dyDescent="0.2">
      <c r="A99" s="34" t="s">
        <v>511</v>
      </c>
      <c r="B99" s="2" t="s">
        <v>512</v>
      </c>
      <c r="C99" s="8" t="s">
        <v>513</v>
      </c>
      <c r="E99" s="106">
        <v>0.4</v>
      </c>
      <c r="F99" s="37"/>
      <c r="G99" s="110" t="s">
        <v>213</v>
      </c>
      <c r="H99" s="115" t="e">
        <f t="shared" ref="H99:R99" si="31">H98/H33</f>
        <v>#DIV/0!</v>
      </c>
      <c r="I99" s="108" t="e">
        <f t="shared" si="31"/>
        <v>#DIV/0!</v>
      </c>
      <c r="J99" s="108" t="e">
        <f t="shared" si="31"/>
        <v>#DIV/0!</v>
      </c>
      <c r="K99" s="108" t="e">
        <f t="shared" si="31"/>
        <v>#DIV/0!</v>
      </c>
      <c r="L99" s="108" t="e">
        <f t="shared" si="31"/>
        <v>#DIV/0!</v>
      </c>
      <c r="M99" s="108" t="e">
        <f t="shared" si="31"/>
        <v>#DIV/0!</v>
      </c>
      <c r="N99" s="108">
        <f t="shared" si="31"/>
        <v>-0.73743016759776536</v>
      </c>
      <c r="O99" s="108">
        <f t="shared" si="31"/>
        <v>-8.6490939044481061E-2</v>
      </c>
      <c r="P99" s="108">
        <f t="shared" si="31"/>
        <v>-9.1616248919619711E-2</v>
      </c>
      <c r="Q99" s="108">
        <f t="shared" si="31"/>
        <v>-0.13167701863354037</v>
      </c>
      <c r="R99" s="108">
        <f t="shared" si="31"/>
        <v>-0.14137483787289234</v>
      </c>
      <c r="S99" s="108">
        <f>S98/S33</f>
        <v>-0.1421188630490956</v>
      </c>
    </row>
    <row r="100" spans="1:19" x14ac:dyDescent="0.2">
      <c r="A100" s="8" t="s">
        <v>514</v>
      </c>
      <c r="B100" s="2" t="s">
        <v>214</v>
      </c>
      <c r="C100" s="8" t="s">
        <v>515</v>
      </c>
      <c r="D100" s="116">
        <v>0</v>
      </c>
      <c r="E100" s="116">
        <v>5</v>
      </c>
      <c r="F100" s="37"/>
      <c r="G100" s="110" t="s">
        <v>215</v>
      </c>
      <c r="H100" s="111" t="e">
        <f t="shared" ref="H100:R100" si="32">H98/H89</f>
        <v>#DIV/0!</v>
      </c>
      <c r="I100" s="111" t="e">
        <f t="shared" si="32"/>
        <v>#DIV/0!</v>
      </c>
      <c r="J100" s="111" t="e">
        <f t="shared" si="32"/>
        <v>#DIV/0!</v>
      </c>
      <c r="K100" s="111" t="e">
        <f t="shared" si="32"/>
        <v>#DIV/0!</v>
      </c>
      <c r="L100" s="111" t="e">
        <f t="shared" si="32"/>
        <v>#DIV/0!</v>
      </c>
      <c r="M100" s="111" t="e">
        <f t="shared" si="32"/>
        <v>#DIV/0!</v>
      </c>
      <c r="N100" s="111">
        <f t="shared" si="32"/>
        <v>-14.666666666666666</v>
      </c>
      <c r="O100" s="111">
        <f t="shared" si="32"/>
        <v>-0.23230088495575221</v>
      </c>
      <c r="P100" s="111">
        <f t="shared" si="32"/>
        <v>-0.26835443037974682</v>
      </c>
      <c r="Q100" s="111">
        <f t="shared" si="32"/>
        <v>-2.5853658536585367</v>
      </c>
      <c r="R100" s="111">
        <f t="shared" si="32"/>
        <v>-15.571428571428571</v>
      </c>
      <c r="S100" s="111">
        <f>S98/S89</f>
        <v>-11</v>
      </c>
    </row>
    <row r="101" spans="1:19" x14ac:dyDescent="0.2">
      <c r="A101" s="8" t="s">
        <v>516</v>
      </c>
      <c r="B101" s="2" t="s">
        <v>216</v>
      </c>
      <c r="C101" s="8" t="s">
        <v>217</v>
      </c>
      <c r="E101" s="109"/>
      <c r="F101" s="37"/>
      <c r="G101" s="110" t="s">
        <v>218</v>
      </c>
      <c r="H101" s="105">
        <f t="shared" ref="H101:R101" si="33">-(H75+H77+H78+H79+H80+H81)</f>
        <v>0</v>
      </c>
      <c r="I101" s="105">
        <f t="shared" si="33"/>
        <v>0</v>
      </c>
      <c r="J101" s="105">
        <f t="shared" si="33"/>
        <v>0</v>
      </c>
      <c r="K101" s="105">
        <f t="shared" si="33"/>
        <v>0</v>
      </c>
      <c r="L101" s="105">
        <f t="shared" si="33"/>
        <v>0</v>
      </c>
      <c r="M101" s="105">
        <f t="shared" si="33"/>
        <v>0</v>
      </c>
      <c r="N101" s="105">
        <f t="shared" si="33"/>
        <v>0</v>
      </c>
      <c r="O101" s="105">
        <f t="shared" si="33"/>
        <v>0</v>
      </c>
      <c r="P101" s="105">
        <f t="shared" si="33"/>
        <v>0</v>
      </c>
      <c r="Q101" s="105">
        <f t="shared" si="33"/>
        <v>0</v>
      </c>
      <c r="R101" s="105">
        <f t="shared" si="33"/>
        <v>0</v>
      </c>
      <c r="S101" s="105">
        <f>-(S75+S77+S78+S79+S80+S81)</f>
        <v>0</v>
      </c>
    </row>
    <row r="102" spans="1:19" x14ac:dyDescent="0.2">
      <c r="A102" s="8" t="s">
        <v>517</v>
      </c>
      <c r="B102" s="2" t="s">
        <v>219</v>
      </c>
      <c r="C102" s="8" t="s">
        <v>518</v>
      </c>
      <c r="E102" s="116">
        <v>1.2</v>
      </c>
      <c r="F102" s="37"/>
      <c r="G102" s="110" t="s">
        <v>220</v>
      </c>
      <c r="H102" s="117" t="e">
        <f t="shared" ref="H102:R102" si="34">H89/H101</f>
        <v>#DIV/0!</v>
      </c>
      <c r="I102" s="111" t="e">
        <f t="shared" si="34"/>
        <v>#DIV/0!</v>
      </c>
      <c r="J102" s="111" t="e">
        <f t="shared" si="34"/>
        <v>#DIV/0!</v>
      </c>
      <c r="K102" s="111" t="e">
        <f t="shared" si="34"/>
        <v>#DIV/0!</v>
      </c>
      <c r="L102" s="111" t="e">
        <f t="shared" si="34"/>
        <v>#DIV/0!</v>
      </c>
      <c r="M102" s="111" t="e">
        <f t="shared" si="34"/>
        <v>#DIV/0!</v>
      </c>
      <c r="N102" s="111" t="e">
        <f t="shared" si="34"/>
        <v>#DIV/0!</v>
      </c>
      <c r="O102" s="111" t="e">
        <f t="shared" si="34"/>
        <v>#DIV/0!</v>
      </c>
      <c r="P102" s="111" t="e">
        <f t="shared" si="34"/>
        <v>#DIV/0!</v>
      </c>
      <c r="Q102" s="111" t="e">
        <f t="shared" si="34"/>
        <v>#DIV/0!</v>
      </c>
      <c r="R102" s="111" t="e">
        <f t="shared" si="34"/>
        <v>#DIV/0!</v>
      </c>
      <c r="S102" s="111" t="e">
        <f>S89/S101</f>
        <v>#DIV/0!</v>
      </c>
    </row>
    <row r="103" spans="1:19" x14ac:dyDescent="0.2">
      <c r="A103" s="38" t="s">
        <v>519</v>
      </c>
      <c r="B103" s="2" t="s">
        <v>221</v>
      </c>
      <c r="C103" s="8" t="s">
        <v>222</v>
      </c>
      <c r="E103" s="116">
        <v>0</v>
      </c>
      <c r="F103" s="37"/>
      <c r="G103" s="103" t="s">
        <v>223</v>
      </c>
      <c r="H103" s="105">
        <f t="shared" ref="H103:R103" si="35">H5-H20</f>
        <v>0</v>
      </c>
      <c r="I103" s="105">
        <f t="shared" si="35"/>
        <v>0</v>
      </c>
      <c r="J103" s="105">
        <f t="shared" si="35"/>
        <v>0</v>
      </c>
      <c r="K103" s="105">
        <f t="shared" si="35"/>
        <v>0</v>
      </c>
      <c r="L103" s="105">
        <f t="shared" si="35"/>
        <v>0</v>
      </c>
      <c r="M103" s="105">
        <f t="shared" si="35"/>
        <v>0</v>
      </c>
      <c r="N103" s="105">
        <f t="shared" si="35"/>
        <v>184</v>
      </c>
      <c r="O103" s="105">
        <f t="shared" si="35"/>
        <v>153</v>
      </c>
      <c r="P103" s="105">
        <f t="shared" si="35"/>
        <v>153</v>
      </c>
      <c r="Q103" s="105">
        <f t="shared" si="35"/>
        <v>158</v>
      </c>
      <c r="R103" s="105">
        <f t="shared" si="35"/>
        <v>162</v>
      </c>
      <c r="S103" s="105">
        <f>S5-S20</f>
        <v>163</v>
      </c>
    </row>
    <row r="104" spans="1:19" x14ac:dyDescent="0.2">
      <c r="A104" s="34" t="s">
        <v>520</v>
      </c>
      <c r="B104" s="2" t="s">
        <v>224</v>
      </c>
      <c r="C104" s="8" t="s">
        <v>225</v>
      </c>
      <c r="E104" s="116">
        <v>1</v>
      </c>
      <c r="F104" s="37"/>
      <c r="G104" s="110" t="s">
        <v>226</v>
      </c>
      <c r="H104" s="117" t="e">
        <f t="shared" ref="H104:R104" si="36">H5/H20</f>
        <v>#DIV/0!</v>
      </c>
      <c r="I104" s="117" t="e">
        <f t="shared" si="36"/>
        <v>#DIV/0!</v>
      </c>
      <c r="J104" s="117" t="e">
        <f t="shared" si="36"/>
        <v>#DIV/0!</v>
      </c>
      <c r="K104" s="117" t="e">
        <f t="shared" si="36"/>
        <v>#DIV/0!</v>
      </c>
      <c r="L104" s="117" t="e">
        <f t="shared" si="36"/>
        <v>#DIV/0!</v>
      </c>
      <c r="M104" s="117" t="e">
        <f t="shared" si="36"/>
        <v>#DIV/0!</v>
      </c>
      <c r="N104" s="117">
        <f t="shared" si="36"/>
        <v>3.0444444444444443</v>
      </c>
      <c r="O104" s="117">
        <f t="shared" si="36"/>
        <v>6.666666666666667</v>
      </c>
      <c r="P104" s="117">
        <f t="shared" si="36"/>
        <v>6.666666666666667</v>
      </c>
      <c r="Q104" s="117">
        <f t="shared" si="36"/>
        <v>6.6428571428571432</v>
      </c>
      <c r="R104" s="117">
        <f t="shared" si="36"/>
        <v>6.7857142857142856</v>
      </c>
      <c r="S104" s="117">
        <f>S5/S20</f>
        <v>6.6206896551724137</v>
      </c>
    </row>
    <row r="105" spans="1:19" x14ac:dyDescent="0.2">
      <c r="A105" s="34" t="s">
        <v>521</v>
      </c>
      <c r="B105" s="2" t="s">
        <v>227</v>
      </c>
      <c r="C105" s="34" t="s">
        <v>228</v>
      </c>
      <c r="E105" s="116">
        <v>1</v>
      </c>
      <c r="F105" s="37"/>
      <c r="G105" s="46" t="s">
        <v>229</v>
      </c>
      <c r="H105" s="117" t="e">
        <f t="shared" ref="H105:R105" si="37">-H6/((H38+H41-H45+H47)/12)</f>
        <v>#DIV/0!</v>
      </c>
      <c r="I105" s="117" t="e">
        <f t="shared" si="37"/>
        <v>#DIV/0!</v>
      </c>
      <c r="J105" s="117" t="e">
        <f t="shared" si="37"/>
        <v>#DIV/0!</v>
      </c>
      <c r="K105" s="117" t="e">
        <f t="shared" si="37"/>
        <v>#DIV/0!</v>
      </c>
      <c r="L105" s="117" t="e">
        <f t="shared" si="37"/>
        <v>#DIV/0!</v>
      </c>
      <c r="M105" s="117" t="e">
        <f t="shared" si="37"/>
        <v>#DIV/0!</v>
      </c>
      <c r="N105" s="117">
        <f t="shared" si="37"/>
        <v>15.811764705882354</v>
      </c>
      <c r="O105" s="117">
        <f t="shared" si="37"/>
        <v>2.0944881889763778</v>
      </c>
      <c r="P105" s="117">
        <f t="shared" si="37"/>
        <v>2.1102362204724407</v>
      </c>
      <c r="Q105" s="117">
        <f t="shared" si="37"/>
        <v>2.1047120418848166</v>
      </c>
      <c r="R105" s="117">
        <f t="shared" si="37"/>
        <v>2.167539267015707</v>
      </c>
      <c r="S105" s="117">
        <f>-S6/((S38+S41-S45+S47)/12)</f>
        <v>2.1989528795811517</v>
      </c>
    </row>
    <row r="106" spans="1:19" x14ac:dyDescent="0.2">
      <c r="C106" s="8"/>
      <c r="F106" s="37"/>
      <c r="G106" s="451" t="s">
        <v>230</v>
      </c>
      <c r="H106" s="87">
        <f t="shared" ref="H106:R106" si="38">H95</f>
        <v>2011</v>
      </c>
      <c r="I106" s="87">
        <f t="shared" si="38"/>
        <v>2012</v>
      </c>
      <c r="J106" s="87">
        <f t="shared" si="38"/>
        <v>2013</v>
      </c>
      <c r="K106" s="87">
        <f t="shared" si="38"/>
        <v>2014</v>
      </c>
      <c r="L106" s="87">
        <f t="shared" si="38"/>
        <v>2015</v>
      </c>
      <c r="M106" s="87">
        <f t="shared" si="38"/>
        <v>2016</v>
      </c>
      <c r="N106" s="87">
        <f t="shared" si="38"/>
        <v>2017</v>
      </c>
      <c r="O106" s="87">
        <f t="shared" si="38"/>
        <v>2018</v>
      </c>
      <c r="P106" s="87">
        <f t="shared" si="38"/>
        <v>2019</v>
      </c>
      <c r="Q106" s="87">
        <f t="shared" si="38"/>
        <v>2020</v>
      </c>
      <c r="R106" s="87">
        <f t="shared" si="38"/>
        <v>2021</v>
      </c>
      <c r="S106" s="87">
        <f>S95</f>
        <v>2022</v>
      </c>
    </row>
    <row r="107" spans="1:19" x14ac:dyDescent="0.2">
      <c r="A107" s="34" t="s">
        <v>522</v>
      </c>
      <c r="B107" s="2" t="s">
        <v>231</v>
      </c>
      <c r="C107" s="34" t="s">
        <v>232</v>
      </c>
      <c r="E107" s="106">
        <v>0.6</v>
      </c>
      <c r="F107" s="37"/>
      <c r="G107" s="103" t="s">
        <v>233</v>
      </c>
      <c r="H107" s="115" t="e">
        <f t="shared" ref="H107:R107" si="39">H17/H4</f>
        <v>#DIV/0!</v>
      </c>
      <c r="I107" s="115" t="e">
        <f t="shared" si="39"/>
        <v>#DIV/0!</v>
      </c>
      <c r="J107" s="115" t="e">
        <f t="shared" si="39"/>
        <v>#DIV/0!</v>
      </c>
      <c r="K107" s="115" t="e">
        <f t="shared" si="39"/>
        <v>#DIV/0!</v>
      </c>
      <c r="L107" s="115" t="e">
        <f t="shared" si="39"/>
        <v>#DIV/0!</v>
      </c>
      <c r="M107" s="115" t="e">
        <f t="shared" si="39"/>
        <v>#DIV/0!</v>
      </c>
      <c r="N107" s="115">
        <f t="shared" si="39"/>
        <v>0</v>
      </c>
      <c r="O107" s="115">
        <f t="shared" si="39"/>
        <v>0</v>
      </c>
      <c r="P107" s="115">
        <f t="shared" si="39"/>
        <v>0</v>
      </c>
      <c r="Q107" s="115">
        <f t="shared" si="39"/>
        <v>0</v>
      </c>
      <c r="R107" s="115">
        <f t="shared" si="39"/>
        <v>0</v>
      </c>
      <c r="S107" s="115">
        <f>S17/S4</f>
        <v>0</v>
      </c>
    </row>
    <row r="108" spans="1:19" x14ac:dyDescent="0.2">
      <c r="A108" s="34" t="s">
        <v>523</v>
      </c>
      <c r="B108" s="2" t="s">
        <v>234</v>
      </c>
      <c r="C108" s="34" t="s">
        <v>235</v>
      </c>
      <c r="E108" s="106">
        <v>0.4</v>
      </c>
      <c r="F108" s="37"/>
      <c r="G108" s="46" t="s">
        <v>236</v>
      </c>
      <c r="H108" s="115" t="e">
        <f t="shared" ref="H108:R108" si="40">H27/H17</f>
        <v>#DIV/0!</v>
      </c>
      <c r="I108" s="115" t="e">
        <f t="shared" si="40"/>
        <v>#DIV/0!</v>
      </c>
      <c r="J108" s="115" t="e">
        <f t="shared" si="40"/>
        <v>#DIV/0!</v>
      </c>
      <c r="K108" s="115" t="e">
        <f t="shared" si="40"/>
        <v>#DIV/0!</v>
      </c>
      <c r="L108" s="115" t="e">
        <f t="shared" si="40"/>
        <v>#DIV/0!</v>
      </c>
      <c r="M108" s="115" t="e">
        <f t="shared" si="40"/>
        <v>#DIV/0!</v>
      </c>
      <c r="N108" s="115" t="e">
        <f t="shared" si="40"/>
        <v>#DIV/0!</v>
      </c>
      <c r="O108" s="115" t="e">
        <f t="shared" si="40"/>
        <v>#DIV/0!</v>
      </c>
      <c r="P108" s="115" t="e">
        <f t="shared" si="40"/>
        <v>#DIV/0!</v>
      </c>
      <c r="Q108" s="115" t="e">
        <f t="shared" si="40"/>
        <v>#DIV/0!</v>
      </c>
      <c r="R108" s="115" t="e">
        <f t="shared" si="40"/>
        <v>#DIV/0!</v>
      </c>
      <c r="S108" s="115" t="e">
        <f>S27/S17</f>
        <v>#DIV/0!</v>
      </c>
    </row>
    <row r="109" spans="1:19" x14ac:dyDescent="0.2">
      <c r="C109" s="8"/>
      <c r="F109" s="37"/>
      <c r="G109" s="455" t="s">
        <v>237</v>
      </c>
      <c r="H109" s="87">
        <f t="shared" ref="H109:R109" si="41">H95</f>
        <v>2011</v>
      </c>
      <c r="I109" s="87">
        <f t="shared" si="41"/>
        <v>2012</v>
      </c>
      <c r="J109" s="87">
        <f t="shared" si="41"/>
        <v>2013</v>
      </c>
      <c r="K109" s="87">
        <f t="shared" si="41"/>
        <v>2014</v>
      </c>
      <c r="L109" s="87">
        <f t="shared" si="41"/>
        <v>2015</v>
      </c>
      <c r="M109" s="87">
        <f t="shared" si="41"/>
        <v>2016</v>
      </c>
      <c r="N109" s="87">
        <f t="shared" si="41"/>
        <v>2017</v>
      </c>
      <c r="O109" s="87">
        <f t="shared" si="41"/>
        <v>2018</v>
      </c>
      <c r="P109" s="87">
        <f t="shared" si="41"/>
        <v>2019</v>
      </c>
      <c r="Q109" s="87">
        <f t="shared" si="41"/>
        <v>2020</v>
      </c>
      <c r="R109" s="87">
        <f t="shared" si="41"/>
        <v>2021</v>
      </c>
      <c r="S109" s="87">
        <f>S95</f>
        <v>2022</v>
      </c>
    </row>
    <row r="110" spans="1:19" x14ac:dyDescent="0.2">
      <c r="A110" s="34" t="s">
        <v>524</v>
      </c>
      <c r="B110" s="2" t="s">
        <v>238</v>
      </c>
      <c r="C110" s="39" t="s">
        <v>239</v>
      </c>
      <c r="E110" s="109"/>
      <c r="F110" s="37"/>
      <c r="G110" s="110" t="s">
        <v>240</v>
      </c>
      <c r="H110" s="118" t="e">
        <f t="shared" ref="H110:R110" si="42">H10/H4</f>
        <v>#DIV/0!</v>
      </c>
      <c r="I110" s="118" t="e">
        <f t="shared" si="42"/>
        <v>#DIV/0!</v>
      </c>
      <c r="J110" s="118" t="e">
        <f t="shared" si="42"/>
        <v>#DIV/0!</v>
      </c>
      <c r="K110" s="118" t="e">
        <f t="shared" si="42"/>
        <v>#DIV/0!</v>
      </c>
      <c r="L110" s="118" t="e">
        <f t="shared" si="42"/>
        <v>#DIV/0!</v>
      </c>
      <c r="M110" s="118" t="e">
        <f t="shared" si="42"/>
        <v>#DIV/0!</v>
      </c>
      <c r="N110" s="118">
        <f t="shared" si="42"/>
        <v>0.97804487179487176</v>
      </c>
      <c r="O110" s="118">
        <f t="shared" si="42"/>
        <v>0.98561955740193341</v>
      </c>
      <c r="P110" s="118">
        <f t="shared" si="42"/>
        <v>0.9856710714854322</v>
      </c>
      <c r="Q110" s="118">
        <f t="shared" si="42"/>
        <v>0.98482004407083978</v>
      </c>
      <c r="R110" s="118">
        <f t="shared" si="42"/>
        <v>0.98404969778374751</v>
      </c>
      <c r="S110" s="118">
        <f>S10/S4</f>
        <v>0.98341252699784021</v>
      </c>
    </row>
    <row r="111" spans="1:19" x14ac:dyDescent="0.2">
      <c r="A111" s="34" t="s">
        <v>525</v>
      </c>
      <c r="B111" s="2" t="s">
        <v>241</v>
      </c>
      <c r="C111" s="39" t="s">
        <v>242</v>
      </c>
      <c r="E111" s="109"/>
      <c r="F111" s="37"/>
      <c r="G111" s="110" t="s">
        <v>243</v>
      </c>
      <c r="H111" s="118" t="e">
        <f t="shared" ref="H111:R111" si="43">-(H58)/H15</f>
        <v>#DIV/0!</v>
      </c>
      <c r="I111" s="118" t="e">
        <f t="shared" si="43"/>
        <v>#DIV/0!</v>
      </c>
      <c r="J111" s="118" t="e">
        <f t="shared" si="43"/>
        <v>#DIV/0!</v>
      </c>
      <c r="K111" s="118" t="e">
        <f t="shared" si="43"/>
        <v>#DIV/0!</v>
      </c>
      <c r="L111" s="118" t="e">
        <f t="shared" si="43"/>
        <v>#DIV/0!</v>
      </c>
      <c r="M111" s="118" t="e">
        <f t="shared" si="43"/>
        <v>#DIV/0!</v>
      </c>
      <c r="N111" s="118">
        <f t="shared" si="43"/>
        <v>3.2141091148837975E-3</v>
      </c>
      <c r="O111" s="118">
        <f t="shared" si="43"/>
        <v>3.9292410532322491E-2</v>
      </c>
      <c r="P111" s="118">
        <f t="shared" si="43"/>
        <v>3.2077310378431055E-2</v>
      </c>
      <c r="Q111" s="118">
        <f t="shared" si="43"/>
        <v>3.2494584235960673E-3</v>
      </c>
      <c r="R111" s="118">
        <f t="shared" si="43"/>
        <v>0</v>
      </c>
      <c r="S111" s="118">
        <f>-(S58)/S15</f>
        <v>0</v>
      </c>
    </row>
    <row r="112" spans="1:19" x14ac:dyDescent="0.2">
      <c r="A112" s="34" t="s">
        <v>526</v>
      </c>
      <c r="B112" s="2" t="s">
        <v>244</v>
      </c>
      <c r="C112" s="8" t="s">
        <v>245</v>
      </c>
      <c r="E112" s="109"/>
      <c r="F112" s="37"/>
      <c r="G112" s="103" t="s">
        <v>246</v>
      </c>
      <c r="H112" s="111" t="e">
        <f t="shared" ref="H112:R112" si="44">H33/H4</f>
        <v>#DIV/0!</v>
      </c>
      <c r="I112" s="111" t="e">
        <f t="shared" si="44"/>
        <v>#DIV/0!</v>
      </c>
      <c r="J112" s="111" t="e">
        <f t="shared" si="44"/>
        <v>#DIV/0!</v>
      </c>
      <c r="K112" s="111" t="e">
        <f t="shared" si="44"/>
        <v>#DIV/0!</v>
      </c>
      <c r="L112" s="111" t="e">
        <f t="shared" si="44"/>
        <v>#DIV/0!</v>
      </c>
      <c r="M112" s="111" t="e">
        <f t="shared" si="44"/>
        <v>#DIV/0!</v>
      </c>
      <c r="N112" s="111">
        <f t="shared" si="44"/>
        <v>1.4342948717948717E-2</v>
      </c>
      <c r="O112" s="111">
        <f t="shared" si="44"/>
        <v>9.6988096189182707E-2</v>
      </c>
      <c r="P112" s="111">
        <f t="shared" si="44"/>
        <v>9.210316828530489E-2</v>
      </c>
      <c r="Q112" s="111">
        <f t="shared" si="44"/>
        <v>6.5698196360075081E-2</v>
      </c>
      <c r="R112" s="111">
        <f t="shared" si="44"/>
        <v>6.4724647414372061E-2</v>
      </c>
      <c r="S112" s="111">
        <f>S33/S4</f>
        <v>6.6868250539956806E-2</v>
      </c>
    </row>
    <row r="113" spans="1:19" x14ac:dyDescent="0.2">
      <c r="A113" s="34" t="s">
        <v>527</v>
      </c>
      <c r="B113" s="2" t="s">
        <v>247</v>
      </c>
      <c r="C113" s="39" t="s">
        <v>248</v>
      </c>
      <c r="E113" s="109"/>
      <c r="F113" s="37"/>
      <c r="G113" s="46" t="s">
        <v>249</v>
      </c>
      <c r="H113" s="111" t="e">
        <f t="shared" ref="H113:R113" si="45">H33/H15</f>
        <v>#DIV/0!</v>
      </c>
      <c r="I113" s="111" t="e">
        <f t="shared" si="45"/>
        <v>#DIV/0!</v>
      </c>
      <c r="J113" s="111" t="e">
        <f t="shared" si="45"/>
        <v>#DIV/0!</v>
      </c>
      <c r="K113" s="111" t="e">
        <f t="shared" si="45"/>
        <v>#DIV/0!</v>
      </c>
      <c r="L113" s="111" t="e">
        <f t="shared" si="45"/>
        <v>#DIV/0!</v>
      </c>
      <c r="M113" s="111" t="e">
        <f t="shared" si="45"/>
        <v>#DIV/0!</v>
      </c>
      <c r="N113" s="111">
        <f t="shared" si="45"/>
        <v>1.4751936706774353E-2</v>
      </c>
      <c r="O113" s="111">
        <f t="shared" si="45"/>
        <v>9.8964702046140052E-2</v>
      </c>
      <c r="P113" s="111">
        <f t="shared" si="45"/>
        <v>9.395809647555628E-2</v>
      </c>
      <c r="Q113" s="111">
        <f t="shared" si="45"/>
        <v>6.7072154640893181E-2</v>
      </c>
      <c r="R113" s="111">
        <f t="shared" si="45"/>
        <v>6.6129170597821432E-2</v>
      </c>
      <c r="S113" s="111">
        <f>S33/S15</f>
        <v>6.8362480127186015E-2</v>
      </c>
    </row>
    <row r="114" spans="1:19" x14ac:dyDescent="0.2">
      <c r="A114" s="8" t="s">
        <v>528</v>
      </c>
      <c r="B114" s="2" t="s">
        <v>250</v>
      </c>
      <c r="C114" s="39" t="s">
        <v>251</v>
      </c>
      <c r="D114" s="106">
        <v>0.5</v>
      </c>
      <c r="E114" s="106">
        <f>1/3</f>
        <v>0.33333333333333331</v>
      </c>
      <c r="F114" s="37"/>
      <c r="G114" s="110" t="s">
        <v>252</v>
      </c>
      <c r="H114" s="118" t="e">
        <f t="shared" ref="H114:R114" si="46">H27/H4</f>
        <v>#DIV/0!</v>
      </c>
      <c r="I114" s="118" t="e">
        <f t="shared" si="46"/>
        <v>#DIV/0!</v>
      </c>
      <c r="J114" s="118" t="e">
        <f t="shared" si="46"/>
        <v>#DIV/0!</v>
      </c>
      <c r="K114" s="118" t="e">
        <f t="shared" si="46"/>
        <v>#DIV/0!</v>
      </c>
      <c r="L114" s="118" t="e">
        <f t="shared" si="46"/>
        <v>#DIV/0!</v>
      </c>
      <c r="M114" s="118" t="e">
        <f t="shared" si="46"/>
        <v>#DIV/0!</v>
      </c>
      <c r="N114" s="118">
        <f t="shared" si="46"/>
        <v>0.99262820512820515</v>
      </c>
      <c r="O114" s="118">
        <f t="shared" si="46"/>
        <v>0.99776304226252299</v>
      </c>
      <c r="P114" s="118">
        <f t="shared" si="46"/>
        <v>0.9977710555644006</v>
      </c>
      <c r="Q114" s="118">
        <f t="shared" si="46"/>
        <v>0.99771484534399735</v>
      </c>
      <c r="R114" s="118">
        <f t="shared" si="46"/>
        <v>0.99756548018804569</v>
      </c>
      <c r="S114" s="118">
        <f>S27/S4</f>
        <v>0.99740820734341251</v>
      </c>
    </row>
    <row r="115" spans="1:19" x14ac:dyDescent="0.2">
      <c r="A115" s="40"/>
      <c r="C115" s="40"/>
      <c r="D115" s="41"/>
      <c r="E115" s="42"/>
      <c r="F115" s="37"/>
      <c r="G115" s="94" t="s">
        <v>253</v>
      </c>
      <c r="H115" s="87">
        <f t="shared" ref="H115:R115" si="47">H109</f>
        <v>2011</v>
      </c>
      <c r="I115" s="87">
        <f t="shared" si="47"/>
        <v>2012</v>
      </c>
      <c r="J115" s="87">
        <f t="shared" si="47"/>
        <v>2013</v>
      </c>
      <c r="K115" s="87">
        <f t="shared" si="47"/>
        <v>2014</v>
      </c>
      <c r="L115" s="87">
        <f t="shared" si="47"/>
        <v>2015</v>
      </c>
      <c r="M115" s="87">
        <f t="shared" si="47"/>
        <v>2016</v>
      </c>
      <c r="N115" s="87">
        <f t="shared" si="47"/>
        <v>2017</v>
      </c>
      <c r="O115" s="87">
        <f t="shared" si="47"/>
        <v>2018</v>
      </c>
      <c r="P115" s="87">
        <f t="shared" si="47"/>
        <v>2019</v>
      </c>
      <c r="Q115" s="87">
        <f t="shared" si="47"/>
        <v>2020</v>
      </c>
      <c r="R115" s="87">
        <f t="shared" si="47"/>
        <v>2021</v>
      </c>
      <c r="S115" s="87">
        <f>S109</f>
        <v>2022</v>
      </c>
    </row>
    <row r="116" spans="1:19" x14ac:dyDescent="0.2">
      <c r="A116" s="8" t="s">
        <v>529</v>
      </c>
      <c r="B116" s="2" t="s">
        <v>254</v>
      </c>
      <c r="C116" s="8" t="s">
        <v>255</v>
      </c>
      <c r="D116" s="43"/>
      <c r="E116" s="106">
        <v>0.05</v>
      </c>
      <c r="G116" s="103" t="s">
        <v>256</v>
      </c>
      <c r="H116" s="108" t="e">
        <f t="shared" ref="H116:R116" si="48">H35/H33</f>
        <v>#DIV/0!</v>
      </c>
      <c r="I116" s="108" t="e">
        <f t="shared" si="48"/>
        <v>#DIV/0!</v>
      </c>
      <c r="J116" s="108" t="e">
        <f t="shared" si="48"/>
        <v>#DIV/0!</v>
      </c>
      <c r="K116" s="108" t="e">
        <f t="shared" si="48"/>
        <v>#DIV/0!</v>
      </c>
      <c r="L116" s="108" t="e">
        <f t="shared" si="48"/>
        <v>#DIV/0!</v>
      </c>
      <c r="M116" s="108" t="e">
        <f t="shared" si="48"/>
        <v>#DIV/0!</v>
      </c>
      <c r="N116" s="108">
        <f t="shared" si="48"/>
        <v>0.16759776536312848</v>
      </c>
      <c r="O116" s="108">
        <f t="shared" si="48"/>
        <v>0.26441515650741348</v>
      </c>
      <c r="P116" s="108">
        <f t="shared" si="48"/>
        <v>0.27744165946413135</v>
      </c>
      <c r="Q116" s="108">
        <f t="shared" si="48"/>
        <v>0.40372670807453415</v>
      </c>
      <c r="R116" s="108">
        <f t="shared" si="48"/>
        <v>0.42801556420233461</v>
      </c>
      <c r="S116" s="108">
        <f>S35/S33</f>
        <v>0.43023255813953487</v>
      </c>
    </row>
    <row r="117" spans="1:19" x14ac:dyDescent="0.2">
      <c r="A117" s="8" t="s">
        <v>530</v>
      </c>
      <c r="B117" s="2" t="s">
        <v>257</v>
      </c>
      <c r="C117" s="8" t="s">
        <v>258</v>
      </c>
      <c r="E117" s="106">
        <v>0.95</v>
      </c>
      <c r="G117" s="110" t="s">
        <v>259</v>
      </c>
      <c r="H117" s="118" t="e">
        <f t="shared" ref="H117:R117" si="49">(H36+H34)/H33</f>
        <v>#DIV/0!</v>
      </c>
      <c r="I117" s="118" t="e">
        <f t="shared" si="49"/>
        <v>#DIV/0!</v>
      </c>
      <c r="J117" s="118" t="e">
        <f t="shared" si="49"/>
        <v>#DIV/0!</v>
      </c>
      <c r="K117" s="118" t="e">
        <f t="shared" si="49"/>
        <v>#DIV/0!</v>
      </c>
      <c r="L117" s="118" t="e">
        <f t="shared" si="49"/>
        <v>#DIV/0!</v>
      </c>
      <c r="M117" s="118" t="e">
        <f t="shared" si="49"/>
        <v>#DIV/0!</v>
      </c>
      <c r="N117" s="118">
        <f t="shared" si="49"/>
        <v>0.83240223463687146</v>
      </c>
      <c r="O117" s="118">
        <f t="shared" si="49"/>
        <v>0.73558484349258646</v>
      </c>
      <c r="P117" s="118">
        <f t="shared" si="49"/>
        <v>0.72255834053586865</v>
      </c>
      <c r="Q117" s="118">
        <f t="shared" si="49"/>
        <v>0.59627329192546585</v>
      </c>
      <c r="R117" s="118">
        <f t="shared" si="49"/>
        <v>0.57198443579766534</v>
      </c>
      <c r="S117" s="118">
        <f>(S36+S34)/S33</f>
        <v>0.56976744186046513</v>
      </c>
    </row>
    <row r="118" spans="1:19" x14ac:dyDescent="0.2">
      <c r="A118" s="8" t="s">
        <v>531</v>
      </c>
      <c r="B118" s="2" t="s">
        <v>260</v>
      </c>
      <c r="C118" s="8" t="s">
        <v>261</v>
      </c>
      <c r="E118" s="106">
        <v>0.95</v>
      </c>
      <c r="G118" s="46" t="s">
        <v>262</v>
      </c>
      <c r="H118" s="108" t="e">
        <f t="shared" ref="H118:R118" si="50">H38/(H38+H41)</f>
        <v>#DIV/0!</v>
      </c>
      <c r="I118" s="108" t="e">
        <f t="shared" si="50"/>
        <v>#DIV/0!</v>
      </c>
      <c r="J118" s="108" t="e">
        <f t="shared" si="50"/>
        <v>#DIV/0!</v>
      </c>
      <c r="K118" s="108" t="e">
        <f t="shared" si="50"/>
        <v>#DIV/0!</v>
      </c>
      <c r="L118" s="108" t="e">
        <f t="shared" si="50"/>
        <v>#DIV/0!</v>
      </c>
      <c r="M118" s="108" t="e">
        <f t="shared" si="50"/>
        <v>#DIV/0!</v>
      </c>
      <c r="N118" s="108">
        <f t="shared" si="50"/>
        <v>0</v>
      </c>
      <c r="O118" s="108">
        <f t="shared" si="50"/>
        <v>0</v>
      </c>
      <c r="P118" s="108">
        <f t="shared" si="50"/>
        <v>0</v>
      </c>
      <c r="Q118" s="108">
        <f t="shared" si="50"/>
        <v>0</v>
      </c>
      <c r="R118" s="108">
        <f t="shared" si="50"/>
        <v>0</v>
      </c>
      <c r="S118" s="108">
        <f>S38/(S38+S41)</f>
        <v>0</v>
      </c>
    </row>
    <row r="119" spans="1:19" x14ac:dyDescent="0.2">
      <c r="A119" s="40"/>
      <c r="C119" s="41"/>
      <c r="D119" s="41"/>
      <c r="E119" s="42"/>
      <c r="F119" s="37"/>
      <c r="G119" s="94" t="s">
        <v>532</v>
      </c>
      <c r="H119" s="87">
        <f>H115</f>
        <v>2011</v>
      </c>
      <c r="I119" s="87">
        <f t="shared" ref="I119:R119" si="51">I115</f>
        <v>2012</v>
      </c>
      <c r="J119" s="87">
        <f t="shared" si="51"/>
        <v>2013</v>
      </c>
      <c r="K119" s="87">
        <f t="shared" si="51"/>
        <v>2014</v>
      </c>
      <c r="L119" s="87">
        <f t="shared" si="51"/>
        <v>2015</v>
      </c>
      <c r="M119" s="87">
        <f t="shared" si="51"/>
        <v>2016</v>
      </c>
      <c r="N119" s="87">
        <f t="shared" si="51"/>
        <v>2017</v>
      </c>
      <c r="O119" s="87">
        <f t="shared" si="51"/>
        <v>2018</v>
      </c>
      <c r="P119" s="87">
        <f t="shared" si="51"/>
        <v>2019</v>
      </c>
      <c r="Q119" s="87">
        <f t="shared" si="51"/>
        <v>2020</v>
      </c>
      <c r="R119" s="87">
        <f t="shared" si="51"/>
        <v>2021</v>
      </c>
      <c r="S119" s="87">
        <f>S115</f>
        <v>2022</v>
      </c>
    </row>
    <row r="120" spans="1:19" x14ac:dyDescent="0.2">
      <c r="A120" s="4" t="s">
        <v>533</v>
      </c>
      <c r="B120" s="2" t="s">
        <v>263</v>
      </c>
      <c r="C120" s="8" t="s">
        <v>264</v>
      </c>
      <c r="D120" s="120">
        <v>0.5</v>
      </c>
      <c r="E120" s="121" t="s">
        <v>265</v>
      </c>
      <c r="F120" s="4"/>
      <c r="G120" s="103" t="s">
        <v>266</v>
      </c>
      <c r="H120" s="111" t="e">
        <f t="shared" ref="H120:R120" si="52">IF(H116&lt;$D$120,$E$120,H35/H4)</f>
        <v>#DIV/0!</v>
      </c>
      <c r="I120" s="111" t="e">
        <f t="shared" si="52"/>
        <v>#DIV/0!</v>
      </c>
      <c r="J120" s="111" t="e">
        <f t="shared" si="52"/>
        <v>#DIV/0!</v>
      </c>
      <c r="K120" s="111" t="e">
        <f t="shared" si="52"/>
        <v>#DIV/0!</v>
      </c>
      <c r="L120" s="111" t="e">
        <f t="shared" si="52"/>
        <v>#DIV/0!</v>
      </c>
      <c r="M120" s="111" t="e">
        <f t="shared" si="52"/>
        <v>#DIV/0!</v>
      </c>
      <c r="N120" s="111" t="str">
        <f t="shared" si="52"/>
        <v>N/A</v>
      </c>
      <c r="O120" s="111" t="str">
        <f t="shared" si="52"/>
        <v>N/A</v>
      </c>
      <c r="P120" s="111" t="str">
        <f t="shared" si="52"/>
        <v>N/A</v>
      </c>
      <c r="Q120" s="111" t="str">
        <f t="shared" si="52"/>
        <v>N/A</v>
      </c>
      <c r="R120" s="111" t="str">
        <f t="shared" si="52"/>
        <v>N/A</v>
      </c>
      <c r="S120" s="111" t="str">
        <f>IF(S116&lt;$D$120,$E$120,S35/S4)</f>
        <v>N/A</v>
      </c>
    </row>
    <row r="121" spans="1:19" x14ac:dyDescent="0.2">
      <c r="A121" s="4" t="s">
        <v>534</v>
      </c>
      <c r="B121" s="2" t="s">
        <v>535</v>
      </c>
      <c r="C121" s="8" t="s">
        <v>267</v>
      </c>
      <c r="D121" s="120">
        <v>0.5</v>
      </c>
      <c r="E121" s="121" t="s">
        <v>265</v>
      </c>
      <c r="F121" s="4"/>
      <c r="G121" s="110" t="s">
        <v>268</v>
      </c>
      <c r="H121" s="111" t="e">
        <f t="shared" ref="H121:R121" si="53">IF(H116&lt;$D$121,$E$121,H35/H15)</f>
        <v>#DIV/0!</v>
      </c>
      <c r="I121" s="111" t="e">
        <f t="shared" si="53"/>
        <v>#DIV/0!</v>
      </c>
      <c r="J121" s="111" t="e">
        <f t="shared" si="53"/>
        <v>#DIV/0!</v>
      </c>
      <c r="K121" s="111" t="e">
        <f t="shared" si="53"/>
        <v>#DIV/0!</v>
      </c>
      <c r="L121" s="111" t="e">
        <f t="shared" si="53"/>
        <v>#DIV/0!</v>
      </c>
      <c r="M121" s="111" t="e">
        <f t="shared" si="53"/>
        <v>#DIV/0!</v>
      </c>
      <c r="N121" s="111" t="str">
        <f t="shared" si="53"/>
        <v>N/A</v>
      </c>
      <c r="O121" s="111" t="str">
        <f t="shared" si="53"/>
        <v>N/A</v>
      </c>
      <c r="P121" s="111" t="str">
        <f t="shared" si="53"/>
        <v>N/A</v>
      </c>
      <c r="Q121" s="111" t="str">
        <f t="shared" si="53"/>
        <v>N/A</v>
      </c>
      <c r="R121" s="111" t="str">
        <f t="shared" si="53"/>
        <v>N/A</v>
      </c>
      <c r="S121" s="111" t="str">
        <f>IF(S116&lt;$D$121,$E$121,S35/S15)</f>
        <v>N/A</v>
      </c>
    </row>
    <row r="122" spans="1:19" x14ac:dyDescent="0.2">
      <c r="A122" s="4" t="s">
        <v>536</v>
      </c>
      <c r="B122" s="2" t="s">
        <v>537</v>
      </c>
      <c r="C122" s="8" t="s">
        <v>201</v>
      </c>
      <c r="D122" s="120">
        <v>0.5</v>
      </c>
      <c r="E122" s="121" t="s">
        <v>265</v>
      </c>
      <c r="F122" s="4"/>
      <c r="G122" s="103" t="s">
        <v>269</v>
      </c>
      <c r="H122" s="118" t="e">
        <f t="shared" ref="H122:R122" si="54">IF(H116&lt;$D$122,$E$122,H46/H33)</f>
        <v>#DIV/0!</v>
      </c>
      <c r="I122" s="118" t="e">
        <f t="shared" si="54"/>
        <v>#DIV/0!</v>
      </c>
      <c r="J122" s="118" t="e">
        <f t="shared" si="54"/>
        <v>#DIV/0!</v>
      </c>
      <c r="K122" s="118" t="e">
        <f t="shared" si="54"/>
        <v>#DIV/0!</v>
      </c>
      <c r="L122" s="118" t="e">
        <f t="shared" si="54"/>
        <v>#DIV/0!</v>
      </c>
      <c r="M122" s="118" t="e">
        <f t="shared" si="54"/>
        <v>#DIV/0!</v>
      </c>
      <c r="N122" s="118" t="str">
        <f t="shared" si="54"/>
        <v>N/A</v>
      </c>
      <c r="O122" s="118" t="str">
        <f t="shared" si="54"/>
        <v>N/A</v>
      </c>
      <c r="P122" s="118" t="str">
        <f t="shared" si="54"/>
        <v>N/A</v>
      </c>
      <c r="Q122" s="118" t="str">
        <f t="shared" si="54"/>
        <v>N/A</v>
      </c>
      <c r="R122" s="118" t="str">
        <f t="shared" si="54"/>
        <v>N/A</v>
      </c>
      <c r="S122" s="118" t="str">
        <f>IF(S116&lt;$D$122,$E$122,S46/S33)</f>
        <v>N/A</v>
      </c>
    </row>
    <row r="123" spans="1:19" x14ac:dyDescent="0.2">
      <c r="A123" s="4" t="s">
        <v>538</v>
      </c>
      <c r="B123" s="2" t="s">
        <v>539</v>
      </c>
      <c r="C123" s="8" t="s">
        <v>270</v>
      </c>
      <c r="D123" s="120">
        <v>0.5</v>
      </c>
      <c r="E123" s="121" t="s">
        <v>265</v>
      </c>
      <c r="F123" s="4"/>
      <c r="G123" s="110" t="s">
        <v>271</v>
      </c>
      <c r="H123" s="118" t="e">
        <f t="shared" ref="H123:R123" si="55">IF(H116&lt;$D$122,$E$123,H51/H33)</f>
        <v>#DIV/0!</v>
      </c>
      <c r="I123" s="118" t="e">
        <f t="shared" si="55"/>
        <v>#DIV/0!</v>
      </c>
      <c r="J123" s="118" t="e">
        <f t="shared" si="55"/>
        <v>#DIV/0!</v>
      </c>
      <c r="K123" s="118" t="e">
        <f t="shared" si="55"/>
        <v>#DIV/0!</v>
      </c>
      <c r="L123" s="118" t="e">
        <f t="shared" si="55"/>
        <v>#DIV/0!</v>
      </c>
      <c r="M123" s="118" t="e">
        <f t="shared" si="55"/>
        <v>#DIV/0!</v>
      </c>
      <c r="N123" s="118" t="str">
        <f t="shared" si="55"/>
        <v>N/A</v>
      </c>
      <c r="O123" s="118" t="str">
        <f t="shared" si="55"/>
        <v>N/A</v>
      </c>
      <c r="P123" s="118" t="str">
        <f t="shared" si="55"/>
        <v>N/A</v>
      </c>
      <c r="Q123" s="118" t="str">
        <f t="shared" si="55"/>
        <v>N/A</v>
      </c>
      <c r="R123" s="118" t="str">
        <f t="shared" si="55"/>
        <v>N/A</v>
      </c>
      <c r="S123" s="118" t="str">
        <f>IF(S116&lt;$D$122,$E$123,S51/S33)</f>
        <v>N/A</v>
      </c>
    </row>
    <row r="124" spans="1:19" x14ac:dyDescent="0.2">
      <c r="A124" s="4" t="s">
        <v>540</v>
      </c>
      <c r="B124" s="2" t="s">
        <v>541</v>
      </c>
      <c r="C124" s="8" t="s">
        <v>272</v>
      </c>
      <c r="D124" s="120">
        <v>0.5</v>
      </c>
      <c r="E124" s="121" t="s">
        <v>265</v>
      </c>
      <c r="F124" s="4"/>
      <c r="G124" s="110" t="s">
        <v>273</v>
      </c>
      <c r="H124" s="118" t="e">
        <f t="shared" ref="H124:R124" si="56">IF(H116&lt;$D$124,$E$124,H51/H4)</f>
        <v>#DIV/0!</v>
      </c>
      <c r="I124" s="118" t="e">
        <f t="shared" si="56"/>
        <v>#DIV/0!</v>
      </c>
      <c r="J124" s="118" t="e">
        <f t="shared" si="56"/>
        <v>#DIV/0!</v>
      </c>
      <c r="K124" s="118" t="e">
        <f t="shared" si="56"/>
        <v>#DIV/0!</v>
      </c>
      <c r="L124" s="118" t="e">
        <f t="shared" si="56"/>
        <v>#DIV/0!</v>
      </c>
      <c r="M124" s="118" t="e">
        <f t="shared" si="56"/>
        <v>#DIV/0!</v>
      </c>
      <c r="N124" s="118" t="str">
        <f t="shared" si="56"/>
        <v>N/A</v>
      </c>
      <c r="O124" s="118" t="str">
        <f t="shared" si="56"/>
        <v>N/A</v>
      </c>
      <c r="P124" s="118" t="str">
        <f t="shared" si="56"/>
        <v>N/A</v>
      </c>
      <c r="Q124" s="118" t="str">
        <f t="shared" si="56"/>
        <v>N/A</v>
      </c>
      <c r="R124" s="118" t="str">
        <f t="shared" si="56"/>
        <v>N/A</v>
      </c>
      <c r="S124" s="118" t="str">
        <f>IF(S116&lt;$D$124,$E$124,S51/S4)</f>
        <v>N/A</v>
      </c>
    </row>
    <row r="125" spans="1:19" x14ac:dyDescent="0.2">
      <c r="A125" s="4" t="s">
        <v>542</v>
      </c>
      <c r="B125" s="2" t="s">
        <v>543</v>
      </c>
      <c r="C125" s="8" t="s">
        <v>274</v>
      </c>
      <c r="D125" s="120">
        <v>0.5</v>
      </c>
      <c r="E125" s="121" t="s">
        <v>265</v>
      </c>
      <c r="F125" s="4"/>
      <c r="G125" s="46" t="s">
        <v>275</v>
      </c>
      <c r="H125" s="118" t="e">
        <f t="shared" ref="H125:R125" si="57">IF(H116&lt;$D$125,$E$125,H51/H27)</f>
        <v>#DIV/0!</v>
      </c>
      <c r="I125" s="118" t="e">
        <f t="shared" si="57"/>
        <v>#DIV/0!</v>
      </c>
      <c r="J125" s="118" t="e">
        <f t="shared" si="57"/>
        <v>#DIV/0!</v>
      </c>
      <c r="K125" s="118" t="e">
        <f t="shared" si="57"/>
        <v>#DIV/0!</v>
      </c>
      <c r="L125" s="118" t="e">
        <f t="shared" si="57"/>
        <v>#DIV/0!</v>
      </c>
      <c r="M125" s="118" t="e">
        <f t="shared" si="57"/>
        <v>#DIV/0!</v>
      </c>
      <c r="N125" s="118" t="str">
        <f t="shared" si="57"/>
        <v>N/A</v>
      </c>
      <c r="O125" s="118" t="str">
        <f t="shared" si="57"/>
        <v>N/A</v>
      </c>
      <c r="P125" s="118" t="str">
        <f t="shared" si="57"/>
        <v>N/A</v>
      </c>
      <c r="Q125" s="118" t="str">
        <f t="shared" si="57"/>
        <v>N/A</v>
      </c>
      <c r="R125" s="118" t="str">
        <f t="shared" si="57"/>
        <v>N/A</v>
      </c>
      <c r="S125" s="118" t="str">
        <f>IF(S116&lt;$D$125,$E$125,S51/S27)</f>
        <v>N/A</v>
      </c>
    </row>
    <row r="126" spans="1:19" x14ac:dyDescent="0.2">
      <c r="C126" s="41"/>
      <c r="D126" s="41"/>
      <c r="E126" s="42"/>
      <c r="F126" s="4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</row>
    <row r="127" spans="1:19" x14ac:dyDescent="0.2">
      <c r="F127" s="4"/>
      <c r="H127" s="87">
        <f>H119</f>
        <v>2011</v>
      </c>
      <c r="I127" s="87">
        <f t="shared" ref="I127:R127" si="58">I119</f>
        <v>2012</v>
      </c>
      <c r="J127" s="87">
        <f t="shared" si="58"/>
        <v>2013</v>
      </c>
      <c r="K127" s="87">
        <f t="shared" si="58"/>
        <v>2014</v>
      </c>
      <c r="L127" s="87">
        <f t="shared" si="58"/>
        <v>2015</v>
      </c>
      <c r="M127" s="87">
        <f t="shared" si="58"/>
        <v>2016</v>
      </c>
      <c r="N127" s="87">
        <f t="shared" si="58"/>
        <v>2017</v>
      </c>
      <c r="O127" s="87">
        <f t="shared" si="58"/>
        <v>2018</v>
      </c>
      <c r="P127" s="87">
        <f t="shared" si="58"/>
        <v>2019</v>
      </c>
      <c r="Q127" s="87">
        <f t="shared" si="58"/>
        <v>2020</v>
      </c>
      <c r="R127" s="87">
        <f t="shared" si="58"/>
        <v>2021</v>
      </c>
      <c r="S127" s="87">
        <f>S119</f>
        <v>2022</v>
      </c>
    </row>
    <row r="128" spans="1:19" x14ac:dyDescent="0.2">
      <c r="G128" s="95" t="s">
        <v>276</v>
      </c>
      <c r="H128" s="96">
        <f t="shared" ref="H128:R128" si="59">H33</f>
        <v>0</v>
      </c>
      <c r="I128" s="96">
        <f t="shared" si="59"/>
        <v>0</v>
      </c>
      <c r="J128" s="96">
        <f t="shared" si="59"/>
        <v>0</v>
      </c>
      <c r="K128" s="96">
        <f t="shared" si="59"/>
        <v>0</v>
      </c>
      <c r="L128" s="96">
        <f t="shared" si="59"/>
        <v>0</v>
      </c>
      <c r="M128" s="96">
        <f t="shared" si="59"/>
        <v>0</v>
      </c>
      <c r="N128" s="96">
        <f t="shared" si="59"/>
        <v>179</v>
      </c>
      <c r="O128" s="96">
        <f t="shared" si="59"/>
        <v>1214</v>
      </c>
      <c r="P128" s="96">
        <f t="shared" si="59"/>
        <v>1157</v>
      </c>
      <c r="Q128" s="96">
        <f t="shared" si="59"/>
        <v>805</v>
      </c>
      <c r="R128" s="96">
        <f t="shared" si="59"/>
        <v>771</v>
      </c>
      <c r="S128" s="96">
        <f>S33</f>
        <v>774</v>
      </c>
    </row>
    <row r="129" spans="3:19" x14ac:dyDescent="0.2">
      <c r="G129" s="95" t="s">
        <v>277</v>
      </c>
      <c r="H129" s="96">
        <f t="shared" ref="H129:R130" si="60">H35</f>
        <v>0</v>
      </c>
      <c r="I129" s="96">
        <f t="shared" si="60"/>
        <v>0</v>
      </c>
      <c r="J129" s="96">
        <f t="shared" si="60"/>
        <v>0</v>
      </c>
      <c r="K129" s="96">
        <f t="shared" si="60"/>
        <v>0</v>
      </c>
      <c r="L129" s="96">
        <f t="shared" si="60"/>
        <v>0</v>
      </c>
      <c r="M129" s="96">
        <f t="shared" si="60"/>
        <v>0</v>
      </c>
      <c r="N129" s="96">
        <f t="shared" si="60"/>
        <v>30</v>
      </c>
      <c r="O129" s="96">
        <f t="shared" si="60"/>
        <v>321</v>
      </c>
      <c r="P129" s="96">
        <f t="shared" si="60"/>
        <v>321</v>
      </c>
      <c r="Q129" s="96">
        <f t="shared" si="60"/>
        <v>325</v>
      </c>
      <c r="R129" s="96">
        <f t="shared" si="60"/>
        <v>330</v>
      </c>
      <c r="S129" s="96">
        <f>S35</f>
        <v>333</v>
      </c>
    </row>
    <row r="130" spans="3:19" x14ac:dyDescent="0.2">
      <c r="G130" s="95" t="s">
        <v>278</v>
      </c>
      <c r="H130" s="96">
        <f t="shared" si="60"/>
        <v>0</v>
      </c>
      <c r="I130" s="96">
        <f t="shared" si="60"/>
        <v>0</v>
      </c>
      <c r="J130" s="96">
        <f t="shared" si="60"/>
        <v>0</v>
      </c>
      <c r="K130" s="96">
        <f t="shared" si="60"/>
        <v>0</v>
      </c>
      <c r="L130" s="96">
        <f t="shared" si="60"/>
        <v>0</v>
      </c>
      <c r="M130" s="96">
        <f t="shared" si="60"/>
        <v>0</v>
      </c>
      <c r="N130" s="96">
        <f t="shared" si="60"/>
        <v>149</v>
      </c>
      <c r="O130" s="96">
        <f t="shared" si="60"/>
        <v>893</v>
      </c>
      <c r="P130" s="96">
        <f t="shared" si="60"/>
        <v>836</v>
      </c>
      <c r="Q130" s="96">
        <f t="shared" si="60"/>
        <v>480</v>
      </c>
      <c r="R130" s="96">
        <f t="shared" si="60"/>
        <v>441</v>
      </c>
      <c r="S130" s="96">
        <f>S36</f>
        <v>441</v>
      </c>
    </row>
    <row r="131" spans="3:19" x14ac:dyDescent="0.2">
      <c r="G131" s="95" t="s">
        <v>279</v>
      </c>
      <c r="H131" s="96">
        <f t="shared" ref="H131:R131" si="61">H38+H41</f>
        <v>0</v>
      </c>
      <c r="I131" s="96">
        <f t="shared" si="61"/>
        <v>0</v>
      </c>
      <c r="J131" s="96">
        <f t="shared" si="61"/>
        <v>0</v>
      </c>
      <c r="K131" s="96">
        <f t="shared" si="61"/>
        <v>0</v>
      </c>
      <c r="L131" s="96">
        <f t="shared" si="61"/>
        <v>0</v>
      </c>
      <c r="M131" s="96">
        <f t="shared" si="61"/>
        <v>0</v>
      </c>
      <c r="N131" s="96">
        <f t="shared" si="61"/>
        <v>-288</v>
      </c>
      <c r="O131" s="96">
        <f t="shared" si="61"/>
        <v>-1113</v>
      </c>
      <c r="P131" s="96">
        <f t="shared" si="61"/>
        <v>-1112</v>
      </c>
      <c r="Q131" s="96">
        <f t="shared" si="61"/>
        <v>-1114</v>
      </c>
      <c r="R131" s="96">
        <f t="shared" si="61"/>
        <v>-1113</v>
      </c>
      <c r="S131" s="96">
        <f>S38+S41</f>
        <v>-1112</v>
      </c>
    </row>
    <row r="132" spans="3:19" x14ac:dyDescent="0.2">
      <c r="G132" s="95" t="s">
        <v>280</v>
      </c>
      <c r="H132" s="96">
        <f t="shared" ref="H132:R132" si="62">H41</f>
        <v>0</v>
      </c>
      <c r="I132" s="96">
        <f t="shared" si="62"/>
        <v>0</v>
      </c>
      <c r="J132" s="96">
        <f t="shared" si="62"/>
        <v>0</v>
      </c>
      <c r="K132" s="96">
        <f t="shared" si="62"/>
        <v>0</v>
      </c>
      <c r="L132" s="96">
        <f t="shared" si="62"/>
        <v>0</v>
      </c>
      <c r="M132" s="96">
        <f t="shared" si="62"/>
        <v>0</v>
      </c>
      <c r="N132" s="96">
        <f t="shared" si="62"/>
        <v>-288</v>
      </c>
      <c r="O132" s="96">
        <f t="shared" si="62"/>
        <v>-1113</v>
      </c>
      <c r="P132" s="96">
        <f t="shared" si="62"/>
        <v>-1112</v>
      </c>
      <c r="Q132" s="96">
        <f t="shared" si="62"/>
        <v>-1114</v>
      </c>
      <c r="R132" s="96">
        <f t="shared" si="62"/>
        <v>-1113</v>
      </c>
      <c r="S132" s="96">
        <f>S41</f>
        <v>-1112</v>
      </c>
    </row>
    <row r="133" spans="3:19" x14ac:dyDescent="0.2">
      <c r="G133" s="95" t="s">
        <v>281</v>
      </c>
      <c r="H133" s="96">
        <f t="shared" ref="H133:R133" si="63">H38</f>
        <v>0</v>
      </c>
      <c r="I133" s="96">
        <f t="shared" si="63"/>
        <v>0</v>
      </c>
      <c r="J133" s="96">
        <f t="shared" si="63"/>
        <v>0</v>
      </c>
      <c r="K133" s="96">
        <f t="shared" si="63"/>
        <v>0</v>
      </c>
      <c r="L133" s="96">
        <f t="shared" si="63"/>
        <v>0</v>
      </c>
      <c r="M133" s="96">
        <f t="shared" si="63"/>
        <v>0</v>
      </c>
      <c r="N133" s="96">
        <f t="shared" si="63"/>
        <v>0</v>
      </c>
      <c r="O133" s="96">
        <f t="shared" si="63"/>
        <v>0</v>
      </c>
      <c r="P133" s="96">
        <f t="shared" si="63"/>
        <v>0</v>
      </c>
      <c r="Q133" s="96">
        <f t="shared" si="63"/>
        <v>0</v>
      </c>
      <c r="R133" s="96">
        <f t="shared" si="63"/>
        <v>0</v>
      </c>
      <c r="S133" s="96">
        <f>S38</f>
        <v>0</v>
      </c>
    </row>
    <row r="134" spans="3:19" x14ac:dyDescent="0.2">
      <c r="G134" s="95" t="s">
        <v>282</v>
      </c>
      <c r="H134" s="96">
        <f t="shared" ref="H134:R134" si="64">H46</f>
        <v>0</v>
      </c>
      <c r="I134" s="96">
        <f t="shared" si="64"/>
        <v>0</v>
      </c>
      <c r="J134" s="96">
        <f t="shared" si="64"/>
        <v>0</v>
      </c>
      <c r="K134" s="96">
        <f t="shared" si="64"/>
        <v>0</v>
      </c>
      <c r="L134" s="96">
        <f t="shared" si="64"/>
        <v>0</v>
      </c>
      <c r="M134" s="96">
        <f t="shared" si="64"/>
        <v>0</v>
      </c>
      <c r="N134" s="96">
        <f t="shared" si="64"/>
        <v>-109</v>
      </c>
      <c r="O134" s="96">
        <f t="shared" si="64"/>
        <v>101</v>
      </c>
      <c r="P134" s="96">
        <f t="shared" si="64"/>
        <v>45</v>
      </c>
      <c r="Q134" s="96">
        <f t="shared" si="64"/>
        <v>-309</v>
      </c>
      <c r="R134" s="96">
        <f t="shared" si="64"/>
        <v>-342</v>
      </c>
      <c r="S134" s="96">
        <f>S46</f>
        <v>-338</v>
      </c>
    </row>
    <row r="135" spans="3:19" x14ac:dyDescent="0.2">
      <c r="G135" s="95" t="s">
        <v>283</v>
      </c>
      <c r="H135" s="96">
        <f t="shared" ref="H135:R135" si="65">H51</f>
        <v>0</v>
      </c>
      <c r="I135" s="96">
        <f t="shared" si="65"/>
        <v>0</v>
      </c>
      <c r="J135" s="96">
        <f t="shared" si="65"/>
        <v>0</v>
      </c>
      <c r="K135" s="96">
        <f t="shared" si="65"/>
        <v>0</v>
      </c>
      <c r="L135" s="96">
        <f t="shared" si="65"/>
        <v>0</v>
      </c>
      <c r="M135" s="96">
        <f t="shared" si="65"/>
        <v>0</v>
      </c>
      <c r="N135" s="96">
        <f t="shared" si="65"/>
        <v>-109</v>
      </c>
      <c r="O135" s="96">
        <f t="shared" si="65"/>
        <v>101</v>
      </c>
      <c r="P135" s="96">
        <f t="shared" si="65"/>
        <v>45</v>
      </c>
      <c r="Q135" s="96">
        <f t="shared" si="65"/>
        <v>-309</v>
      </c>
      <c r="R135" s="96">
        <f t="shared" si="65"/>
        <v>-342</v>
      </c>
      <c r="S135" s="96">
        <f>S51</f>
        <v>-338</v>
      </c>
    </row>
    <row r="136" spans="3:19" x14ac:dyDescent="0.2">
      <c r="G136" s="95" t="s">
        <v>284</v>
      </c>
      <c r="H136" s="96">
        <f t="shared" ref="H136:R137" si="66">H4</f>
        <v>0</v>
      </c>
      <c r="I136" s="96">
        <f t="shared" si="66"/>
        <v>0</v>
      </c>
      <c r="J136" s="96">
        <f t="shared" si="66"/>
        <v>0</v>
      </c>
      <c r="K136" s="96">
        <f t="shared" si="66"/>
        <v>0</v>
      </c>
      <c r="L136" s="96">
        <f t="shared" si="66"/>
        <v>0</v>
      </c>
      <c r="M136" s="96">
        <f t="shared" si="66"/>
        <v>0</v>
      </c>
      <c r="N136" s="96">
        <f t="shared" si="66"/>
        <v>12480</v>
      </c>
      <c r="O136" s="96">
        <f t="shared" si="66"/>
        <v>12517</v>
      </c>
      <c r="P136" s="96">
        <f t="shared" si="66"/>
        <v>12562</v>
      </c>
      <c r="Q136" s="96">
        <f t="shared" si="66"/>
        <v>12253</v>
      </c>
      <c r="R136" s="96">
        <f t="shared" si="66"/>
        <v>11912</v>
      </c>
      <c r="S136" s="96">
        <f>S4</f>
        <v>11575</v>
      </c>
    </row>
    <row r="137" spans="3:19" x14ac:dyDescent="0.2">
      <c r="G137" s="95" t="s">
        <v>285</v>
      </c>
      <c r="H137" s="96">
        <f t="shared" si="66"/>
        <v>0</v>
      </c>
      <c r="I137" s="96">
        <f t="shared" si="66"/>
        <v>0</v>
      </c>
      <c r="J137" s="96">
        <f t="shared" si="66"/>
        <v>0</v>
      </c>
      <c r="K137" s="96">
        <f t="shared" si="66"/>
        <v>0</v>
      </c>
      <c r="L137" s="96">
        <f t="shared" si="66"/>
        <v>0</v>
      </c>
      <c r="M137" s="96">
        <f t="shared" si="66"/>
        <v>0</v>
      </c>
      <c r="N137" s="96">
        <f t="shared" si="66"/>
        <v>274</v>
      </c>
      <c r="O137" s="96">
        <f t="shared" si="66"/>
        <v>180</v>
      </c>
      <c r="P137" s="96">
        <f t="shared" si="66"/>
        <v>180</v>
      </c>
      <c r="Q137" s="96">
        <f t="shared" si="66"/>
        <v>186</v>
      </c>
      <c r="R137" s="96">
        <f t="shared" si="66"/>
        <v>190</v>
      </c>
      <c r="S137" s="96">
        <f>S5</f>
        <v>192</v>
      </c>
    </row>
    <row r="138" spans="3:19" x14ac:dyDescent="0.2">
      <c r="G138" s="95" t="s">
        <v>286</v>
      </c>
      <c r="H138" s="96">
        <f t="shared" ref="H138:R138" si="67">H10</f>
        <v>0</v>
      </c>
      <c r="I138" s="96">
        <f t="shared" si="67"/>
        <v>0</v>
      </c>
      <c r="J138" s="96">
        <f t="shared" si="67"/>
        <v>0</v>
      </c>
      <c r="K138" s="96">
        <f t="shared" si="67"/>
        <v>0</v>
      </c>
      <c r="L138" s="96">
        <f t="shared" si="67"/>
        <v>0</v>
      </c>
      <c r="M138" s="96">
        <f t="shared" si="67"/>
        <v>0</v>
      </c>
      <c r="N138" s="96">
        <f t="shared" si="67"/>
        <v>12206</v>
      </c>
      <c r="O138" s="96">
        <f t="shared" si="67"/>
        <v>12337</v>
      </c>
      <c r="P138" s="96">
        <f t="shared" si="67"/>
        <v>12382</v>
      </c>
      <c r="Q138" s="96">
        <f t="shared" si="67"/>
        <v>12067</v>
      </c>
      <c r="R138" s="96">
        <f t="shared" si="67"/>
        <v>11722</v>
      </c>
      <c r="S138" s="96">
        <f>S10</f>
        <v>11383</v>
      </c>
    </row>
    <row r="139" spans="3:19" x14ac:dyDescent="0.2">
      <c r="G139" s="95" t="s">
        <v>287</v>
      </c>
      <c r="H139" s="96">
        <f t="shared" ref="H139:R140" si="68">H19</f>
        <v>0</v>
      </c>
      <c r="I139" s="96">
        <f t="shared" si="68"/>
        <v>0</v>
      </c>
      <c r="J139" s="96">
        <f t="shared" si="68"/>
        <v>0</v>
      </c>
      <c r="K139" s="96">
        <f t="shared" si="68"/>
        <v>0</v>
      </c>
      <c r="L139" s="96">
        <f t="shared" si="68"/>
        <v>0</v>
      </c>
      <c r="M139" s="96">
        <f t="shared" si="68"/>
        <v>0</v>
      </c>
      <c r="N139" s="96">
        <f t="shared" si="68"/>
        <v>92</v>
      </c>
      <c r="O139" s="96">
        <f t="shared" si="68"/>
        <v>28</v>
      </c>
      <c r="P139" s="96">
        <f t="shared" si="68"/>
        <v>28</v>
      </c>
      <c r="Q139" s="96">
        <f t="shared" si="68"/>
        <v>28</v>
      </c>
      <c r="R139" s="96">
        <f t="shared" si="68"/>
        <v>29</v>
      </c>
      <c r="S139" s="96">
        <f>S19</f>
        <v>30</v>
      </c>
    </row>
    <row r="140" spans="3:19" x14ac:dyDescent="0.2">
      <c r="G140" s="95" t="s">
        <v>288</v>
      </c>
      <c r="H140" s="96">
        <f t="shared" si="68"/>
        <v>0</v>
      </c>
      <c r="I140" s="96">
        <f t="shared" si="68"/>
        <v>0</v>
      </c>
      <c r="J140" s="96">
        <f t="shared" si="68"/>
        <v>0</v>
      </c>
      <c r="K140" s="96">
        <f t="shared" si="68"/>
        <v>0</v>
      </c>
      <c r="L140" s="96">
        <f t="shared" si="68"/>
        <v>0</v>
      </c>
      <c r="M140" s="96">
        <f t="shared" si="68"/>
        <v>0</v>
      </c>
      <c r="N140" s="96">
        <f t="shared" si="68"/>
        <v>90</v>
      </c>
      <c r="O140" s="96">
        <f t="shared" si="68"/>
        <v>27</v>
      </c>
      <c r="P140" s="96">
        <f t="shared" si="68"/>
        <v>27</v>
      </c>
      <c r="Q140" s="96">
        <f t="shared" si="68"/>
        <v>28</v>
      </c>
      <c r="R140" s="96">
        <f t="shared" si="68"/>
        <v>28</v>
      </c>
      <c r="S140" s="96">
        <f>S20</f>
        <v>29</v>
      </c>
    </row>
    <row r="141" spans="3:19" x14ac:dyDescent="0.2">
      <c r="G141" s="95" t="s">
        <v>289</v>
      </c>
      <c r="H141" s="96">
        <f t="shared" ref="H141:R141" si="69">H24</f>
        <v>0</v>
      </c>
      <c r="I141" s="96">
        <f t="shared" si="69"/>
        <v>0</v>
      </c>
      <c r="J141" s="96">
        <f t="shared" si="69"/>
        <v>0</v>
      </c>
      <c r="K141" s="96">
        <f t="shared" si="69"/>
        <v>0</v>
      </c>
      <c r="L141" s="96">
        <f t="shared" si="69"/>
        <v>0</v>
      </c>
      <c r="M141" s="96">
        <f t="shared" si="69"/>
        <v>0</v>
      </c>
      <c r="N141" s="96">
        <f t="shared" si="69"/>
        <v>0</v>
      </c>
      <c r="O141" s="96">
        <f t="shared" si="69"/>
        <v>0</v>
      </c>
      <c r="P141" s="96">
        <f t="shared" si="69"/>
        <v>0</v>
      </c>
      <c r="Q141" s="96">
        <f t="shared" si="69"/>
        <v>0</v>
      </c>
      <c r="R141" s="96">
        <f t="shared" si="69"/>
        <v>0</v>
      </c>
      <c r="S141" s="96">
        <f>S24</f>
        <v>0</v>
      </c>
    </row>
    <row r="142" spans="3:19" x14ac:dyDescent="0.2">
      <c r="G142" s="95" t="s">
        <v>290</v>
      </c>
      <c r="H142" s="96">
        <f t="shared" ref="H142:R142" si="70">H27</f>
        <v>0</v>
      </c>
      <c r="I142" s="96">
        <f t="shared" si="70"/>
        <v>0</v>
      </c>
      <c r="J142" s="96">
        <f t="shared" si="70"/>
        <v>0</v>
      </c>
      <c r="K142" s="96">
        <f t="shared" si="70"/>
        <v>0</v>
      </c>
      <c r="L142" s="96">
        <f t="shared" si="70"/>
        <v>0</v>
      </c>
      <c r="M142" s="96">
        <f t="shared" si="70"/>
        <v>0</v>
      </c>
      <c r="N142" s="96">
        <f t="shared" si="70"/>
        <v>12388</v>
      </c>
      <c r="O142" s="96">
        <f t="shared" si="70"/>
        <v>12489</v>
      </c>
      <c r="P142" s="96">
        <f t="shared" si="70"/>
        <v>12534</v>
      </c>
      <c r="Q142" s="96">
        <f t="shared" si="70"/>
        <v>12225</v>
      </c>
      <c r="R142" s="96">
        <f t="shared" si="70"/>
        <v>11883</v>
      </c>
      <c r="S142" s="96">
        <f>S27</f>
        <v>11545</v>
      </c>
    </row>
    <row r="143" spans="3:19" x14ac:dyDescent="0.2">
      <c r="C143" s="41"/>
      <c r="D143" s="41"/>
      <c r="E143" s="42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</row>
    <row r="144" spans="3:19" x14ac:dyDescent="0.2">
      <c r="C144" s="8" t="s">
        <v>544</v>
      </c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</row>
    <row r="145" spans="3:19" x14ac:dyDescent="0.2">
      <c r="C145" s="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</row>
    <row r="146" spans="3:19" x14ac:dyDescent="0.2">
      <c r="C146" s="8" t="s">
        <v>291</v>
      </c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</row>
    <row r="147" spans="3:19" x14ac:dyDescent="0.2">
      <c r="C147" s="8" t="s">
        <v>292</v>
      </c>
      <c r="F147" s="12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4"/>
      <c r="R147" s="44"/>
      <c r="S147" s="44"/>
    </row>
    <row r="148" spans="3:19" x14ac:dyDescent="0.2">
      <c r="C148" s="8"/>
      <c r="F148" s="12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</row>
    <row r="149" spans="3:19" x14ac:dyDescent="0.2">
      <c r="C149" s="8" t="s">
        <v>293</v>
      </c>
      <c r="F149" s="12"/>
    </row>
    <row r="150" spans="3:19" x14ac:dyDescent="0.2">
      <c r="C150" s="8" t="s">
        <v>294</v>
      </c>
      <c r="F150" s="12"/>
    </row>
  </sheetData>
  <mergeCells count="2">
    <mergeCell ref="N2:S2"/>
    <mergeCell ref="D87:E87"/>
  </mergeCells>
  <conditionalFormatting sqref="H116:Q116">
    <cfRule type="cellIs" dxfId="635" priority="80" stopIfTrue="1" operator="greaterThan">
      <formula>$E$116</formula>
    </cfRule>
    <cfRule type="cellIs" dxfId="634" priority="81" stopIfTrue="1" operator="lessThanOrEqual">
      <formula>$E$116</formula>
    </cfRule>
  </conditionalFormatting>
  <conditionalFormatting sqref="H118:Q118">
    <cfRule type="cellIs" dxfId="633" priority="78" stopIfTrue="1" operator="lessThanOrEqual">
      <formula>$E$118</formula>
    </cfRule>
    <cfRule type="cellIs" dxfId="632" priority="79" stopIfTrue="1" operator="greaterThan">
      <formula>$E$118</formula>
    </cfRule>
  </conditionalFormatting>
  <conditionalFormatting sqref="H99:Q99">
    <cfRule type="cellIs" dxfId="631" priority="76" operator="greaterThan">
      <formula>$E$99</formula>
    </cfRule>
    <cfRule type="cellIs" dxfId="630" priority="77" operator="lessThanOrEqual">
      <formula>$E$99</formula>
    </cfRule>
  </conditionalFormatting>
  <conditionalFormatting sqref="H102:Q102">
    <cfRule type="cellIs" dxfId="629" priority="74" stopIfTrue="1" operator="greaterThanOrEqual">
      <formula>$E$102</formula>
    </cfRule>
    <cfRule type="cellIs" dxfId="628" priority="75" stopIfTrue="1" operator="lessThan">
      <formula>$E$102</formula>
    </cfRule>
  </conditionalFormatting>
  <conditionalFormatting sqref="H104:Q104">
    <cfRule type="cellIs" dxfId="627" priority="72" stopIfTrue="1" operator="lessThan">
      <formula>$E$104</formula>
    </cfRule>
    <cfRule type="cellIs" dxfId="626" priority="73" stopIfTrue="1" operator="greaterThanOrEqual">
      <formula>$E$104</formula>
    </cfRule>
  </conditionalFormatting>
  <conditionalFormatting sqref="H103:Q103">
    <cfRule type="cellIs" dxfId="625" priority="70" stopIfTrue="1" operator="greaterThan">
      <formula>$E$103</formula>
    </cfRule>
    <cfRule type="cellIs" dxfId="624" priority="71" stopIfTrue="1" operator="lessThanOrEqual">
      <formula>$E$103</formula>
    </cfRule>
  </conditionalFormatting>
  <conditionalFormatting sqref="H100:Q100">
    <cfRule type="cellIs" dxfId="623" priority="59" stopIfTrue="1" operator="between">
      <formula>$D$100</formula>
      <formula>$E$100</formula>
    </cfRule>
    <cfRule type="cellIs" dxfId="622" priority="68" stopIfTrue="1" operator="lessThanOrEqual">
      <formula>$D$100</formula>
    </cfRule>
    <cfRule type="cellIs" dxfId="621" priority="69" stopIfTrue="1" operator="greaterThan">
      <formula>$E$100</formula>
    </cfRule>
  </conditionalFormatting>
  <conditionalFormatting sqref="H117:Q117">
    <cfRule type="cellIs" dxfId="620" priority="66" stopIfTrue="1" operator="greaterThan">
      <formula>$E$117</formula>
    </cfRule>
    <cfRule type="cellIs" dxfId="619" priority="67" stopIfTrue="1" operator="lessThanOrEqual">
      <formula>$E$117</formula>
    </cfRule>
  </conditionalFormatting>
  <conditionalFormatting sqref="H107:Q107">
    <cfRule type="cellIs" dxfId="618" priority="64" stopIfTrue="1" operator="greaterThan">
      <formula>$E$107</formula>
    </cfRule>
    <cfRule type="cellIs" dxfId="617" priority="65" stopIfTrue="1" operator="lessThanOrEqual">
      <formula>$E$107</formula>
    </cfRule>
  </conditionalFormatting>
  <conditionalFormatting sqref="H108:Q108">
    <cfRule type="cellIs" dxfId="616" priority="62" stopIfTrue="1" operator="lessThan">
      <formula>$E$108</formula>
    </cfRule>
    <cfRule type="cellIs" dxfId="615" priority="63" stopIfTrue="1" operator="greaterThanOrEqual">
      <formula>$E$108</formula>
    </cfRule>
  </conditionalFormatting>
  <conditionalFormatting sqref="H93:Q93">
    <cfRule type="cellIs" dxfId="614" priority="82" stopIfTrue="1" operator="lessThan">
      <formula>$D$93</formula>
    </cfRule>
    <cfRule type="cellIs" dxfId="613" priority="83" stopIfTrue="1" operator="between">
      <formula>$D$93</formula>
      <formula>$E$93</formula>
    </cfRule>
    <cfRule type="cellIs" dxfId="612" priority="84" stopIfTrue="1" operator="greaterThan">
      <formula>$E$93</formula>
    </cfRule>
  </conditionalFormatting>
  <conditionalFormatting sqref="H114:Q114">
    <cfRule type="cellIs" dxfId="611" priority="85" stopIfTrue="1" operator="lessThan">
      <formula>$E$114</formula>
    </cfRule>
    <cfRule type="cellIs" dxfId="610" priority="86" stopIfTrue="1" operator="between">
      <formula>$D$114</formula>
      <formula>$E$114</formula>
    </cfRule>
    <cfRule type="cellIs" dxfId="609" priority="87" stopIfTrue="1" operator="greaterThanOrEqual">
      <formula>$D$114</formula>
    </cfRule>
  </conditionalFormatting>
  <conditionalFormatting sqref="H90:Q90">
    <cfRule type="cellIs" dxfId="608" priority="60" stopIfTrue="1" operator="lessThan">
      <formula>$E$90</formula>
    </cfRule>
    <cfRule type="cellIs" dxfId="607" priority="61" stopIfTrue="1" operator="greaterThan">
      <formula>$E$90</formula>
    </cfRule>
  </conditionalFormatting>
  <conditionalFormatting sqref="R116">
    <cfRule type="cellIs" dxfId="606" priority="51" stopIfTrue="1" operator="greaterThan">
      <formula>$E$116</formula>
    </cfRule>
    <cfRule type="cellIs" dxfId="605" priority="52" stopIfTrue="1" operator="lessThanOrEqual">
      <formula>$E$116</formula>
    </cfRule>
  </conditionalFormatting>
  <conditionalFormatting sqref="R118">
    <cfRule type="cellIs" dxfId="604" priority="49" stopIfTrue="1" operator="lessThanOrEqual">
      <formula>$E$118</formula>
    </cfRule>
    <cfRule type="cellIs" dxfId="603" priority="50" stopIfTrue="1" operator="greaterThan">
      <formula>$E$118</formula>
    </cfRule>
  </conditionalFormatting>
  <conditionalFormatting sqref="R99">
    <cfRule type="cellIs" dxfId="602" priority="47" operator="greaterThan">
      <formula>$E$99</formula>
    </cfRule>
    <cfRule type="cellIs" dxfId="601" priority="48" operator="lessThanOrEqual">
      <formula>$E$99</formula>
    </cfRule>
  </conditionalFormatting>
  <conditionalFormatting sqref="R102">
    <cfRule type="cellIs" dxfId="600" priority="45" stopIfTrue="1" operator="greaterThanOrEqual">
      <formula>$E$102</formula>
    </cfRule>
    <cfRule type="cellIs" dxfId="599" priority="46" stopIfTrue="1" operator="lessThan">
      <formula>$E$102</formula>
    </cfRule>
  </conditionalFormatting>
  <conditionalFormatting sqref="R104">
    <cfRule type="cellIs" dxfId="598" priority="43" stopIfTrue="1" operator="lessThan">
      <formula>$E$104</formula>
    </cfRule>
    <cfRule type="cellIs" dxfId="597" priority="44" stopIfTrue="1" operator="greaterThanOrEqual">
      <formula>$E$104</formula>
    </cfRule>
  </conditionalFormatting>
  <conditionalFormatting sqref="R103">
    <cfRule type="cellIs" dxfId="596" priority="41" stopIfTrue="1" operator="greaterThan">
      <formula>$E$103</formula>
    </cfRule>
    <cfRule type="cellIs" dxfId="595" priority="42" stopIfTrue="1" operator="lessThanOrEqual">
      <formula>$E$103</formula>
    </cfRule>
  </conditionalFormatting>
  <conditionalFormatting sqref="R100">
    <cfRule type="cellIs" dxfId="594" priority="30" stopIfTrue="1" operator="between">
      <formula>$D$100</formula>
      <formula>$E$100</formula>
    </cfRule>
    <cfRule type="cellIs" dxfId="593" priority="39" stopIfTrue="1" operator="lessThanOrEqual">
      <formula>$D$100</formula>
    </cfRule>
    <cfRule type="cellIs" dxfId="592" priority="40" stopIfTrue="1" operator="greaterThan">
      <formula>$E$100</formula>
    </cfRule>
  </conditionalFormatting>
  <conditionalFormatting sqref="R117">
    <cfRule type="cellIs" dxfId="591" priority="37" stopIfTrue="1" operator="greaterThan">
      <formula>$E$117</formula>
    </cfRule>
    <cfRule type="cellIs" dxfId="590" priority="38" stopIfTrue="1" operator="lessThanOrEqual">
      <formula>$E$117</formula>
    </cfRule>
  </conditionalFormatting>
  <conditionalFormatting sqref="R107">
    <cfRule type="cellIs" dxfId="589" priority="35" stopIfTrue="1" operator="greaterThan">
      <formula>$E$107</formula>
    </cfRule>
    <cfRule type="cellIs" dxfId="588" priority="36" stopIfTrue="1" operator="lessThanOrEqual">
      <formula>$E$107</formula>
    </cfRule>
  </conditionalFormatting>
  <conditionalFormatting sqref="R108">
    <cfRule type="cellIs" dxfId="587" priority="33" stopIfTrue="1" operator="lessThan">
      <formula>$E$108</formula>
    </cfRule>
    <cfRule type="cellIs" dxfId="586" priority="34" stopIfTrue="1" operator="greaterThanOrEqual">
      <formula>$E$108</formula>
    </cfRule>
  </conditionalFormatting>
  <conditionalFormatting sqref="R93">
    <cfRule type="cellIs" dxfId="585" priority="53" stopIfTrue="1" operator="lessThan">
      <formula>$D$93</formula>
    </cfRule>
    <cfRule type="cellIs" dxfId="584" priority="54" stopIfTrue="1" operator="between">
      <formula>$D$93</formula>
      <formula>$E$93</formula>
    </cfRule>
    <cfRule type="cellIs" dxfId="583" priority="55" stopIfTrue="1" operator="greaterThan">
      <formula>$E$93</formula>
    </cfRule>
  </conditionalFormatting>
  <conditionalFormatting sqref="R114">
    <cfRule type="cellIs" dxfId="582" priority="56" stopIfTrue="1" operator="lessThan">
      <formula>$E$114</formula>
    </cfRule>
    <cfRule type="cellIs" dxfId="581" priority="57" stopIfTrue="1" operator="between">
      <formula>$D$114</formula>
      <formula>$E$114</formula>
    </cfRule>
    <cfRule type="cellIs" dxfId="580" priority="58" stopIfTrue="1" operator="greaterThanOrEqual">
      <formula>$D$114</formula>
    </cfRule>
  </conditionalFormatting>
  <conditionalFormatting sqref="R90">
    <cfRule type="cellIs" dxfId="579" priority="31" stopIfTrue="1" operator="lessThan">
      <formula>$E$90</formula>
    </cfRule>
    <cfRule type="cellIs" dxfId="578" priority="32" stopIfTrue="1" operator="greaterThan">
      <formula>$E$90</formula>
    </cfRule>
  </conditionalFormatting>
  <conditionalFormatting sqref="S116">
    <cfRule type="cellIs" dxfId="577" priority="22" stopIfTrue="1" operator="greaterThan">
      <formula>$E$116</formula>
    </cfRule>
    <cfRule type="cellIs" dxfId="576" priority="23" stopIfTrue="1" operator="lessThanOrEqual">
      <formula>$E$116</formula>
    </cfRule>
  </conditionalFormatting>
  <conditionalFormatting sqref="S118">
    <cfRule type="cellIs" dxfId="575" priority="20" stopIfTrue="1" operator="lessThanOrEqual">
      <formula>$E$118</formula>
    </cfRule>
    <cfRule type="cellIs" dxfId="574" priority="21" stopIfTrue="1" operator="greaterThan">
      <formula>$E$118</formula>
    </cfRule>
  </conditionalFormatting>
  <conditionalFormatting sqref="S99">
    <cfRule type="cellIs" dxfId="573" priority="18" operator="greaterThan">
      <formula>$E$99</formula>
    </cfRule>
    <cfRule type="cellIs" dxfId="572" priority="19" operator="lessThanOrEqual">
      <formula>$E$99</formula>
    </cfRule>
  </conditionalFormatting>
  <conditionalFormatting sqref="S102">
    <cfRule type="cellIs" dxfId="571" priority="16" stopIfTrue="1" operator="greaterThanOrEqual">
      <formula>$E$102</formula>
    </cfRule>
    <cfRule type="cellIs" dxfId="570" priority="17" stopIfTrue="1" operator="lessThan">
      <formula>$E$102</formula>
    </cfRule>
  </conditionalFormatting>
  <conditionalFormatting sqref="S104">
    <cfRule type="cellIs" dxfId="569" priority="14" stopIfTrue="1" operator="lessThan">
      <formula>$E$104</formula>
    </cfRule>
    <cfRule type="cellIs" dxfId="568" priority="15" stopIfTrue="1" operator="greaterThanOrEqual">
      <formula>$E$104</formula>
    </cfRule>
  </conditionalFormatting>
  <conditionalFormatting sqref="S103">
    <cfRule type="cellIs" dxfId="567" priority="12" stopIfTrue="1" operator="greaterThan">
      <formula>$E$103</formula>
    </cfRule>
    <cfRule type="cellIs" dxfId="566" priority="13" stopIfTrue="1" operator="lessThanOrEqual">
      <formula>$E$103</formula>
    </cfRule>
  </conditionalFormatting>
  <conditionalFormatting sqref="S100">
    <cfRule type="cellIs" dxfId="565" priority="1" stopIfTrue="1" operator="between">
      <formula>$D$100</formula>
      <formula>$E$100</formula>
    </cfRule>
    <cfRule type="cellIs" dxfId="564" priority="10" stopIfTrue="1" operator="lessThanOrEqual">
      <formula>$D$100</formula>
    </cfRule>
    <cfRule type="cellIs" dxfId="563" priority="11" stopIfTrue="1" operator="greaterThan">
      <formula>$E$100</formula>
    </cfRule>
  </conditionalFormatting>
  <conditionalFormatting sqref="S117">
    <cfRule type="cellIs" dxfId="562" priority="8" stopIfTrue="1" operator="greaterThan">
      <formula>$E$117</formula>
    </cfRule>
    <cfRule type="cellIs" dxfId="561" priority="9" stopIfTrue="1" operator="lessThanOrEqual">
      <formula>$E$117</formula>
    </cfRule>
  </conditionalFormatting>
  <conditionalFormatting sqref="S107">
    <cfRule type="cellIs" dxfId="560" priority="6" stopIfTrue="1" operator="greaterThan">
      <formula>$E$107</formula>
    </cfRule>
    <cfRule type="cellIs" dxfId="559" priority="7" stopIfTrue="1" operator="lessThanOrEqual">
      <formula>$E$107</formula>
    </cfRule>
  </conditionalFormatting>
  <conditionalFormatting sqref="S108">
    <cfRule type="cellIs" dxfId="558" priority="4" stopIfTrue="1" operator="lessThan">
      <formula>$E$108</formula>
    </cfRule>
    <cfRule type="cellIs" dxfId="557" priority="5" stopIfTrue="1" operator="greaterThanOrEqual">
      <formula>$E$108</formula>
    </cfRule>
  </conditionalFormatting>
  <conditionalFormatting sqref="S93">
    <cfRule type="cellIs" dxfId="556" priority="24" stopIfTrue="1" operator="lessThan">
      <formula>$D$93</formula>
    </cfRule>
    <cfRule type="cellIs" dxfId="555" priority="25" stopIfTrue="1" operator="between">
      <formula>$D$93</formula>
      <formula>$E$93</formula>
    </cfRule>
    <cfRule type="cellIs" dxfId="554" priority="26" stopIfTrue="1" operator="greaterThan">
      <formula>$E$93</formula>
    </cfRule>
  </conditionalFormatting>
  <conditionalFormatting sqref="S114">
    <cfRule type="cellIs" dxfId="553" priority="27" stopIfTrue="1" operator="lessThan">
      <formula>$E$114</formula>
    </cfRule>
    <cfRule type="cellIs" dxfId="552" priority="28" stopIfTrue="1" operator="between">
      <formula>$D$114</formula>
      <formula>$E$114</formula>
    </cfRule>
    <cfRule type="cellIs" dxfId="551" priority="29" stopIfTrue="1" operator="greaterThanOrEqual">
      <formula>$D$114</formula>
    </cfRule>
  </conditionalFormatting>
  <conditionalFormatting sqref="S90">
    <cfRule type="cellIs" dxfId="550" priority="2" stopIfTrue="1" operator="lessThan">
      <formula>$E$90</formula>
    </cfRule>
    <cfRule type="cellIs" dxfId="549" priority="3" stopIfTrue="1" operator="greaterThan">
      <formula>$E$90</formula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C64F8E-E60D-48D3-9FDF-7DE04C7EEACD}">
  <dimension ref="A1:U178"/>
  <sheetViews>
    <sheetView zoomScaleNormal="100" workbookViewId="0">
      <selection activeCell="G2" sqref="G2"/>
    </sheetView>
  </sheetViews>
  <sheetFormatPr defaultRowHeight="11.25" outlineLevelCol="1" x14ac:dyDescent="0.2"/>
  <cols>
    <col min="1" max="1" width="5.7109375" style="333" customWidth="1"/>
    <col min="2" max="2" width="5" style="311" customWidth="1"/>
    <col min="3" max="3" width="9.140625" style="336"/>
    <col min="4" max="4" width="5.140625" style="336" customWidth="1"/>
    <col min="5" max="5" width="5.140625" style="334" customWidth="1"/>
    <col min="6" max="6" width="2" style="333" customWidth="1"/>
    <col min="7" max="7" width="29.28515625" style="388" customWidth="1"/>
    <col min="8" max="12" width="0" style="373" hidden="1" customWidth="1" outlineLevel="1"/>
    <col min="13" max="13" width="8.7109375" style="373" customWidth="1" collapsed="1"/>
    <col min="14" max="14" width="9.42578125" style="373" customWidth="1"/>
    <col min="15" max="19" width="8.7109375" style="373" customWidth="1"/>
    <col min="20" max="256" width="9.140625" style="373"/>
    <col min="257" max="257" width="5.7109375" style="373" customWidth="1"/>
    <col min="258" max="258" width="5" style="373" customWidth="1"/>
    <col min="259" max="259" width="9.140625" style="373"/>
    <col min="260" max="261" width="5.140625" style="373" customWidth="1"/>
    <col min="262" max="262" width="2" style="373" customWidth="1"/>
    <col min="263" max="263" width="29.28515625" style="373" customWidth="1"/>
    <col min="264" max="268" width="0" style="373" hidden="1" customWidth="1"/>
    <col min="269" max="269" width="8.7109375" style="373" customWidth="1"/>
    <col min="270" max="270" width="9.42578125" style="373" customWidth="1"/>
    <col min="271" max="275" width="8.7109375" style="373" customWidth="1"/>
    <col min="276" max="512" width="9.140625" style="373"/>
    <col min="513" max="513" width="5.7109375" style="373" customWidth="1"/>
    <col min="514" max="514" width="5" style="373" customWidth="1"/>
    <col min="515" max="515" width="9.140625" style="373"/>
    <col min="516" max="517" width="5.140625" style="373" customWidth="1"/>
    <col min="518" max="518" width="2" style="373" customWidth="1"/>
    <col min="519" max="519" width="29.28515625" style="373" customWidth="1"/>
    <col min="520" max="524" width="0" style="373" hidden="1" customWidth="1"/>
    <col min="525" max="525" width="8.7109375" style="373" customWidth="1"/>
    <col min="526" max="526" width="9.42578125" style="373" customWidth="1"/>
    <col min="527" max="531" width="8.7109375" style="373" customWidth="1"/>
    <col min="532" max="768" width="9.140625" style="373"/>
    <col min="769" max="769" width="5.7109375" style="373" customWidth="1"/>
    <col min="770" max="770" width="5" style="373" customWidth="1"/>
    <col min="771" max="771" width="9.140625" style="373"/>
    <col min="772" max="773" width="5.140625" style="373" customWidth="1"/>
    <col min="774" max="774" width="2" style="373" customWidth="1"/>
    <col min="775" max="775" width="29.28515625" style="373" customWidth="1"/>
    <col min="776" max="780" width="0" style="373" hidden="1" customWidth="1"/>
    <col min="781" max="781" width="8.7109375" style="373" customWidth="1"/>
    <col min="782" max="782" width="9.42578125" style="373" customWidth="1"/>
    <col min="783" max="787" width="8.7109375" style="373" customWidth="1"/>
    <col min="788" max="1024" width="9.140625" style="373"/>
    <col min="1025" max="1025" width="5.7109375" style="373" customWidth="1"/>
    <col min="1026" max="1026" width="5" style="373" customWidth="1"/>
    <col min="1027" max="1027" width="9.140625" style="373"/>
    <col min="1028" max="1029" width="5.140625" style="373" customWidth="1"/>
    <col min="1030" max="1030" width="2" style="373" customWidth="1"/>
    <col min="1031" max="1031" width="29.28515625" style="373" customWidth="1"/>
    <col min="1032" max="1036" width="0" style="373" hidden="1" customWidth="1"/>
    <col min="1037" max="1037" width="8.7109375" style="373" customWidth="1"/>
    <col min="1038" max="1038" width="9.42578125" style="373" customWidth="1"/>
    <col min="1039" max="1043" width="8.7109375" style="373" customWidth="1"/>
    <col min="1044" max="1280" width="9.140625" style="373"/>
    <col min="1281" max="1281" width="5.7109375" style="373" customWidth="1"/>
    <col min="1282" max="1282" width="5" style="373" customWidth="1"/>
    <col min="1283" max="1283" width="9.140625" style="373"/>
    <col min="1284" max="1285" width="5.140625" style="373" customWidth="1"/>
    <col min="1286" max="1286" width="2" style="373" customWidth="1"/>
    <col min="1287" max="1287" width="29.28515625" style="373" customWidth="1"/>
    <col min="1288" max="1292" width="0" style="373" hidden="1" customWidth="1"/>
    <col min="1293" max="1293" width="8.7109375" style="373" customWidth="1"/>
    <col min="1294" max="1294" width="9.42578125" style="373" customWidth="1"/>
    <col min="1295" max="1299" width="8.7109375" style="373" customWidth="1"/>
    <col min="1300" max="1536" width="9.140625" style="373"/>
    <col min="1537" max="1537" width="5.7109375" style="373" customWidth="1"/>
    <col min="1538" max="1538" width="5" style="373" customWidth="1"/>
    <col min="1539" max="1539" width="9.140625" style="373"/>
    <col min="1540" max="1541" width="5.140625" style="373" customWidth="1"/>
    <col min="1542" max="1542" width="2" style="373" customWidth="1"/>
    <col min="1543" max="1543" width="29.28515625" style="373" customWidth="1"/>
    <col min="1544" max="1548" width="0" style="373" hidden="1" customWidth="1"/>
    <col min="1549" max="1549" width="8.7109375" style="373" customWidth="1"/>
    <col min="1550" max="1550" width="9.42578125" style="373" customWidth="1"/>
    <col min="1551" max="1555" width="8.7109375" style="373" customWidth="1"/>
    <col min="1556" max="1792" width="9.140625" style="373"/>
    <col min="1793" max="1793" width="5.7109375" style="373" customWidth="1"/>
    <col min="1794" max="1794" width="5" style="373" customWidth="1"/>
    <col min="1795" max="1795" width="9.140625" style="373"/>
    <col min="1796" max="1797" width="5.140625" style="373" customWidth="1"/>
    <col min="1798" max="1798" width="2" style="373" customWidth="1"/>
    <col min="1799" max="1799" width="29.28515625" style="373" customWidth="1"/>
    <col min="1800" max="1804" width="0" style="373" hidden="1" customWidth="1"/>
    <col min="1805" max="1805" width="8.7109375" style="373" customWidth="1"/>
    <col min="1806" max="1806" width="9.42578125" style="373" customWidth="1"/>
    <col min="1807" max="1811" width="8.7109375" style="373" customWidth="1"/>
    <col min="1812" max="2048" width="9.140625" style="373"/>
    <col min="2049" max="2049" width="5.7109375" style="373" customWidth="1"/>
    <col min="2050" max="2050" width="5" style="373" customWidth="1"/>
    <col min="2051" max="2051" width="9.140625" style="373"/>
    <col min="2052" max="2053" width="5.140625" style="373" customWidth="1"/>
    <col min="2054" max="2054" width="2" style="373" customWidth="1"/>
    <col min="2055" max="2055" width="29.28515625" style="373" customWidth="1"/>
    <col min="2056" max="2060" width="0" style="373" hidden="1" customWidth="1"/>
    <col min="2061" max="2061" width="8.7109375" style="373" customWidth="1"/>
    <col min="2062" max="2062" width="9.42578125" style="373" customWidth="1"/>
    <col min="2063" max="2067" width="8.7109375" style="373" customWidth="1"/>
    <col min="2068" max="2304" width="9.140625" style="373"/>
    <col min="2305" max="2305" width="5.7109375" style="373" customWidth="1"/>
    <col min="2306" max="2306" width="5" style="373" customWidth="1"/>
    <col min="2307" max="2307" width="9.140625" style="373"/>
    <col min="2308" max="2309" width="5.140625" style="373" customWidth="1"/>
    <col min="2310" max="2310" width="2" style="373" customWidth="1"/>
    <col min="2311" max="2311" width="29.28515625" style="373" customWidth="1"/>
    <col min="2312" max="2316" width="0" style="373" hidden="1" customWidth="1"/>
    <col min="2317" max="2317" width="8.7109375" style="373" customWidth="1"/>
    <col min="2318" max="2318" width="9.42578125" style="373" customWidth="1"/>
    <col min="2319" max="2323" width="8.7109375" style="373" customWidth="1"/>
    <col min="2324" max="2560" width="9.140625" style="373"/>
    <col min="2561" max="2561" width="5.7109375" style="373" customWidth="1"/>
    <col min="2562" max="2562" width="5" style="373" customWidth="1"/>
    <col min="2563" max="2563" width="9.140625" style="373"/>
    <col min="2564" max="2565" width="5.140625" style="373" customWidth="1"/>
    <col min="2566" max="2566" width="2" style="373" customWidth="1"/>
    <col min="2567" max="2567" width="29.28515625" style="373" customWidth="1"/>
    <col min="2568" max="2572" width="0" style="373" hidden="1" customWidth="1"/>
    <col min="2573" max="2573" width="8.7109375" style="373" customWidth="1"/>
    <col min="2574" max="2574" width="9.42578125" style="373" customWidth="1"/>
    <col min="2575" max="2579" width="8.7109375" style="373" customWidth="1"/>
    <col min="2580" max="2816" width="9.140625" style="373"/>
    <col min="2817" max="2817" width="5.7109375" style="373" customWidth="1"/>
    <col min="2818" max="2818" width="5" style="373" customWidth="1"/>
    <col min="2819" max="2819" width="9.140625" style="373"/>
    <col min="2820" max="2821" width="5.140625" style="373" customWidth="1"/>
    <col min="2822" max="2822" width="2" style="373" customWidth="1"/>
    <col min="2823" max="2823" width="29.28515625" style="373" customWidth="1"/>
    <col min="2824" max="2828" width="0" style="373" hidden="1" customWidth="1"/>
    <col min="2829" max="2829" width="8.7109375" style="373" customWidth="1"/>
    <col min="2830" max="2830" width="9.42578125" style="373" customWidth="1"/>
    <col min="2831" max="2835" width="8.7109375" style="373" customWidth="1"/>
    <col min="2836" max="3072" width="9.140625" style="373"/>
    <col min="3073" max="3073" width="5.7109375" style="373" customWidth="1"/>
    <col min="3074" max="3074" width="5" style="373" customWidth="1"/>
    <col min="3075" max="3075" width="9.140625" style="373"/>
    <col min="3076" max="3077" width="5.140625" style="373" customWidth="1"/>
    <col min="3078" max="3078" width="2" style="373" customWidth="1"/>
    <col min="3079" max="3079" width="29.28515625" style="373" customWidth="1"/>
    <col min="3080" max="3084" width="0" style="373" hidden="1" customWidth="1"/>
    <col min="3085" max="3085" width="8.7109375" style="373" customWidth="1"/>
    <col min="3086" max="3086" width="9.42578125" style="373" customWidth="1"/>
    <col min="3087" max="3091" width="8.7109375" style="373" customWidth="1"/>
    <col min="3092" max="3328" width="9.140625" style="373"/>
    <col min="3329" max="3329" width="5.7109375" style="373" customWidth="1"/>
    <col min="3330" max="3330" width="5" style="373" customWidth="1"/>
    <col min="3331" max="3331" width="9.140625" style="373"/>
    <col min="3332" max="3333" width="5.140625" style="373" customWidth="1"/>
    <col min="3334" max="3334" width="2" style="373" customWidth="1"/>
    <col min="3335" max="3335" width="29.28515625" style="373" customWidth="1"/>
    <col min="3336" max="3340" width="0" style="373" hidden="1" customWidth="1"/>
    <col min="3341" max="3341" width="8.7109375" style="373" customWidth="1"/>
    <col min="3342" max="3342" width="9.42578125" style="373" customWidth="1"/>
    <col min="3343" max="3347" width="8.7109375" style="373" customWidth="1"/>
    <col min="3348" max="3584" width="9.140625" style="373"/>
    <col min="3585" max="3585" width="5.7109375" style="373" customWidth="1"/>
    <col min="3586" max="3586" width="5" style="373" customWidth="1"/>
    <col min="3587" max="3587" width="9.140625" style="373"/>
    <col min="3588" max="3589" width="5.140625" style="373" customWidth="1"/>
    <col min="3590" max="3590" width="2" style="373" customWidth="1"/>
    <col min="3591" max="3591" width="29.28515625" style="373" customWidth="1"/>
    <col min="3592" max="3596" width="0" style="373" hidden="1" customWidth="1"/>
    <col min="3597" max="3597" width="8.7109375" style="373" customWidth="1"/>
    <col min="3598" max="3598" width="9.42578125" style="373" customWidth="1"/>
    <col min="3599" max="3603" width="8.7109375" style="373" customWidth="1"/>
    <col min="3604" max="3840" width="9.140625" style="373"/>
    <col min="3841" max="3841" width="5.7109375" style="373" customWidth="1"/>
    <col min="3842" max="3842" width="5" style="373" customWidth="1"/>
    <col min="3843" max="3843" width="9.140625" style="373"/>
    <col min="3844" max="3845" width="5.140625" style="373" customWidth="1"/>
    <col min="3846" max="3846" width="2" style="373" customWidth="1"/>
    <col min="3847" max="3847" width="29.28515625" style="373" customWidth="1"/>
    <col min="3848" max="3852" width="0" style="373" hidden="1" customWidth="1"/>
    <col min="3853" max="3853" width="8.7109375" style="373" customWidth="1"/>
    <col min="3854" max="3854" width="9.42578125" style="373" customWidth="1"/>
    <col min="3855" max="3859" width="8.7109375" style="373" customWidth="1"/>
    <col min="3860" max="4096" width="9.140625" style="373"/>
    <col min="4097" max="4097" width="5.7109375" style="373" customWidth="1"/>
    <col min="4098" max="4098" width="5" style="373" customWidth="1"/>
    <col min="4099" max="4099" width="9.140625" style="373"/>
    <col min="4100" max="4101" width="5.140625" style="373" customWidth="1"/>
    <col min="4102" max="4102" width="2" style="373" customWidth="1"/>
    <col min="4103" max="4103" width="29.28515625" style="373" customWidth="1"/>
    <col min="4104" max="4108" width="0" style="373" hidden="1" customWidth="1"/>
    <col min="4109" max="4109" width="8.7109375" style="373" customWidth="1"/>
    <col min="4110" max="4110" width="9.42578125" style="373" customWidth="1"/>
    <col min="4111" max="4115" width="8.7109375" style="373" customWidth="1"/>
    <col min="4116" max="4352" width="9.140625" style="373"/>
    <col min="4353" max="4353" width="5.7109375" style="373" customWidth="1"/>
    <col min="4354" max="4354" width="5" style="373" customWidth="1"/>
    <col min="4355" max="4355" width="9.140625" style="373"/>
    <col min="4356" max="4357" width="5.140625" style="373" customWidth="1"/>
    <col min="4358" max="4358" width="2" style="373" customWidth="1"/>
    <col min="4359" max="4359" width="29.28515625" style="373" customWidth="1"/>
    <col min="4360" max="4364" width="0" style="373" hidden="1" customWidth="1"/>
    <col min="4365" max="4365" width="8.7109375" style="373" customWidth="1"/>
    <col min="4366" max="4366" width="9.42578125" style="373" customWidth="1"/>
    <col min="4367" max="4371" width="8.7109375" style="373" customWidth="1"/>
    <col min="4372" max="4608" width="9.140625" style="373"/>
    <col min="4609" max="4609" width="5.7109375" style="373" customWidth="1"/>
    <col min="4610" max="4610" width="5" style="373" customWidth="1"/>
    <col min="4611" max="4611" width="9.140625" style="373"/>
    <col min="4612" max="4613" width="5.140625" style="373" customWidth="1"/>
    <col min="4614" max="4614" width="2" style="373" customWidth="1"/>
    <col min="4615" max="4615" width="29.28515625" style="373" customWidth="1"/>
    <col min="4616" max="4620" width="0" style="373" hidden="1" customWidth="1"/>
    <col min="4621" max="4621" width="8.7109375" style="373" customWidth="1"/>
    <col min="4622" max="4622" width="9.42578125" style="373" customWidth="1"/>
    <col min="4623" max="4627" width="8.7109375" style="373" customWidth="1"/>
    <col min="4628" max="4864" width="9.140625" style="373"/>
    <col min="4865" max="4865" width="5.7109375" style="373" customWidth="1"/>
    <col min="4866" max="4866" width="5" style="373" customWidth="1"/>
    <col min="4867" max="4867" width="9.140625" style="373"/>
    <col min="4868" max="4869" width="5.140625" style="373" customWidth="1"/>
    <col min="4870" max="4870" width="2" style="373" customWidth="1"/>
    <col min="4871" max="4871" width="29.28515625" style="373" customWidth="1"/>
    <col min="4872" max="4876" width="0" style="373" hidden="1" customWidth="1"/>
    <col min="4877" max="4877" width="8.7109375" style="373" customWidth="1"/>
    <col min="4878" max="4878" width="9.42578125" style="373" customWidth="1"/>
    <col min="4879" max="4883" width="8.7109375" style="373" customWidth="1"/>
    <col min="4884" max="5120" width="9.140625" style="373"/>
    <col min="5121" max="5121" width="5.7109375" style="373" customWidth="1"/>
    <col min="5122" max="5122" width="5" style="373" customWidth="1"/>
    <col min="5123" max="5123" width="9.140625" style="373"/>
    <col min="5124" max="5125" width="5.140625" style="373" customWidth="1"/>
    <col min="5126" max="5126" width="2" style="373" customWidth="1"/>
    <col min="5127" max="5127" width="29.28515625" style="373" customWidth="1"/>
    <col min="5128" max="5132" width="0" style="373" hidden="1" customWidth="1"/>
    <col min="5133" max="5133" width="8.7109375" style="373" customWidth="1"/>
    <col min="5134" max="5134" width="9.42578125" style="373" customWidth="1"/>
    <col min="5135" max="5139" width="8.7109375" style="373" customWidth="1"/>
    <col min="5140" max="5376" width="9.140625" style="373"/>
    <col min="5377" max="5377" width="5.7109375" style="373" customWidth="1"/>
    <col min="5378" max="5378" width="5" style="373" customWidth="1"/>
    <col min="5379" max="5379" width="9.140625" style="373"/>
    <col min="5380" max="5381" width="5.140625" style="373" customWidth="1"/>
    <col min="5382" max="5382" width="2" style="373" customWidth="1"/>
    <col min="5383" max="5383" width="29.28515625" style="373" customWidth="1"/>
    <col min="5384" max="5388" width="0" style="373" hidden="1" customWidth="1"/>
    <col min="5389" max="5389" width="8.7109375" style="373" customWidth="1"/>
    <col min="5390" max="5390" width="9.42578125" style="373" customWidth="1"/>
    <col min="5391" max="5395" width="8.7109375" style="373" customWidth="1"/>
    <col min="5396" max="5632" width="9.140625" style="373"/>
    <col min="5633" max="5633" width="5.7109375" style="373" customWidth="1"/>
    <col min="5634" max="5634" width="5" style="373" customWidth="1"/>
    <col min="5635" max="5635" width="9.140625" style="373"/>
    <col min="5636" max="5637" width="5.140625" style="373" customWidth="1"/>
    <col min="5638" max="5638" width="2" style="373" customWidth="1"/>
    <col min="5639" max="5639" width="29.28515625" style="373" customWidth="1"/>
    <col min="5640" max="5644" width="0" style="373" hidden="1" customWidth="1"/>
    <col min="5645" max="5645" width="8.7109375" style="373" customWidth="1"/>
    <col min="5646" max="5646" width="9.42578125" style="373" customWidth="1"/>
    <col min="5647" max="5651" width="8.7109375" style="373" customWidth="1"/>
    <col min="5652" max="5888" width="9.140625" style="373"/>
    <col min="5889" max="5889" width="5.7109375" style="373" customWidth="1"/>
    <col min="5890" max="5890" width="5" style="373" customWidth="1"/>
    <col min="5891" max="5891" width="9.140625" style="373"/>
    <col min="5892" max="5893" width="5.140625" style="373" customWidth="1"/>
    <col min="5894" max="5894" width="2" style="373" customWidth="1"/>
    <col min="5895" max="5895" width="29.28515625" style="373" customWidth="1"/>
    <col min="5896" max="5900" width="0" style="373" hidden="1" customWidth="1"/>
    <col min="5901" max="5901" width="8.7109375" style="373" customWidth="1"/>
    <col min="5902" max="5902" width="9.42578125" style="373" customWidth="1"/>
    <col min="5903" max="5907" width="8.7109375" style="373" customWidth="1"/>
    <col min="5908" max="6144" width="9.140625" style="373"/>
    <col min="6145" max="6145" width="5.7109375" style="373" customWidth="1"/>
    <col min="6146" max="6146" width="5" style="373" customWidth="1"/>
    <col min="6147" max="6147" width="9.140625" style="373"/>
    <col min="6148" max="6149" width="5.140625" style="373" customWidth="1"/>
    <col min="6150" max="6150" width="2" style="373" customWidth="1"/>
    <col min="6151" max="6151" width="29.28515625" style="373" customWidth="1"/>
    <col min="6152" max="6156" width="0" style="373" hidden="1" customWidth="1"/>
    <col min="6157" max="6157" width="8.7109375" style="373" customWidth="1"/>
    <col min="6158" max="6158" width="9.42578125" style="373" customWidth="1"/>
    <col min="6159" max="6163" width="8.7109375" style="373" customWidth="1"/>
    <col min="6164" max="6400" width="9.140625" style="373"/>
    <col min="6401" max="6401" width="5.7109375" style="373" customWidth="1"/>
    <col min="6402" max="6402" width="5" style="373" customWidth="1"/>
    <col min="6403" max="6403" width="9.140625" style="373"/>
    <col min="6404" max="6405" width="5.140625" style="373" customWidth="1"/>
    <col min="6406" max="6406" width="2" style="373" customWidth="1"/>
    <col min="6407" max="6407" width="29.28515625" style="373" customWidth="1"/>
    <col min="6408" max="6412" width="0" style="373" hidden="1" customWidth="1"/>
    <col min="6413" max="6413" width="8.7109375" style="373" customWidth="1"/>
    <col min="6414" max="6414" width="9.42578125" style="373" customWidth="1"/>
    <col min="6415" max="6419" width="8.7109375" style="373" customWidth="1"/>
    <col min="6420" max="6656" width="9.140625" style="373"/>
    <col min="6657" max="6657" width="5.7109375" style="373" customWidth="1"/>
    <col min="6658" max="6658" width="5" style="373" customWidth="1"/>
    <col min="6659" max="6659" width="9.140625" style="373"/>
    <col min="6660" max="6661" width="5.140625" style="373" customWidth="1"/>
    <col min="6662" max="6662" width="2" style="373" customWidth="1"/>
    <col min="6663" max="6663" width="29.28515625" style="373" customWidth="1"/>
    <col min="6664" max="6668" width="0" style="373" hidden="1" customWidth="1"/>
    <col min="6669" max="6669" width="8.7109375" style="373" customWidth="1"/>
    <col min="6670" max="6670" width="9.42578125" style="373" customWidth="1"/>
    <col min="6671" max="6675" width="8.7109375" style="373" customWidth="1"/>
    <col min="6676" max="6912" width="9.140625" style="373"/>
    <col min="6913" max="6913" width="5.7109375" style="373" customWidth="1"/>
    <col min="6914" max="6914" width="5" style="373" customWidth="1"/>
    <col min="6915" max="6915" width="9.140625" style="373"/>
    <col min="6916" max="6917" width="5.140625" style="373" customWidth="1"/>
    <col min="6918" max="6918" width="2" style="373" customWidth="1"/>
    <col min="6919" max="6919" width="29.28515625" style="373" customWidth="1"/>
    <col min="6920" max="6924" width="0" style="373" hidden="1" customWidth="1"/>
    <col min="6925" max="6925" width="8.7109375" style="373" customWidth="1"/>
    <col min="6926" max="6926" width="9.42578125" style="373" customWidth="1"/>
    <col min="6927" max="6931" width="8.7109375" style="373" customWidth="1"/>
    <col min="6932" max="7168" width="9.140625" style="373"/>
    <col min="7169" max="7169" width="5.7109375" style="373" customWidth="1"/>
    <col min="7170" max="7170" width="5" style="373" customWidth="1"/>
    <col min="7171" max="7171" width="9.140625" style="373"/>
    <col min="7172" max="7173" width="5.140625" style="373" customWidth="1"/>
    <col min="7174" max="7174" width="2" style="373" customWidth="1"/>
    <col min="7175" max="7175" width="29.28515625" style="373" customWidth="1"/>
    <col min="7176" max="7180" width="0" style="373" hidden="1" customWidth="1"/>
    <col min="7181" max="7181" width="8.7109375" style="373" customWidth="1"/>
    <col min="7182" max="7182" width="9.42578125" style="373" customWidth="1"/>
    <col min="7183" max="7187" width="8.7109375" style="373" customWidth="1"/>
    <col min="7188" max="7424" width="9.140625" style="373"/>
    <col min="7425" max="7425" width="5.7109375" style="373" customWidth="1"/>
    <col min="7426" max="7426" width="5" style="373" customWidth="1"/>
    <col min="7427" max="7427" width="9.140625" style="373"/>
    <col min="7428" max="7429" width="5.140625" style="373" customWidth="1"/>
    <col min="7430" max="7430" width="2" style="373" customWidth="1"/>
    <col min="7431" max="7431" width="29.28515625" style="373" customWidth="1"/>
    <col min="7432" max="7436" width="0" style="373" hidden="1" customWidth="1"/>
    <col min="7437" max="7437" width="8.7109375" style="373" customWidth="1"/>
    <col min="7438" max="7438" width="9.42578125" style="373" customWidth="1"/>
    <col min="7439" max="7443" width="8.7109375" style="373" customWidth="1"/>
    <col min="7444" max="7680" width="9.140625" style="373"/>
    <col min="7681" max="7681" width="5.7109375" style="373" customWidth="1"/>
    <col min="7682" max="7682" width="5" style="373" customWidth="1"/>
    <col min="7683" max="7683" width="9.140625" style="373"/>
    <col min="7684" max="7685" width="5.140625" style="373" customWidth="1"/>
    <col min="7686" max="7686" width="2" style="373" customWidth="1"/>
    <col min="7687" max="7687" width="29.28515625" style="373" customWidth="1"/>
    <col min="7688" max="7692" width="0" style="373" hidden="1" customWidth="1"/>
    <col min="7693" max="7693" width="8.7109375" style="373" customWidth="1"/>
    <col min="7694" max="7694" width="9.42578125" style="373" customWidth="1"/>
    <col min="7695" max="7699" width="8.7109375" style="373" customWidth="1"/>
    <col min="7700" max="7936" width="9.140625" style="373"/>
    <col min="7937" max="7937" width="5.7109375" style="373" customWidth="1"/>
    <col min="7938" max="7938" width="5" style="373" customWidth="1"/>
    <col min="7939" max="7939" width="9.140625" style="373"/>
    <col min="7940" max="7941" width="5.140625" style="373" customWidth="1"/>
    <col min="7942" max="7942" width="2" style="373" customWidth="1"/>
    <col min="7943" max="7943" width="29.28515625" style="373" customWidth="1"/>
    <col min="7944" max="7948" width="0" style="373" hidden="1" customWidth="1"/>
    <col min="7949" max="7949" width="8.7109375" style="373" customWidth="1"/>
    <col min="7950" max="7950" width="9.42578125" style="373" customWidth="1"/>
    <col min="7951" max="7955" width="8.7109375" style="373" customWidth="1"/>
    <col min="7956" max="8192" width="9.140625" style="373"/>
    <col min="8193" max="8193" width="5.7109375" style="373" customWidth="1"/>
    <col min="8194" max="8194" width="5" style="373" customWidth="1"/>
    <col min="8195" max="8195" width="9.140625" style="373"/>
    <col min="8196" max="8197" width="5.140625" style="373" customWidth="1"/>
    <col min="8198" max="8198" width="2" style="373" customWidth="1"/>
    <col min="8199" max="8199" width="29.28515625" style="373" customWidth="1"/>
    <col min="8200" max="8204" width="0" style="373" hidden="1" customWidth="1"/>
    <col min="8205" max="8205" width="8.7109375" style="373" customWidth="1"/>
    <col min="8206" max="8206" width="9.42578125" style="373" customWidth="1"/>
    <col min="8207" max="8211" width="8.7109375" style="373" customWidth="1"/>
    <col min="8212" max="8448" width="9.140625" style="373"/>
    <col min="8449" max="8449" width="5.7109375" style="373" customWidth="1"/>
    <col min="8450" max="8450" width="5" style="373" customWidth="1"/>
    <col min="8451" max="8451" width="9.140625" style="373"/>
    <col min="8452" max="8453" width="5.140625" style="373" customWidth="1"/>
    <col min="8454" max="8454" width="2" style="373" customWidth="1"/>
    <col min="8455" max="8455" width="29.28515625" style="373" customWidth="1"/>
    <col min="8456" max="8460" width="0" style="373" hidden="1" customWidth="1"/>
    <col min="8461" max="8461" width="8.7109375" style="373" customWidth="1"/>
    <col min="8462" max="8462" width="9.42578125" style="373" customWidth="1"/>
    <col min="8463" max="8467" width="8.7109375" style="373" customWidth="1"/>
    <col min="8468" max="8704" width="9.140625" style="373"/>
    <col min="8705" max="8705" width="5.7109375" style="373" customWidth="1"/>
    <col min="8706" max="8706" width="5" style="373" customWidth="1"/>
    <col min="8707" max="8707" width="9.140625" style="373"/>
    <col min="8708" max="8709" width="5.140625" style="373" customWidth="1"/>
    <col min="8710" max="8710" width="2" style="373" customWidth="1"/>
    <col min="8711" max="8711" width="29.28515625" style="373" customWidth="1"/>
    <col min="8712" max="8716" width="0" style="373" hidden="1" customWidth="1"/>
    <col min="8717" max="8717" width="8.7109375" style="373" customWidth="1"/>
    <col min="8718" max="8718" width="9.42578125" style="373" customWidth="1"/>
    <col min="8719" max="8723" width="8.7109375" style="373" customWidth="1"/>
    <col min="8724" max="8960" width="9.140625" style="373"/>
    <col min="8961" max="8961" width="5.7109375" style="373" customWidth="1"/>
    <col min="8962" max="8962" width="5" style="373" customWidth="1"/>
    <col min="8963" max="8963" width="9.140625" style="373"/>
    <col min="8964" max="8965" width="5.140625" style="373" customWidth="1"/>
    <col min="8966" max="8966" width="2" style="373" customWidth="1"/>
    <col min="8967" max="8967" width="29.28515625" style="373" customWidth="1"/>
    <col min="8968" max="8972" width="0" style="373" hidden="1" customWidth="1"/>
    <col min="8973" max="8973" width="8.7109375" style="373" customWidth="1"/>
    <col min="8974" max="8974" width="9.42578125" style="373" customWidth="1"/>
    <col min="8975" max="8979" width="8.7109375" style="373" customWidth="1"/>
    <col min="8980" max="9216" width="9.140625" style="373"/>
    <col min="9217" max="9217" width="5.7109375" style="373" customWidth="1"/>
    <col min="9218" max="9218" width="5" style="373" customWidth="1"/>
    <col min="9219" max="9219" width="9.140625" style="373"/>
    <col min="9220" max="9221" width="5.140625" style="373" customWidth="1"/>
    <col min="9222" max="9222" width="2" style="373" customWidth="1"/>
    <col min="9223" max="9223" width="29.28515625" style="373" customWidth="1"/>
    <col min="9224" max="9228" width="0" style="373" hidden="1" customWidth="1"/>
    <col min="9229" max="9229" width="8.7109375" style="373" customWidth="1"/>
    <col min="9230" max="9230" width="9.42578125" style="373" customWidth="1"/>
    <col min="9231" max="9235" width="8.7109375" style="373" customWidth="1"/>
    <col min="9236" max="9472" width="9.140625" style="373"/>
    <col min="9473" max="9473" width="5.7109375" style="373" customWidth="1"/>
    <col min="9474" max="9474" width="5" style="373" customWidth="1"/>
    <col min="9475" max="9475" width="9.140625" style="373"/>
    <col min="9476" max="9477" width="5.140625" style="373" customWidth="1"/>
    <col min="9478" max="9478" width="2" style="373" customWidth="1"/>
    <col min="9479" max="9479" width="29.28515625" style="373" customWidth="1"/>
    <col min="9480" max="9484" width="0" style="373" hidden="1" customWidth="1"/>
    <col min="9485" max="9485" width="8.7109375" style="373" customWidth="1"/>
    <col min="9486" max="9486" width="9.42578125" style="373" customWidth="1"/>
    <col min="9487" max="9491" width="8.7109375" style="373" customWidth="1"/>
    <col min="9492" max="9728" width="9.140625" style="373"/>
    <col min="9729" max="9729" width="5.7109375" style="373" customWidth="1"/>
    <col min="9730" max="9730" width="5" style="373" customWidth="1"/>
    <col min="9731" max="9731" width="9.140625" style="373"/>
    <col min="9732" max="9733" width="5.140625" style="373" customWidth="1"/>
    <col min="9734" max="9734" width="2" style="373" customWidth="1"/>
    <col min="9735" max="9735" width="29.28515625" style="373" customWidth="1"/>
    <col min="9736" max="9740" width="0" style="373" hidden="1" customWidth="1"/>
    <col min="9741" max="9741" width="8.7109375" style="373" customWidth="1"/>
    <col min="9742" max="9742" width="9.42578125" style="373" customWidth="1"/>
    <col min="9743" max="9747" width="8.7109375" style="373" customWidth="1"/>
    <col min="9748" max="9984" width="9.140625" style="373"/>
    <col min="9985" max="9985" width="5.7109375" style="373" customWidth="1"/>
    <col min="9986" max="9986" width="5" style="373" customWidth="1"/>
    <col min="9987" max="9987" width="9.140625" style="373"/>
    <col min="9988" max="9989" width="5.140625" style="373" customWidth="1"/>
    <col min="9990" max="9990" width="2" style="373" customWidth="1"/>
    <col min="9991" max="9991" width="29.28515625" style="373" customWidth="1"/>
    <col min="9992" max="9996" width="0" style="373" hidden="1" customWidth="1"/>
    <col min="9997" max="9997" width="8.7109375" style="373" customWidth="1"/>
    <col min="9998" max="9998" width="9.42578125" style="373" customWidth="1"/>
    <col min="9999" max="10003" width="8.7109375" style="373" customWidth="1"/>
    <col min="10004" max="10240" width="9.140625" style="373"/>
    <col min="10241" max="10241" width="5.7109375" style="373" customWidth="1"/>
    <col min="10242" max="10242" width="5" style="373" customWidth="1"/>
    <col min="10243" max="10243" width="9.140625" style="373"/>
    <col min="10244" max="10245" width="5.140625" style="373" customWidth="1"/>
    <col min="10246" max="10246" width="2" style="373" customWidth="1"/>
    <col min="10247" max="10247" width="29.28515625" style="373" customWidth="1"/>
    <col min="10248" max="10252" width="0" style="373" hidden="1" customWidth="1"/>
    <col min="10253" max="10253" width="8.7109375" style="373" customWidth="1"/>
    <col min="10254" max="10254" width="9.42578125" style="373" customWidth="1"/>
    <col min="10255" max="10259" width="8.7109375" style="373" customWidth="1"/>
    <col min="10260" max="10496" width="9.140625" style="373"/>
    <col min="10497" max="10497" width="5.7109375" style="373" customWidth="1"/>
    <col min="10498" max="10498" width="5" style="373" customWidth="1"/>
    <col min="10499" max="10499" width="9.140625" style="373"/>
    <col min="10500" max="10501" width="5.140625" style="373" customWidth="1"/>
    <col min="10502" max="10502" width="2" style="373" customWidth="1"/>
    <col min="10503" max="10503" width="29.28515625" style="373" customWidth="1"/>
    <col min="10504" max="10508" width="0" style="373" hidden="1" customWidth="1"/>
    <col min="10509" max="10509" width="8.7109375" style="373" customWidth="1"/>
    <col min="10510" max="10510" width="9.42578125" style="373" customWidth="1"/>
    <col min="10511" max="10515" width="8.7109375" style="373" customWidth="1"/>
    <col min="10516" max="10752" width="9.140625" style="373"/>
    <col min="10753" max="10753" width="5.7109375" style="373" customWidth="1"/>
    <col min="10754" max="10754" width="5" style="373" customWidth="1"/>
    <col min="10755" max="10755" width="9.140625" style="373"/>
    <col min="10756" max="10757" width="5.140625" style="373" customWidth="1"/>
    <col min="10758" max="10758" width="2" style="373" customWidth="1"/>
    <col min="10759" max="10759" width="29.28515625" style="373" customWidth="1"/>
    <col min="10760" max="10764" width="0" style="373" hidden="1" customWidth="1"/>
    <col min="10765" max="10765" width="8.7109375" style="373" customWidth="1"/>
    <col min="10766" max="10766" width="9.42578125" style="373" customWidth="1"/>
    <col min="10767" max="10771" width="8.7109375" style="373" customWidth="1"/>
    <col min="10772" max="11008" width="9.140625" style="373"/>
    <col min="11009" max="11009" width="5.7109375" style="373" customWidth="1"/>
    <col min="11010" max="11010" width="5" style="373" customWidth="1"/>
    <col min="11011" max="11011" width="9.140625" style="373"/>
    <col min="11012" max="11013" width="5.140625" style="373" customWidth="1"/>
    <col min="11014" max="11014" width="2" style="373" customWidth="1"/>
    <col min="11015" max="11015" width="29.28515625" style="373" customWidth="1"/>
    <col min="11016" max="11020" width="0" style="373" hidden="1" customWidth="1"/>
    <col min="11021" max="11021" width="8.7109375" style="373" customWidth="1"/>
    <col min="11022" max="11022" width="9.42578125" style="373" customWidth="1"/>
    <col min="11023" max="11027" width="8.7109375" style="373" customWidth="1"/>
    <col min="11028" max="11264" width="9.140625" style="373"/>
    <col min="11265" max="11265" width="5.7109375" style="373" customWidth="1"/>
    <col min="11266" max="11266" width="5" style="373" customWidth="1"/>
    <col min="11267" max="11267" width="9.140625" style="373"/>
    <col min="11268" max="11269" width="5.140625" style="373" customWidth="1"/>
    <col min="11270" max="11270" width="2" style="373" customWidth="1"/>
    <col min="11271" max="11271" width="29.28515625" style="373" customWidth="1"/>
    <col min="11272" max="11276" width="0" style="373" hidden="1" customWidth="1"/>
    <col min="11277" max="11277" width="8.7109375" style="373" customWidth="1"/>
    <col min="11278" max="11278" width="9.42578125" style="373" customWidth="1"/>
    <col min="11279" max="11283" width="8.7109375" style="373" customWidth="1"/>
    <col min="11284" max="11520" width="9.140625" style="373"/>
    <col min="11521" max="11521" width="5.7109375" style="373" customWidth="1"/>
    <col min="11522" max="11522" width="5" style="373" customWidth="1"/>
    <col min="11523" max="11523" width="9.140625" style="373"/>
    <col min="11524" max="11525" width="5.140625" style="373" customWidth="1"/>
    <col min="11526" max="11526" width="2" style="373" customWidth="1"/>
    <col min="11527" max="11527" width="29.28515625" style="373" customWidth="1"/>
    <col min="11528" max="11532" width="0" style="373" hidden="1" customWidth="1"/>
    <col min="11533" max="11533" width="8.7109375" style="373" customWidth="1"/>
    <col min="11534" max="11534" width="9.42578125" style="373" customWidth="1"/>
    <col min="11535" max="11539" width="8.7109375" style="373" customWidth="1"/>
    <col min="11540" max="11776" width="9.140625" style="373"/>
    <col min="11777" max="11777" width="5.7109375" style="373" customWidth="1"/>
    <col min="11778" max="11778" width="5" style="373" customWidth="1"/>
    <col min="11779" max="11779" width="9.140625" style="373"/>
    <col min="11780" max="11781" width="5.140625" style="373" customWidth="1"/>
    <col min="11782" max="11782" width="2" style="373" customWidth="1"/>
    <col min="11783" max="11783" width="29.28515625" style="373" customWidth="1"/>
    <col min="11784" max="11788" width="0" style="373" hidden="1" customWidth="1"/>
    <col min="11789" max="11789" width="8.7109375" style="373" customWidth="1"/>
    <col min="11790" max="11790" width="9.42578125" style="373" customWidth="1"/>
    <col min="11791" max="11795" width="8.7109375" style="373" customWidth="1"/>
    <col min="11796" max="12032" width="9.140625" style="373"/>
    <col min="12033" max="12033" width="5.7109375" style="373" customWidth="1"/>
    <col min="12034" max="12034" width="5" style="373" customWidth="1"/>
    <col min="12035" max="12035" width="9.140625" style="373"/>
    <col min="12036" max="12037" width="5.140625" style="373" customWidth="1"/>
    <col min="12038" max="12038" width="2" style="373" customWidth="1"/>
    <col min="12039" max="12039" width="29.28515625" style="373" customWidth="1"/>
    <col min="12040" max="12044" width="0" style="373" hidden="1" customWidth="1"/>
    <col min="12045" max="12045" width="8.7109375" style="373" customWidth="1"/>
    <col min="12046" max="12046" width="9.42578125" style="373" customWidth="1"/>
    <col min="12047" max="12051" width="8.7109375" style="373" customWidth="1"/>
    <col min="12052" max="12288" width="9.140625" style="373"/>
    <col min="12289" max="12289" width="5.7109375" style="373" customWidth="1"/>
    <col min="12290" max="12290" width="5" style="373" customWidth="1"/>
    <col min="12291" max="12291" width="9.140625" style="373"/>
    <col min="12292" max="12293" width="5.140625" style="373" customWidth="1"/>
    <col min="12294" max="12294" width="2" style="373" customWidth="1"/>
    <col min="12295" max="12295" width="29.28515625" style="373" customWidth="1"/>
    <col min="12296" max="12300" width="0" style="373" hidden="1" customWidth="1"/>
    <col min="12301" max="12301" width="8.7109375" style="373" customWidth="1"/>
    <col min="12302" max="12302" width="9.42578125" style="373" customWidth="1"/>
    <col min="12303" max="12307" width="8.7109375" style="373" customWidth="1"/>
    <col min="12308" max="12544" width="9.140625" style="373"/>
    <col min="12545" max="12545" width="5.7109375" style="373" customWidth="1"/>
    <col min="12546" max="12546" width="5" style="373" customWidth="1"/>
    <col min="12547" max="12547" width="9.140625" style="373"/>
    <col min="12548" max="12549" width="5.140625" style="373" customWidth="1"/>
    <col min="12550" max="12550" width="2" style="373" customWidth="1"/>
    <col min="12551" max="12551" width="29.28515625" style="373" customWidth="1"/>
    <col min="12552" max="12556" width="0" style="373" hidden="1" customWidth="1"/>
    <col min="12557" max="12557" width="8.7109375" style="373" customWidth="1"/>
    <col min="12558" max="12558" width="9.42578125" style="373" customWidth="1"/>
    <col min="12559" max="12563" width="8.7109375" style="373" customWidth="1"/>
    <col min="12564" max="12800" width="9.140625" style="373"/>
    <col min="12801" max="12801" width="5.7109375" style="373" customWidth="1"/>
    <col min="12802" max="12802" width="5" style="373" customWidth="1"/>
    <col min="12803" max="12803" width="9.140625" style="373"/>
    <col min="12804" max="12805" width="5.140625" style="373" customWidth="1"/>
    <col min="12806" max="12806" width="2" style="373" customWidth="1"/>
    <col min="12807" max="12807" width="29.28515625" style="373" customWidth="1"/>
    <col min="12808" max="12812" width="0" style="373" hidden="1" customWidth="1"/>
    <col min="12813" max="12813" width="8.7109375" style="373" customWidth="1"/>
    <col min="12814" max="12814" width="9.42578125" style="373" customWidth="1"/>
    <col min="12815" max="12819" width="8.7109375" style="373" customWidth="1"/>
    <col min="12820" max="13056" width="9.140625" style="373"/>
    <col min="13057" max="13057" width="5.7109375" style="373" customWidth="1"/>
    <col min="13058" max="13058" width="5" style="373" customWidth="1"/>
    <col min="13059" max="13059" width="9.140625" style="373"/>
    <col min="13060" max="13061" width="5.140625" style="373" customWidth="1"/>
    <col min="13062" max="13062" width="2" style="373" customWidth="1"/>
    <col min="13063" max="13063" width="29.28515625" style="373" customWidth="1"/>
    <col min="13064" max="13068" width="0" style="373" hidden="1" customWidth="1"/>
    <col min="13069" max="13069" width="8.7109375" style="373" customWidth="1"/>
    <col min="13070" max="13070" width="9.42578125" style="373" customWidth="1"/>
    <col min="13071" max="13075" width="8.7109375" style="373" customWidth="1"/>
    <col min="13076" max="13312" width="9.140625" style="373"/>
    <col min="13313" max="13313" width="5.7109375" style="373" customWidth="1"/>
    <col min="13314" max="13314" width="5" style="373" customWidth="1"/>
    <col min="13315" max="13315" width="9.140625" style="373"/>
    <col min="13316" max="13317" width="5.140625" style="373" customWidth="1"/>
    <col min="13318" max="13318" width="2" style="373" customWidth="1"/>
    <col min="13319" max="13319" width="29.28515625" style="373" customWidth="1"/>
    <col min="13320" max="13324" width="0" style="373" hidden="1" customWidth="1"/>
    <col min="13325" max="13325" width="8.7109375" style="373" customWidth="1"/>
    <col min="13326" max="13326" width="9.42578125" style="373" customWidth="1"/>
    <col min="13327" max="13331" width="8.7109375" style="373" customWidth="1"/>
    <col min="13332" max="13568" width="9.140625" style="373"/>
    <col min="13569" max="13569" width="5.7109375" style="373" customWidth="1"/>
    <col min="13570" max="13570" width="5" style="373" customWidth="1"/>
    <col min="13571" max="13571" width="9.140625" style="373"/>
    <col min="13572" max="13573" width="5.140625" style="373" customWidth="1"/>
    <col min="13574" max="13574" width="2" style="373" customWidth="1"/>
    <col min="13575" max="13575" width="29.28515625" style="373" customWidth="1"/>
    <col min="13576" max="13580" width="0" style="373" hidden="1" customWidth="1"/>
    <col min="13581" max="13581" width="8.7109375" style="373" customWidth="1"/>
    <col min="13582" max="13582" width="9.42578125" style="373" customWidth="1"/>
    <col min="13583" max="13587" width="8.7109375" style="373" customWidth="1"/>
    <col min="13588" max="13824" width="9.140625" style="373"/>
    <col min="13825" max="13825" width="5.7109375" style="373" customWidth="1"/>
    <col min="13826" max="13826" width="5" style="373" customWidth="1"/>
    <col min="13827" max="13827" width="9.140625" style="373"/>
    <col min="13828" max="13829" width="5.140625" style="373" customWidth="1"/>
    <col min="13830" max="13830" width="2" style="373" customWidth="1"/>
    <col min="13831" max="13831" width="29.28515625" style="373" customWidth="1"/>
    <col min="13832" max="13836" width="0" style="373" hidden="1" customWidth="1"/>
    <col min="13837" max="13837" width="8.7109375" style="373" customWidth="1"/>
    <col min="13838" max="13838" width="9.42578125" style="373" customWidth="1"/>
    <col min="13839" max="13843" width="8.7109375" style="373" customWidth="1"/>
    <col min="13844" max="14080" width="9.140625" style="373"/>
    <col min="14081" max="14081" width="5.7109375" style="373" customWidth="1"/>
    <col min="14082" max="14082" width="5" style="373" customWidth="1"/>
    <col min="14083" max="14083" width="9.140625" style="373"/>
    <col min="14084" max="14085" width="5.140625" style="373" customWidth="1"/>
    <col min="14086" max="14086" width="2" style="373" customWidth="1"/>
    <col min="14087" max="14087" width="29.28515625" style="373" customWidth="1"/>
    <col min="14088" max="14092" width="0" style="373" hidden="1" customWidth="1"/>
    <col min="14093" max="14093" width="8.7109375" style="373" customWidth="1"/>
    <col min="14094" max="14094" width="9.42578125" style="373" customWidth="1"/>
    <col min="14095" max="14099" width="8.7109375" style="373" customWidth="1"/>
    <col min="14100" max="14336" width="9.140625" style="373"/>
    <col min="14337" max="14337" width="5.7109375" style="373" customWidth="1"/>
    <col min="14338" max="14338" width="5" style="373" customWidth="1"/>
    <col min="14339" max="14339" width="9.140625" style="373"/>
    <col min="14340" max="14341" width="5.140625" style="373" customWidth="1"/>
    <col min="14342" max="14342" width="2" style="373" customWidth="1"/>
    <col min="14343" max="14343" width="29.28515625" style="373" customWidth="1"/>
    <col min="14344" max="14348" width="0" style="373" hidden="1" customWidth="1"/>
    <col min="14349" max="14349" width="8.7109375" style="373" customWidth="1"/>
    <col min="14350" max="14350" width="9.42578125" style="373" customWidth="1"/>
    <col min="14351" max="14355" width="8.7109375" style="373" customWidth="1"/>
    <col min="14356" max="14592" width="9.140625" style="373"/>
    <col min="14593" max="14593" width="5.7109375" style="373" customWidth="1"/>
    <col min="14594" max="14594" width="5" style="373" customWidth="1"/>
    <col min="14595" max="14595" width="9.140625" style="373"/>
    <col min="14596" max="14597" width="5.140625" style="373" customWidth="1"/>
    <col min="14598" max="14598" width="2" style="373" customWidth="1"/>
    <col min="14599" max="14599" width="29.28515625" style="373" customWidth="1"/>
    <col min="14600" max="14604" width="0" style="373" hidden="1" customWidth="1"/>
    <col min="14605" max="14605" width="8.7109375" style="373" customWidth="1"/>
    <col min="14606" max="14606" width="9.42578125" style="373" customWidth="1"/>
    <col min="14607" max="14611" width="8.7109375" style="373" customWidth="1"/>
    <col min="14612" max="14848" width="9.140625" style="373"/>
    <col min="14849" max="14849" width="5.7109375" style="373" customWidth="1"/>
    <col min="14850" max="14850" width="5" style="373" customWidth="1"/>
    <col min="14851" max="14851" width="9.140625" style="373"/>
    <col min="14852" max="14853" width="5.140625" style="373" customWidth="1"/>
    <col min="14854" max="14854" width="2" style="373" customWidth="1"/>
    <col min="14855" max="14855" width="29.28515625" style="373" customWidth="1"/>
    <col min="14856" max="14860" width="0" style="373" hidden="1" customWidth="1"/>
    <col min="14861" max="14861" width="8.7109375" style="373" customWidth="1"/>
    <col min="14862" max="14862" width="9.42578125" style="373" customWidth="1"/>
    <col min="14863" max="14867" width="8.7109375" style="373" customWidth="1"/>
    <col min="14868" max="15104" width="9.140625" style="373"/>
    <col min="15105" max="15105" width="5.7109375" style="373" customWidth="1"/>
    <col min="15106" max="15106" width="5" style="373" customWidth="1"/>
    <col min="15107" max="15107" width="9.140625" style="373"/>
    <col min="15108" max="15109" width="5.140625" style="373" customWidth="1"/>
    <col min="15110" max="15110" width="2" style="373" customWidth="1"/>
    <col min="15111" max="15111" width="29.28515625" style="373" customWidth="1"/>
    <col min="15112" max="15116" width="0" style="373" hidden="1" customWidth="1"/>
    <col min="15117" max="15117" width="8.7109375" style="373" customWidth="1"/>
    <col min="15118" max="15118" width="9.42578125" style="373" customWidth="1"/>
    <col min="15119" max="15123" width="8.7109375" style="373" customWidth="1"/>
    <col min="15124" max="15360" width="9.140625" style="373"/>
    <col min="15361" max="15361" width="5.7109375" style="373" customWidth="1"/>
    <col min="15362" max="15362" width="5" style="373" customWidth="1"/>
    <col min="15363" max="15363" width="9.140625" style="373"/>
    <col min="15364" max="15365" width="5.140625" style="373" customWidth="1"/>
    <col min="15366" max="15366" width="2" style="373" customWidth="1"/>
    <col min="15367" max="15367" width="29.28515625" style="373" customWidth="1"/>
    <col min="15368" max="15372" width="0" style="373" hidden="1" customWidth="1"/>
    <col min="15373" max="15373" width="8.7109375" style="373" customWidth="1"/>
    <col min="15374" max="15374" width="9.42578125" style="373" customWidth="1"/>
    <col min="15375" max="15379" width="8.7109375" style="373" customWidth="1"/>
    <col min="15380" max="15616" width="9.140625" style="373"/>
    <col min="15617" max="15617" width="5.7109375" style="373" customWidth="1"/>
    <col min="15618" max="15618" width="5" style="373" customWidth="1"/>
    <col min="15619" max="15619" width="9.140625" style="373"/>
    <col min="15620" max="15621" width="5.140625" style="373" customWidth="1"/>
    <col min="15622" max="15622" width="2" style="373" customWidth="1"/>
    <col min="15623" max="15623" width="29.28515625" style="373" customWidth="1"/>
    <col min="15624" max="15628" width="0" style="373" hidden="1" customWidth="1"/>
    <col min="15629" max="15629" width="8.7109375" style="373" customWidth="1"/>
    <col min="15630" max="15630" width="9.42578125" style="373" customWidth="1"/>
    <col min="15631" max="15635" width="8.7109375" style="373" customWidth="1"/>
    <col min="15636" max="15872" width="9.140625" style="373"/>
    <col min="15873" max="15873" width="5.7109375" style="373" customWidth="1"/>
    <col min="15874" max="15874" width="5" style="373" customWidth="1"/>
    <col min="15875" max="15875" width="9.140625" style="373"/>
    <col min="15876" max="15877" width="5.140625" style="373" customWidth="1"/>
    <col min="15878" max="15878" width="2" style="373" customWidth="1"/>
    <col min="15879" max="15879" width="29.28515625" style="373" customWidth="1"/>
    <col min="15880" max="15884" width="0" style="373" hidden="1" customWidth="1"/>
    <col min="15885" max="15885" width="8.7109375" style="373" customWidth="1"/>
    <col min="15886" max="15886" width="9.42578125" style="373" customWidth="1"/>
    <col min="15887" max="15891" width="8.7109375" style="373" customWidth="1"/>
    <col min="15892" max="16128" width="9.140625" style="373"/>
    <col min="16129" max="16129" width="5.7109375" style="373" customWidth="1"/>
    <col min="16130" max="16130" width="5" style="373" customWidth="1"/>
    <col min="16131" max="16131" width="9.140625" style="373"/>
    <col min="16132" max="16133" width="5.140625" style="373" customWidth="1"/>
    <col min="16134" max="16134" width="2" style="373" customWidth="1"/>
    <col min="16135" max="16135" width="29.28515625" style="373" customWidth="1"/>
    <col min="16136" max="16140" width="0" style="373" hidden="1" customWidth="1"/>
    <col min="16141" max="16141" width="8.7109375" style="373" customWidth="1"/>
    <col min="16142" max="16142" width="9.42578125" style="373" customWidth="1"/>
    <col min="16143" max="16147" width="8.7109375" style="373" customWidth="1"/>
    <col min="16148" max="16384" width="9.140625" style="373"/>
  </cols>
  <sheetData>
    <row r="1" spans="1:19" x14ac:dyDescent="0.2">
      <c r="A1" s="310"/>
      <c r="C1" s="312"/>
      <c r="D1" s="312"/>
      <c r="E1" s="310"/>
      <c r="F1" s="310"/>
      <c r="G1" s="373"/>
    </row>
    <row r="2" spans="1:19" x14ac:dyDescent="0.2">
      <c r="A2" s="312" t="s">
        <v>0</v>
      </c>
      <c r="B2" s="315" t="s">
        <v>1</v>
      </c>
      <c r="C2" s="312" t="s">
        <v>2</v>
      </c>
      <c r="D2" s="312"/>
      <c r="E2" s="310" t="s">
        <v>3</v>
      </c>
      <c r="F2" s="310"/>
      <c r="G2" s="395" t="s">
        <v>608</v>
      </c>
      <c r="H2" s="603"/>
      <c r="I2" s="648"/>
      <c r="J2" s="649"/>
      <c r="K2" s="650"/>
      <c r="L2" s="651"/>
      <c r="M2" s="652" t="s">
        <v>366</v>
      </c>
      <c r="N2" s="653" t="s">
        <v>609</v>
      </c>
      <c r="O2" s="654"/>
      <c r="P2" s="654"/>
      <c r="Q2" s="654"/>
      <c r="R2" s="655"/>
    </row>
    <row r="3" spans="1:19" x14ac:dyDescent="0.2">
      <c r="A3" s="310"/>
      <c r="B3" s="324"/>
      <c r="C3" s="312"/>
      <c r="D3" s="312"/>
      <c r="E3" s="310"/>
      <c r="F3" s="310"/>
      <c r="G3" s="390" t="s">
        <v>4</v>
      </c>
      <c r="H3" s="656">
        <v>40908</v>
      </c>
      <c r="I3" s="656">
        <v>41274</v>
      </c>
      <c r="J3" s="656">
        <v>41639</v>
      </c>
      <c r="K3" s="656">
        <v>42004</v>
      </c>
      <c r="L3" s="656">
        <v>42369</v>
      </c>
      <c r="M3" s="656">
        <v>42735</v>
      </c>
      <c r="N3" s="656">
        <v>43100</v>
      </c>
      <c r="O3" s="656">
        <v>43465</v>
      </c>
      <c r="P3" s="656">
        <v>43830</v>
      </c>
      <c r="Q3" s="656">
        <v>44196</v>
      </c>
      <c r="R3" s="656">
        <v>44561</v>
      </c>
      <c r="S3" s="656">
        <v>44926</v>
      </c>
    </row>
    <row r="4" spans="1:19" x14ac:dyDescent="0.2">
      <c r="A4" s="329"/>
      <c r="B4" s="311" t="s">
        <v>5</v>
      </c>
      <c r="C4" s="312">
        <v>1</v>
      </c>
      <c r="D4" s="312"/>
      <c r="E4" s="315"/>
      <c r="F4" s="329"/>
      <c r="G4" s="399" t="s">
        <v>6</v>
      </c>
      <c r="H4" s="343">
        <f t="shared" ref="H4:S4" si="0">H5+H10</f>
        <v>274.15699999999998</v>
      </c>
      <c r="I4" s="343">
        <f t="shared" si="0"/>
        <v>105.22400000000002</v>
      </c>
      <c r="J4" s="343">
        <f t="shared" si="0"/>
        <v>29.085000000000001</v>
      </c>
      <c r="K4" s="343">
        <f t="shared" si="0"/>
        <v>40.131999999999998</v>
      </c>
      <c r="L4" s="343">
        <f t="shared" si="0"/>
        <v>27.113</v>
      </c>
      <c r="M4" s="343">
        <f t="shared" si="0"/>
        <v>23.988000000000003</v>
      </c>
      <c r="N4" s="343">
        <f t="shared" si="0"/>
        <v>48</v>
      </c>
      <c r="O4" s="343">
        <f t="shared" si="0"/>
        <v>98</v>
      </c>
      <c r="P4" s="343">
        <f t="shared" si="0"/>
        <v>151</v>
      </c>
      <c r="Q4" s="343">
        <f t="shared" si="0"/>
        <v>111</v>
      </c>
      <c r="R4" s="343">
        <f t="shared" si="0"/>
        <v>71</v>
      </c>
      <c r="S4" s="343">
        <f t="shared" si="0"/>
        <v>31</v>
      </c>
    </row>
    <row r="5" spans="1:19" x14ac:dyDescent="0.2">
      <c r="B5" s="311" t="s">
        <v>7</v>
      </c>
      <c r="C5" s="312">
        <v>10</v>
      </c>
      <c r="D5" s="312"/>
      <c r="G5" s="407" t="s">
        <v>8</v>
      </c>
      <c r="H5" s="343">
        <f t="shared" ref="H5:Q5" si="1">SUM(H6:H9)</f>
        <v>265.30799999999999</v>
      </c>
      <c r="I5" s="343">
        <f t="shared" si="1"/>
        <v>97.297000000000011</v>
      </c>
      <c r="J5" s="343">
        <f t="shared" si="1"/>
        <v>19.045999999999999</v>
      </c>
      <c r="K5" s="343">
        <f t="shared" si="1"/>
        <v>34.048999999999999</v>
      </c>
      <c r="L5" s="343">
        <f t="shared" si="1"/>
        <v>21.952999999999999</v>
      </c>
      <c r="M5" s="343">
        <f t="shared" si="1"/>
        <v>19.176000000000002</v>
      </c>
      <c r="N5" s="343">
        <f t="shared" si="1"/>
        <v>44</v>
      </c>
      <c r="O5" s="343">
        <f t="shared" si="1"/>
        <v>94</v>
      </c>
      <c r="P5" s="343">
        <f t="shared" si="1"/>
        <v>148</v>
      </c>
      <c r="Q5" s="343">
        <f t="shared" si="1"/>
        <v>108</v>
      </c>
      <c r="R5" s="343">
        <f>SUM(R6:R9)</f>
        <v>68</v>
      </c>
      <c r="S5" s="343">
        <f>SUM(S6:S9)</f>
        <v>28</v>
      </c>
    </row>
    <row r="6" spans="1:19" ht="12" x14ac:dyDescent="0.2">
      <c r="B6" s="311" t="s">
        <v>9</v>
      </c>
      <c r="C6" s="336" t="s">
        <v>10</v>
      </c>
      <c r="E6" s="337" t="s">
        <v>11</v>
      </c>
      <c r="G6" s="407" t="s">
        <v>12</v>
      </c>
      <c r="H6" s="339">
        <v>14.759</v>
      </c>
      <c r="I6" s="339">
        <v>21.986000000000001</v>
      </c>
      <c r="J6" s="339">
        <v>15.643000000000001</v>
      </c>
      <c r="K6" s="339">
        <v>27.3</v>
      </c>
      <c r="L6" s="339">
        <v>14.869</v>
      </c>
      <c r="M6" s="339">
        <v>14.727</v>
      </c>
      <c r="N6" s="339">
        <v>41</v>
      </c>
      <c r="O6" s="339">
        <f>41+60-10</f>
        <v>91</v>
      </c>
      <c r="P6" s="339">
        <v>145</v>
      </c>
      <c r="Q6" s="339">
        <v>105</v>
      </c>
      <c r="R6" s="339">
        <v>65</v>
      </c>
      <c r="S6" s="339">
        <v>25</v>
      </c>
    </row>
    <row r="7" spans="1:19" ht="12" x14ac:dyDescent="0.2">
      <c r="B7" s="311" t="s">
        <v>13</v>
      </c>
      <c r="C7" s="336" t="s">
        <v>14</v>
      </c>
      <c r="E7" s="337" t="s">
        <v>11</v>
      </c>
      <c r="G7" s="407" t="s">
        <v>15</v>
      </c>
      <c r="H7" s="339">
        <v>250.01499999999999</v>
      </c>
      <c r="I7" s="339">
        <v>74.777000000000001</v>
      </c>
      <c r="J7" s="339">
        <v>2.8690000000000002</v>
      </c>
      <c r="K7" s="339">
        <v>6.2439999999999998</v>
      </c>
      <c r="L7" s="339">
        <v>6.5789999999999997</v>
      </c>
      <c r="M7" s="339">
        <v>3.9750000000000001</v>
      </c>
      <c r="N7" s="339">
        <v>3</v>
      </c>
      <c r="O7" s="339">
        <v>3</v>
      </c>
      <c r="P7" s="339">
        <v>3</v>
      </c>
      <c r="Q7" s="339">
        <v>3</v>
      </c>
      <c r="R7" s="339">
        <v>3</v>
      </c>
      <c r="S7" s="339">
        <v>3</v>
      </c>
    </row>
    <row r="8" spans="1:19" ht="12" x14ac:dyDescent="0.2">
      <c r="B8" s="311" t="s">
        <v>16</v>
      </c>
      <c r="C8" s="336" t="s">
        <v>17</v>
      </c>
      <c r="E8" s="337" t="s">
        <v>11</v>
      </c>
      <c r="G8" s="407" t="s">
        <v>18</v>
      </c>
      <c r="H8" s="339">
        <v>0</v>
      </c>
      <c r="I8" s="339">
        <v>0</v>
      </c>
      <c r="J8" s="339">
        <v>0</v>
      </c>
      <c r="K8" s="339">
        <v>0</v>
      </c>
      <c r="L8" s="339">
        <v>0</v>
      </c>
      <c r="M8" s="339">
        <v>0</v>
      </c>
      <c r="N8" s="339">
        <v>0</v>
      </c>
      <c r="O8" s="339">
        <v>0</v>
      </c>
      <c r="P8" s="339">
        <v>0</v>
      </c>
      <c r="Q8" s="339">
        <v>0</v>
      </c>
      <c r="R8" s="339">
        <v>0</v>
      </c>
      <c r="S8" s="339">
        <v>0</v>
      </c>
    </row>
    <row r="9" spans="1:19" x14ac:dyDescent="0.2">
      <c r="B9" s="311" t="s">
        <v>19</v>
      </c>
      <c r="C9" s="336">
        <v>108</v>
      </c>
      <c r="E9" s="340"/>
      <c r="G9" s="407" t="s">
        <v>20</v>
      </c>
      <c r="H9" s="339">
        <v>0.53400000000000003</v>
      </c>
      <c r="I9" s="339">
        <v>0.53400000000000003</v>
      </c>
      <c r="J9" s="339">
        <v>0.53400000000000003</v>
      </c>
      <c r="K9" s="339">
        <v>0.505</v>
      </c>
      <c r="L9" s="339">
        <v>0.505</v>
      </c>
      <c r="M9" s="339">
        <v>0.47399999999999998</v>
      </c>
      <c r="N9" s="339">
        <v>0</v>
      </c>
      <c r="O9" s="339">
        <v>0</v>
      </c>
      <c r="P9" s="339">
        <v>0</v>
      </c>
      <c r="Q9" s="339">
        <v>0</v>
      </c>
      <c r="R9" s="339">
        <v>0</v>
      </c>
      <c r="S9" s="339">
        <v>0</v>
      </c>
    </row>
    <row r="10" spans="1:19" x14ac:dyDescent="0.2">
      <c r="A10" s="341"/>
      <c r="B10" s="311" t="s">
        <v>21</v>
      </c>
      <c r="C10" s="342">
        <v>15</v>
      </c>
      <c r="D10" s="342"/>
      <c r="E10" s="340"/>
      <c r="F10" s="341"/>
      <c r="G10" s="407" t="s">
        <v>22</v>
      </c>
      <c r="H10" s="343">
        <f>SUM(H11:H16)</f>
        <v>8.8490000000000002</v>
      </c>
      <c r="I10" s="343">
        <f t="shared" ref="I10:S10" si="2">SUM(I11:I16)</f>
        <v>7.9269999999999996</v>
      </c>
      <c r="J10" s="343">
        <f t="shared" si="2"/>
        <v>10.039</v>
      </c>
      <c r="K10" s="343">
        <f t="shared" si="2"/>
        <v>6.0830000000000002</v>
      </c>
      <c r="L10" s="343">
        <f t="shared" si="2"/>
        <v>5.16</v>
      </c>
      <c r="M10" s="343">
        <f t="shared" si="2"/>
        <v>4.8120000000000003</v>
      </c>
      <c r="N10" s="343">
        <f t="shared" si="2"/>
        <v>4</v>
      </c>
      <c r="O10" s="343">
        <f t="shared" si="2"/>
        <v>4</v>
      </c>
      <c r="P10" s="343">
        <f t="shared" si="2"/>
        <v>3</v>
      </c>
      <c r="Q10" s="343">
        <f t="shared" si="2"/>
        <v>3</v>
      </c>
      <c r="R10" s="343">
        <f t="shared" si="2"/>
        <v>3</v>
      </c>
      <c r="S10" s="343">
        <f t="shared" si="2"/>
        <v>3</v>
      </c>
    </row>
    <row r="11" spans="1:19" ht="12" x14ac:dyDescent="0.2">
      <c r="A11" s="341"/>
      <c r="B11" s="311" t="s">
        <v>23</v>
      </c>
      <c r="C11" s="342">
        <v>150</v>
      </c>
      <c r="D11" s="342"/>
      <c r="E11" s="337" t="s">
        <v>11</v>
      </c>
      <c r="F11" s="341"/>
      <c r="G11" s="407" t="s">
        <v>24</v>
      </c>
      <c r="H11" s="339">
        <v>0</v>
      </c>
      <c r="I11" s="339">
        <v>0</v>
      </c>
      <c r="J11" s="339">
        <v>0</v>
      </c>
      <c r="K11" s="339">
        <v>0</v>
      </c>
      <c r="L11" s="339">
        <v>0</v>
      </c>
      <c r="M11" s="339">
        <v>0</v>
      </c>
      <c r="N11" s="339">
        <v>0</v>
      </c>
      <c r="O11" s="339">
        <v>0</v>
      </c>
      <c r="P11" s="339">
        <v>0</v>
      </c>
      <c r="Q11" s="339">
        <v>0</v>
      </c>
      <c r="R11" s="339">
        <v>0</v>
      </c>
      <c r="S11" s="339">
        <v>0</v>
      </c>
    </row>
    <row r="12" spans="1:19" ht="12" x14ac:dyDescent="0.2">
      <c r="A12" s="341"/>
      <c r="B12" s="311" t="s">
        <v>25</v>
      </c>
      <c r="C12" s="342">
        <v>151</v>
      </c>
      <c r="D12" s="342"/>
      <c r="E12" s="337" t="s">
        <v>11</v>
      </c>
      <c r="F12" s="341"/>
      <c r="G12" s="407" t="s">
        <v>26</v>
      </c>
      <c r="H12" s="339">
        <v>0</v>
      </c>
      <c r="I12" s="339">
        <v>0</v>
      </c>
      <c r="J12" s="339">
        <v>0</v>
      </c>
      <c r="K12" s="339">
        <v>0</v>
      </c>
      <c r="L12" s="339">
        <v>0</v>
      </c>
      <c r="M12" s="339">
        <v>0</v>
      </c>
      <c r="N12" s="339">
        <v>0</v>
      </c>
      <c r="O12" s="339">
        <v>0</v>
      </c>
      <c r="P12" s="339">
        <v>0</v>
      </c>
      <c r="Q12" s="339">
        <v>0</v>
      </c>
      <c r="R12" s="339">
        <v>0</v>
      </c>
      <c r="S12" s="339">
        <v>0</v>
      </c>
    </row>
    <row r="13" spans="1:19" ht="12" x14ac:dyDescent="0.2">
      <c r="B13" s="311" t="s">
        <v>27</v>
      </c>
      <c r="C13" s="336" t="s">
        <v>28</v>
      </c>
      <c r="E13" s="337" t="s">
        <v>11</v>
      </c>
      <c r="G13" s="407" t="s">
        <v>29</v>
      </c>
      <c r="H13" s="339">
        <v>0.13300000000000001</v>
      </c>
      <c r="I13" s="339">
        <v>0.13300000000000001</v>
      </c>
      <c r="J13" s="339">
        <v>3.1669999999999998</v>
      </c>
      <c r="K13" s="339">
        <v>0.13300000000000001</v>
      </c>
      <c r="L13" s="339">
        <v>0.13300000000000001</v>
      </c>
      <c r="M13" s="339">
        <v>1.0920000000000001</v>
      </c>
      <c r="N13" s="339">
        <v>1</v>
      </c>
      <c r="O13" s="339">
        <v>1</v>
      </c>
      <c r="P13" s="339">
        <v>0</v>
      </c>
      <c r="Q13" s="339">
        <v>0</v>
      </c>
      <c r="R13" s="339">
        <v>0</v>
      </c>
      <c r="S13" s="339">
        <v>0</v>
      </c>
    </row>
    <row r="14" spans="1:19" ht="12" x14ac:dyDescent="0.2">
      <c r="B14" s="311" t="s">
        <v>30</v>
      </c>
      <c r="C14" s="336">
        <v>154</v>
      </c>
      <c r="E14" s="337" t="s">
        <v>11</v>
      </c>
      <c r="G14" s="407" t="s">
        <v>31</v>
      </c>
      <c r="H14" s="339">
        <v>0</v>
      </c>
      <c r="I14" s="339">
        <v>0</v>
      </c>
      <c r="J14" s="339">
        <v>0</v>
      </c>
      <c r="K14" s="339">
        <v>0</v>
      </c>
      <c r="L14" s="339">
        <v>0</v>
      </c>
      <c r="M14" s="339">
        <v>0</v>
      </c>
      <c r="N14" s="339">
        <v>0</v>
      </c>
      <c r="O14" s="339">
        <v>0</v>
      </c>
      <c r="P14" s="339">
        <v>0</v>
      </c>
      <c r="Q14" s="339">
        <v>0</v>
      </c>
      <c r="R14" s="339">
        <v>0</v>
      </c>
      <c r="S14" s="339">
        <v>0</v>
      </c>
    </row>
    <row r="15" spans="1:19" ht="12" x14ac:dyDescent="0.2">
      <c r="B15" s="311" t="s">
        <v>32</v>
      </c>
      <c r="C15" s="336" t="s">
        <v>33</v>
      </c>
      <c r="E15" s="337" t="s">
        <v>11</v>
      </c>
      <c r="G15" s="407" t="s">
        <v>34</v>
      </c>
      <c r="H15" s="339">
        <v>8.7159999999999993</v>
      </c>
      <c r="I15" s="339">
        <v>7.7939999999999996</v>
      </c>
      <c r="J15" s="339">
        <v>6.8719999999999999</v>
      </c>
      <c r="K15" s="339">
        <v>5.95</v>
      </c>
      <c r="L15" s="339">
        <v>5.0270000000000001</v>
      </c>
      <c r="M15" s="339">
        <v>3.72</v>
      </c>
      <c r="N15" s="339">
        <v>3</v>
      </c>
      <c r="O15" s="339">
        <v>3</v>
      </c>
      <c r="P15" s="339">
        <v>3</v>
      </c>
      <c r="Q15" s="339">
        <v>3</v>
      </c>
      <c r="R15" s="339">
        <v>3</v>
      </c>
      <c r="S15" s="339">
        <v>3</v>
      </c>
    </row>
    <row r="16" spans="1:19" ht="12" x14ac:dyDescent="0.2">
      <c r="B16" s="311" t="s">
        <v>35</v>
      </c>
      <c r="C16" s="336">
        <v>157</v>
      </c>
      <c r="E16" s="337" t="s">
        <v>11</v>
      </c>
      <c r="G16" s="407" t="s">
        <v>36</v>
      </c>
      <c r="H16" s="339">
        <v>0</v>
      </c>
      <c r="I16" s="339">
        <v>0</v>
      </c>
      <c r="J16" s="339">
        <v>0</v>
      </c>
      <c r="K16" s="339">
        <v>0</v>
      </c>
      <c r="L16" s="339">
        <v>0</v>
      </c>
      <c r="M16" s="339">
        <v>0</v>
      </c>
      <c r="N16" s="339">
        <v>0</v>
      </c>
      <c r="O16" s="339">
        <v>0</v>
      </c>
      <c r="P16" s="339">
        <v>0</v>
      </c>
      <c r="Q16" s="339">
        <v>0</v>
      </c>
      <c r="R16" s="339">
        <v>0</v>
      </c>
      <c r="S16" s="339">
        <v>0</v>
      </c>
    </row>
    <row r="17" spans="1:19" s="478" customFormat="1" ht="12" x14ac:dyDescent="0.2">
      <c r="A17" s="344"/>
      <c r="B17" s="311" t="s">
        <v>37</v>
      </c>
      <c r="C17" s="345" t="s">
        <v>38</v>
      </c>
      <c r="D17" s="344"/>
      <c r="E17" s="337" t="s">
        <v>11</v>
      </c>
      <c r="F17" s="346"/>
      <c r="G17" s="609" t="s">
        <v>39</v>
      </c>
      <c r="H17" s="350">
        <v>0</v>
      </c>
      <c r="I17" s="350">
        <v>0</v>
      </c>
      <c r="J17" s="350">
        <v>0</v>
      </c>
      <c r="K17" s="350">
        <v>0</v>
      </c>
      <c r="L17" s="350">
        <v>0</v>
      </c>
      <c r="M17" s="350">
        <v>0</v>
      </c>
      <c r="N17" s="350">
        <v>0</v>
      </c>
      <c r="O17" s="350">
        <v>0</v>
      </c>
      <c r="P17" s="350">
        <v>0</v>
      </c>
      <c r="Q17" s="350">
        <v>0</v>
      </c>
      <c r="R17" s="350">
        <v>0</v>
      </c>
      <c r="S17" s="350">
        <v>0</v>
      </c>
    </row>
    <row r="18" spans="1:19" x14ac:dyDescent="0.2">
      <c r="B18" s="311" t="s">
        <v>40</v>
      </c>
      <c r="C18" s="336">
        <v>2</v>
      </c>
      <c r="E18" s="340"/>
      <c r="G18" s="407" t="s">
        <v>41</v>
      </c>
      <c r="H18" s="343">
        <f>H19+H27</f>
        <v>274.15600000000001</v>
      </c>
      <c r="I18" s="343">
        <f t="shared" ref="I18:S18" si="3">I19+I27</f>
        <v>105.224</v>
      </c>
      <c r="J18" s="343">
        <f t="shared" si="3"/>
        <v>29.084000000000003</v>
      </c>
      <c r="K18" s="343">
        <f t="shared" si="3"/>
        <v>40.132000000000005</v>
      </c>
      <c r="L18" s="343">
        <f t="shared" si="3"/>
        <v>27.111999999999998</v>
      </c>
      <c r="M18" s="343">
        <f t="shared" si="3"/>
        <v>23.988</v>
      </c>
      <c r="N18" s="343">
        <f t="shared" si="3"/>
        <v>48</v>
      </c>
      <c r="O18" s="343">
        <f t="shared" si="3"/>
        <v>98</v>
      </c>
      <c r="P18" s="343">
        <f t="shared" si="3"/>
        <v>151</v>
      </c>
      <c r="Q18" s="343">
        <f t="shared" si="3"/>
        <v>111</v>
      </c>
      <c r="R18" s="343">
        <f t="shared" si="3"/>
        <v>71</v>
      </c>
      <c r="S18" s="343">
        <f t="shared" si="3"/>
        <v>31</v>
      </c>
    </row>
    <row r="19" spans="1:19" x14ac:dyDescent="0.2">
      <c r="B19" s="311" t="s">
        <v>42</v>
      </c>
      <c r="C19" s="336" t="s">
        <v>43</v>
      </c>
      <c r="E19" s="340"/>
      <c r="G19" s="407" t="s">
        <v>44</v>
      </c>
      <c r="H19" s="343">
        <f>SUM(H21:H26)</f>
        <v>262.08199999999999</v>
      </c>
      <c r="I19" s="343">
        <f t="shared" ref="I19:S19" si="4">SUM(I21:I26)</f>
        <v>88.819000000000003</v>
      </c>
      <c r="J19" s="343">
        <f t="shared" si="4"/>
        <v>11.926</v>
      </c>
      <c r="K19" s="343">
        <f t="shared" si="4"/>
        <v>17.234999999999999</v>
      </c>
      <c r="L19" s="343">
        <f t="shared" si="4"/>
        <v>7.1589999999999998</v>
      </c>
      <c r="M19" s="343">
        <f t="shared" si="4"/>
        <v>5.5949999999999998</v>
      </c>
      <c r="N19" s="343">
        <f t="shared" si="4"/>
        <v>17</v>
      </c>
      <c r="O19" s="343">
        <f t="shared" si="4"/>
        <v>7</v>
      </c>
      <c r="P19" s="343">
        <f t="shared" si="4"/>
        <v>0</v>
      </c>
      <c r="Q19" s="343">
        <f t="shared" si="4"/>
        <v>0</v>
      </c>
      <c r="R19" s="343">
        <f t="shared" si="4"/>
        <v>0</v>
      </c>
      <c r="S19" s="343">
        <f t="shared" si="4"/>
        <v>0</v>
      </c>
    </row>
    <row r="20" spans="1:19" s="480" customFormat="1" ht="12" x14ac:dyDescent="0.2">
      <c r="A20" s="351"/>
      <c r="B20" s="311" t="s">
        <v>45</v>
      </c>
      <c r="C20" s="345" t="s">
        <v>46</v>
      </c>
      <c r="D20" s="344"/>
      <c r="E20" s="337" t="s">
        <v>11</v>
      </c>
      <c r="F20" s="351"/>
      <c r="G20" s="609" t="s">
        <v>47</v>
      </c>
      <c r="H20" s="354">
        <v>262.08199999999999</v>
      </c>
      <c r="I20" s="354">
        <v>88.819000000000003</v>
      </c>
      <c r="J20" s="354">
        <v>11.926</v>
      </c>
      <c r="K20" s="354">
        <v>17.234999999999999</v>
      </c>
      <c r="L20" s="354">
        <v>7.1589999999999998</v>
      </c>
      <c r="M20" s="354">
        <v>5.5949999999999998</v>
      </c>
      <c r="N20" s="354">
        <v>0</v>
      </c>
      <c r="O20" s="354">
        <v>0</v>
      </c>
      <c r="P20" s="354">
        <v>0</v>
      </c>
      <c r="Q20" s="354">
        <v>0</v>
      </c>
      <c r="R20" s="354">
        <v>0</v>
      </c>
      <c r="S20" s="354">
        <v>0</v>
      </c>
    </row>
    <row r="21" spans="1:19" ht="12" x14ac:dyDescent="0.2">
      <c r="B21" s="311" t="s">
        <v>48</v>
      </c>
      <c r="C21" s="355" t="s">
        <v>49</v>
      </c>
      <c r="D21" s="355"/>
      <c r="E21" s="337" t="s">
        <v>11</v>
      </c>
      <c r="G21" s="407" t="s">
        <v>50</v>
      </c>
      <c r="H21" s="339">
        <f>4.985+9.488+1.307</f>
        <v>15.78</v>
      </c>
      <c r="I21" s="339">
        <f>10.956+2.49+2.373</f>
        <v>15.818999999999999</v>
      </c>
      <c r="J21" s="339">
        <v>11.926</v>
      </c>
      <c r="K21" s="339">
        <v>17.234999999999999</v>
      </c>
      <c r="L21" s="339">
        <v>7.1589999999999998</v>
      </c>
      <c r="M21" s="339">
        <v>5.5949999999999998</v>
      </c>
      <c r="N21" s="339">
        <v>7</v>
      </c>
      <c r="O21" s="339">
        <v>7</v>
      </c>
      <c r="P21" s="339">
        <v>0</v>
      </c>
      <c r="Q21" s="339">
        <v>0</v>
      </c>
      <c r="R21" s="339">
        <v>0</v>
      </c>
      <c r="S21" s="339">
        <v>0</v>
      </c>
    </row>
    <row r="22" spans="1:19" ht="12" x14ac:dyDescent="0.2">
      <c r="B22" s="311" t="s">
        <v>51</v>
      </c>
      <c r="C22" s="336" t="s">
        <v>52</v>
      </c>
      <c r="E22" s="337" t="s">
        <v>11</v>
      </c>
      <c r="G22" s="407" t="s">
        <v>53</v>
      </c>
      <c r="H22" s="339">
        <v>0</v>
      </c>
      <c r="I22" s="339">
        <v>0</v>
      </c>
      <c r="J22" s="339">
        <v>0</v>
      </c>
      <c r="K22" s="339">
        <v>0</v>
      </c>
      <c r="L22" s="339">
        <v>0</v>
      </c>
      <c r="M22" s="339">
        <v>0</v>
      </c>
      <c r="N22" s="339">
        <v>0</v>
      </c>
      <c r="O22" s="339">
        <v>0</v>
      </c>
      <c r="P22" s="339">
        <v>0</v>
      </c>
      <c r="Q22" s="339">
        <v>0</v>
      </c>
      <c r="R22" s="339">
        <v>0</v>
      </c>
      <c r="S22" s="339">
        <v>0</v>
      </c>
    </row>
    <row r="23" spans="1:19" ht="12" x14ac:dyDescent="0.2">
      <c r="B23" s="311" t="s">
        <v>54</v>
      </c>
      <c r="C23" s="336">
        <v>257</v>
      </c>
      <c r="E23" s="337" t="s">
        <v>11</v>
      </c>
      <c r="G23" s="407" t="s">
        <v>55</v>
      </c>
      <c r="H23" s="339">
        <v>0</v>
      </c>
      <c r="I23" s="339">
        <v>0</v>
      </c>
      <c r="J23" s="339">
        <v>0</v>
      </c>
      <c r="K23" s="339">
        <v>0</v>
      </c>
      <c r="L23" s="339">
        <v>0</v>
      </c>
      <c r="M23" s="339">
        <v>0</v>
      </c>
      <c r="N23" s="339">
        <v>10</v>
      </c>
      <c r="O23" s="339">
        <v>0</v>
      </c>
      <c r="P23" s="339">
        <v>0</v>
      </c>
      <c r="Q23" s="339">
        <v>0</v>
      </c>
      <c r="R23" s="339">
        <v>0</v>
      </c>
      <c r="S23" s="339">
        <v>0</v>
      </c>
    </row>
    <row r="24" spans="1:19" ht="12" x14ac:dyDescent="0.2">
      <c r="A24" s="356"/>
      <c r="B24" s="311" t="s">
        <v>56</v>
      </c>
      <c r="C24" s="336" t="s">
        <v>57</v>
      </c>
      <c r="E24" s="337" t="s">
        <v>11</v>
      </c>
      <c r="F24" s="356"/>
      <c r="G24" s="407" t="s">
        <v>58</v>
      </c>
      <c r="H24" s="339">
        <v>246.30199999999999</v>
      </c>
      <c r="I24" s="339">
        <v>73</v>
      </c>
      <c r="J24" s="339">
        <v>0</v>
      </c>
      <c r="K24" s="339">
        <v>0</v>
      </c>
      <c r="L24" s="339">
        <v>0</v>
      </c>
      <c r="M24" s="339">
        <v>0</v>
      </c>
      <c r="N24" s="339">
        <v>0</v>
      </c>
      <c r="O24" s="339">
        <v>0</v>
      </c>
      <c r="P24" s="339">
        <v>0</v>
      </c>
      <c r="Q24" s="339">
        <v>0</v>
      </c>
      <c r="R24" s="339">
        <v>0</v>
      </c>
      <c r="S24" s="339">
        <v>0</v>
      </c>
    </row>
    <row r="25" spans="1:19" ht="12" x14ac:dyDescent="0.2">
      <c r="A25" s="356"/>
      <c r="B25" s="311" t="s">
        <v>59</v>
      </c>
      <c r="C25" s="336" t="s">
        <v>60</v>
      </c>
      <c r="E25" s="337" t="s">
        <v>11</v>
      </c>
      <c r="F25" s="356"/>
      <c r="G25" s="407" t="s">
        <v>61</v>
      </c>
      <c r="H25" s="339">
        <v>0</v>
      </c>
      <c r="I25" s="339">
        <v>0</v>
      </c>
      <c r="J25" s="339">
        <v>0</v>
      </c>
      <c r="K25" s="339">
        <v>0</v>
      </c>
      <c r="L25" s="339">
        <v>0</v>
      </c>
      <c r="M25" s="339">
        <v>0</v>
      </c>
      <c r="N25" s="339">
        <v>0</v>
      </c>
      <c r="O25" s="339">
        <v>0</v>
      </c>
      <c r="P25" s="339">
        <v>0</v>
      </c>
      <c r="Q25" s="339">
        <v>0</v>
      </c>
      <c r="R25" s="339">
        <v>0</v>
      </c>
      <c r="S25" s="339">
        <v>0</v>
      </c>
    </row>
    <row r="26" spans="1:19" ht="12" x14ac:dyDescent="0.2">
      <c r="B26" s="311" t="s">
        <v>62</v>
      </c>
      <c r="C26" s="336">
        <v>28</v>
      </c>
      <c r="E26" s="337" t="s">
        <v>11</v>
      </c>
      <c r="G26" s="407" t="s">
        <v>63</v>
      </c>
      <c r="H26" s="339">
        <v>0</v>
      </c>
      <c r="I26" s="339">
        <v>0</v>
      </c>
      <c r="J26" s="339">
        <v>0</v>
      </c>
      <c r="K26" s="339">
        <v>0</v>
      </c>
      <c r="L26" s="339">
        <v>0</v>
      </c>
      <c r="M26" s="339">
        <v>0</v>
      </c>
      <c r="N26" s="339">
        <v>0</v>
      </c>
      <c r="O26" s="339">
        <v>0</v>
      </c>
      <c r="P26" s="339">
        <v>0</v>
      </c>
      <c r="Q26" s="339">
        <v>0</v>
      </c>
      <c r="R26" s="339">
        <v>0</v>
      </c>
      <c r="S26" s="339">
        <v>0</v>
      </c>
    </row>
    <row r="27" spans="1:19" x14ac:dyDescent="0.2">
      <c r="B27" s="311" t="s">
        <v>64</v>
      </c>
      <c r="C27" s="336">
        <v>29</v>
      </c>
      <c r="E27" s="340"/>
      <c r="G27" s="407" t="s">
        <v>65</v>
      </c>
      <c r="H27" s="343">
        <f>SUM(H28:H30)</f>
        <v>12.074</v>
      </c>
      <c r="I27" s="343">
        <f t="shared" ref="I27:S27" si="5">SUM(I28:I30)</f>
        <v>16.405000000000001</v>
      </c>
      <c r="J27" s="343">
        <f t="shared" si="5"/>
        <v>17.158000000000001</v>
      </c>
      <c r="K27" s="343">
        <f t="shared" si="5"/>
        <v>22.897000000000002</v>
      </c>
      <c r="L27" s="343">
        <f t="shared" si="5"/>
        <v>19.952999999999999</v>
      </c>
      <c r="M27" s="343">
        <f t="shared" si="5"/>
        <v>18.393000000000001</v>
      </c>
      <c r="N27" s="343">
        <f t="shared" si="5"/>
        <v>31</v>
      </c>
      <c r="O27" s="343">
        <f t="shared" si="5"/>
        <v>91</v>
      </c>
      <c r="P27" s="343">
        <f t="shared" si="5"/>
        <v>151</v>
      </c>
      <c r="Q27" s="343">
        <f t="shared" si="5"/>
        <v>111</v>
      </c>
      <c r="R27" s="343">
        <f t="shared" si="5"/>
        <v>71</v>
      </c>
      <c r="S27" s="343">
        <f t="shared" si="5"/>
        <v>31</v>
      </c>
    </row>
    <row r="28" spans="1:19" ht="12" x14ac:dyDescent="0.2">
      <c r="B28" s="311" t="s">
        <v>66</v>
      </c>
      <c r="C28" s="333" t="s">
        <v>67</v>
      </c>
      <c r="D28" s="333"/>
      <c r="E28" s="337" t="s">
        <v>11</v>
      </c>
      <c r="G28" s="407" t="s">
        <v>68</v>
      </c>
      <c r="H28" s="339">
        <v>9.8420000000000005</v>
      </c>
      <c r="I28" s="339">
        <v>9.8420000000000005</v>
      </c>
      <c r="J28" s="339">
        <v>9.8420000000000005</v>
      </c>
      <c r="K28" s="339">
        <v>9.8420000000000005</v>
      </c>
      <c r="L28" s="339">
        <v>9.8420000000000005</v>
      </c>
      <c r="M28" s="339">
        <v>9.8420000000000005</v>
      </c>
      <c r="N28" s="339">
        <v>10</v>
      </c>
      <c r="O28" s="339">
        <v>10</v>
      </c>
      <c r="P28" s="339">
        <v>10</v>
      </c>
      <c r="Q28" s="339">
        <v>10</v>
      </c>
      <c r="R28" s="339">
        <v>10</v>
      </c>
      <c r="S28" s="339">
        <v>10</v>
      </c>
    </row>
    <row r="29" spans="1:19" ht="12" x14ac:dyDescent="0.2">
      <c r="B29" s="311" t="s">
        <v>69</v>
      </c>
      <c r="C29" s="336">
        <v>298</v>
      </c>
      <c r="E29" s="337" t="s">
        <v>11</v>
      </c>
      <c r="G29" s="407" t="s">
        <v>70</v>
      </c>
      <c r="H29" s="339">
        <v>15.715999999999999</v>
      </c>
      <c r="I29" s="339">
        <v>2.2330000000000001</v>
      </c>
      <c r="J29" s="339">
        <v>6.5629999999999997</v>
      </c>
      <c r="K29" s="339">
        <v>7.3159999999999998</v>
      </c>
      <c r="L29" s="339">
        <v>13.054</v>
      </c>
      <c r="M29" s="339">
        <v>10.387</v>
      </c>
      <c r="N29" s="339">
        <v>9</v>
      </c>
      <c r="O29" s="339">
        <f>N29+N30</f>
        <v>21</v>
      </c>
      <c r="P29" s="339">
        <f>O29+O30</f>
        <v>81</v>
      </c>
      <c r="Q29" s="339">
        <f>P29+P30</f>
        <v>141</v>
      </c>
      <c r="R29" s="339">
        <f>Q29+Q30</f>
        <v>101</v>
      </c>
      <c r="S29" s="339">
        <f>R29+R30</f>
        <v>61</v>
      </c>
    </row>
    <row r="30" spans="1:19" ht="12" x14ac:dyDescent="0.2">
      <c r="B30" s="311" t="s">
        <v>71</v>
      </c>
      <c r="C30" s="336">
        <v>299</v>
      </c>
      <c r="E30" s="337" t="s">
        <v>72</v>
      </c>
      <c r="G30" s="407" t="s">
        <v>73</v>
      </c>
      <c r="H30" s="339">
        <v>-13.484</v>
      </c>
      <c r="I30" s="339">
        <v>4.33</v>
      </c>
      <c r="J30" s="339">
        <v>0.753</v>
      </c>
      <c r="K30" s="339">
        <v>5.7389999999999999</v>
      </c>
      <c r="L30" s="339">
        <v>-2.9430000000000001</v>
      </c>
      <c r="M30" s="339">
        <v>-1.8360000000000001</v>
      </c>
      <c r="N30" s="339">
        <v>12</v>
      </c>
      <c r="O30" s="339">
        <v>60</v>
      </c>
      <c r="P30" s="339">
        <v>60</v>
      </c>
      <c r="Q30" s="339">
        <v>-40</v>
      </c>
      <c r="R30" s="339">
        <v>-40</v>
      </c>
      <c r="S30" s="339">
        <v>-40</v>
      </c>
    </row>
    <row r="31" spans="1:19" s="486" customFormat="1" x14ac:dyDescent="0.2">
      <c r="A31" s="357"/>
      <c r="B31" s="311" t="s">
        <v>368</v>
      </c>
      <c r="C31" s="358" t="s">
        <v>369</v>
      </c>
      <c r="D31" s="359"/>
      <c r="E31" s="360"/>
      <c r="F31" s="357"/>
      <c r="G31" s="610" t="s">
        <v>74</v>
      </c>
      <c r="H31" s="363">
        <f t="shared" ref="H31:S31" si="6">H4-H18</f>
        <v>9.9999999997635314E-4</v>
      </c>
      <c r="I31" s="363">
        <f t="shared" si="6"/>
        <v>0</v>
      </c>
      <c r="J31" s="363">
        <f t="shared" si="6"/>
        <v>9.9999999999766942E-4</v>
      </c>
      <c r="K31" s="363">
        <f t="shared" si="6"/>
        <v>0</v>
      </c>
      <c r="L31" s="363">
        <f t="shared" si="6"/>
        <v>1.0000000000012221E-3</v>
      </c>
      <c r="M31" s="363">
        <f t="shared" si="6"/>
        <v>0</v>
      </c>
      <c r="N31" s="363">
        <f t="shared" si="6"/>
        <v>0</v>
      </c>
      <c r="O31" s="363">
        <f t="shared" si="6"/>
        <v>0</v>
      </c>
      <c r="P31" s="363">
        <f t="shared" si="6"/>
        <v>0</v>
      </c>
      <c r="Q31" s="363">
        <f t="shared" si="6"/>
        <v>0</v>
      </c>
      <c r="R31" s="363">
        <f t="shared" si="6"/>
        <v>0</v>
      </c>
      <c r="S31" s="363">
        <f t="shared" si="6"/>
        <v>0</v>
      </c>
    </row>
    <row r="32" spans="1:19" x14ac:dyDescent="0.2">
      <c r="G32" s="390" t="s">
        <v>75</v>
      </c>
      <c r="H32" s="366">
        <v>2011</v>
      </c>
      <c r="I32" s="366">
        <f t="shared" ref="I32:S32" si="7">H32+1</f>
        <v>2012</v>
      </c>
      <c r="J32" s="366">
        <f t="shared" si="7"/>
        <v>2013</v>
      </c>
      <c r="K32" s="366">
        <f t="shared" si="7"/>
        <v>2014</v>
      </c>
      <c r="L32" s="366">
        <f t="shared" si="7"/>
        <v>2015</v>
      </c>
      <c r="M32" s="366">
        <f t="shared" si="7"/>
        <v>2016</v>
      </c>
      <c r="N32" s="366">
        <f t="shared" si="7"/>
        <v>2017</v>
      </c>
      <c r="O32" s="366">
        <f t="shared" si="7"/>
        <v>2018</v>
      </c>
      <c r="P32" s="366">
        <f t="shared" si="7"/>
        <v>2019</v>
      </c>
      <c r="Q32" s="366">
        <f t="shared" si="7"/>
        <v>2020</v>
      </c>
      <c r="R32" s="366">
        <f t="shared" si="7"/>
        <v>2021</v>
      </c>
      <c r="S32" s="366">
        <f t="shared" si="7"/>
        <v>2022</v>
      </c>
    </row>
    <row r="33" spans="1:19" x14ac:dyDescent="0.2">
      <c r="B33" s="311" t="s">
        <v>76</v>
      </c>
      <c r="C33" s="336">
        <v>3</v>
      </c>
      <c r="G33" s="399" t="s">
        <v>77</v>
      </c>
      <c r="H33" s="343">
        <f>SUM(H34:H37)</f>
        <v>90.543999999999997</v>
      </c>
      <c r="I33" s="343">
        <f t="shared" ref="I33:S33" si="8">SUM(I34:I37)</f>
        <v>148.59299999999999</v>
      </c>
      <c r="J33" s="343">
        <f t="shared" si="8"/>
        <v>82.378</v>
      </c>
      <c r="K33" s="343">
        <f t="shared" si="8"/>
        <v>77.909000000000006</v>
      </c>
      <c r="L33" s="343">
        <f t="shared" si="8"/>
        <v>98.789000000000001</v>
      </c>
      <c r="M33" s="343">
        <f t="shared" si="8"/>
        <v>74.606999999999999</v>
      </c>
      <c r="N33" s="343">
        <f t="shared" si="8"/>
        <v>90</v>
      </c>
      <c r="O33" s="343">
        <f t="shared" si="8"/>
        <v>140</v>
      </c>
      <c r="P33" s="343">
        <f t="shared" si="8"/>
        <v>140</v>
      </c>
      <c r="Q33" s="343">
        <f t="shared" si="8"/>
        <v>320</v>
      </c>
      <c r="R33" s="343">
        <f t="shared" si="8"/>
        <v>320</v>
      </c>
      <c r="S33" s="343">
        <f t="shared" si="8"/>
        <v>320</v>
      </c>
    </row>
    <row r="34" spans="1:19" ht="12" x14ac:dyDescent="0.2">
      <c r="B34" s="311" t="s">
        <v>78</v>
      </c>
      <c r="C34" s="336">
        <v>30</v>
      </c>
      <c r="E34" s="337" t="s">
        <v>11</v>
      </c>
      <c r="G34" s="407" t="s">
        <v>79</v>
      </c>
      <c r="H34" s="339">
        <v>0</v>
      </c>
      <c r="I34" s="339">
        <v>0</v>
      </c>
      <c r="J34" s="339">
        <v>0</v>
      </c>
      <c r="K34" s="339">
        <v>0</v>
      </c>
      <c r="L34" s="339">
        <v>0</v>
      </c>
      <c r="M34" s="339">
        <v>0</v>
      </c>
      <c r="N34" s="339">
        <v>0</v>
      </c>
      <c r="O34" s="339">
        <v>0</v>
      </c>
      <c r="P34" s="339">
        <v>0</v>
      </c>
      <c r="Q34" s="339">
        <v>0</v>
      </c>
      <c r="R34" s="339">
        <v>0</v>
      </c>
      <c r="S34" s="339">
        <v>0</v>
      </c>
    </row>
    <row r="35" spans="1:19" ht="12" x14ac:dyDescent="0.2">
      <c r="B35" s="311" t="s">
        <v>80</v>
      </c>
      <c r="C35" s="336">
        <v>32</v>
      </c>
      <c r="E35" s="337" t="s">
        <v>11</v>
      </c>
      <c r="G35" s="407" t="s">
        <v>81</v>
      </c>
      <c r="H35" s="339">
        <v>28.617000000000001</v>
      </c>
      <c r="I35" s="339">
        <v>27.542999999999999</v>
      </c>
      <c r="J35" s="339">
        <v>29.349</v>
      </c>
      <c r="K35" s="339">
        <v>29.632999999999999</v>
      </c>
      <c r="L35" s="339">
        <v>28.37</v>
      </c>
      <c r="M35" s="339">
        <v>26.254000000000001</v>
      </c>
      <c r="N35" s="339">
        <v>29</v>
      </c>
      <c r="O35" s="339">
        <v>30</v>
      </c>
      <c r="P35" s="339">
        <v>30</v>
      </c>
      <c r="Q35" s="339">
        <v>30</v>
      </c>
      <c r="R35" s="339">
        <v>30</v>
      </c>
      <c r="S35" s="339">
        <v>30</v>
      </c>
    </row>
    <row r="36" spans="1:19" ht="12" x14ac:dyDescent="0.2">
      <c r="A36" s="341"/>
      <c r="B36" s="311" t="s">
        <v>82</v>
      </c>
      <c r="C36" s="336">
        <v>35</v>
      </c>
      <c r="E36" s="337" t="s">
        <v>11</v>
      </c>
      <c r="F36" s="341"/>
      <c r="G36" s="407" t="s">
        <v>83</v>
      </c>
      <c r="H36" s="339">
        <v>61.511000000000003</v>
      </c>
      <c r="I36" s="339">
        <v>121.05</v>
      </c>
      <c r="J36" s="339">
        <v>53.029000000000003</v>
      </c>
      <c r="K36" s="339">
        <v>48.276000000000003</v>
      </c>
      <c r="L36" s="339">
        <v>70.418999999999997</v>
      </c>
      <c r="M36" s="339">
        <v>48.353000000000002</v>
      </c>
      <c r="N36" s="339">
        <v>61</v>
      </c>
      <c r="O36" s="339">
        <f>13+22+15+60</f>
        <v>110</v>
      </c>
      <c r="P36" s="339">
        <f>13+22+15+60</f>
        <v>110</v>
      </c>
      <c r="Q36" s="339">
        <f>13+22+15+240</f>
        <v>290</v>
      </c>
      <c r="R36" s="339">
        <f>13+22+15+240</f>
        <v>290</v>
      </c>
      <c r="S36" s="339">
        <f>13+22+15+240</f>
        <v>290</v>
      </c>
    </row>
    <row r="37" spans="1:19" ht="12" x14ac:dyDescent="0.2">
      <c r="B37" s="311" t="s">
        <v>84</v>
      </c>
      <c r="C37" s="336">
        <v>38</v>
      </c>
      <c r="E37" s="337" t="s">
        <v>72</v>
      </c>
      <c r="G37" s="407" t="s">
        <v>85</v>
      </c>
      <c r="H37" s="339">
        <v>0.41599999999999998</v>
      </c>
      <c r="I37" s="339">
        <v>0</v>
      </c>
      <c r="J37" s="339">
        <v>0</v>
      </c>
      <c r="K37" s="339">
        <v>0</v>
      </c>
      <c r="L37" s="339">
        <v>0</v>
      </c>
      <c r="M37" s="339">
        <v>0</v>
      </c>
      <c r="N37" s="339">
        <v>0</v>
      </c>
      <c r="O37" s="339">
        <v>0</v>
      </c>
      <c r="P37" s="339">
        <v>0</v>
      </c>
      <c r="Q37" s="339">
        <v>0</v>
      </c>
      <c r="R37" s="339">
        <v>0</v>
      </c>
      <c r="S37" s="339">
        <v>0</v>
      </c>
    </row>
    <row r="38" spans="1:19" x14ac:dyDescent="0.2">
      <c r="B38" s="311" t="s">
        <v>86</v>
      </c>
      <c r="C38" s="336">
        <v>4</v>
      </c>
      <c r="E38" s="368"/>
      <c r="G38" s="407" t="s">
        <v>87</v>
      </c>
      <c r="H38" s="343">
        <f>H39+H40</f>
        <v>0</v>
      </c>
      <c r="I38" s="343">
        <f t="shared" ref="I38:S38" si="9">I39+I40</f>
        <v>0</v>
      </c>
      <c r="J38" s="343">
        <f t="shared" si="9"/>
        <v>0</v>
      </c>
      <c r="K38" s="343">
        <f t="shared" si="9"/>
        <v>0</v>
      </c>
      <c r="L38" s="343">
        <f t="shared" si="9"/>
        <v>0</v>
      </c>
      <c r="M38" s="343">
        <f t="shared" si="9"/>
        <v>0</v>
      </c>
      <c r="N38" s="343">
        <f t="shared" si="9"/>
        <v>0</v>
      </c>
      <c r="O38" s="343">
        <f t="shared" si="9"/>
        <v>0</v>
      </c>
      <c r="P38" s="343">
        <f t="shared" si="9"/>
        <v>0</v>
      </c>
      <c r="Q38" s="343">
        <f t="shared" si="9"/>
        <v>0</v>
      </c>
      <c r="R38" s="343">
        <f t="shared" si="9"/>
        <v>0</v>
      </c>
      <c r="S38" s="343">
        <f t="shared" si="9"/>
        <v>0</v>
      </c>
    </row>
    <row r="39" spans="1:19" ht="12" x14ac:dyDescent="0.2">
      <c r="B39" s="311" t="s">
        <v>88</v>
      </c>
      <c r="C39" s="336">
        <v>41</v>
      </c>
      <c r="E39" s="337" t="s">
        <v>89</v>
      </c>
      <c r="G39" s="407" t="s">
        <v>90</v>
      </c>
      <c r="H39" s="339">
        <v>0</v>
      </c>
      <c r="I39" s="339">
        <v>0</v>
      </c>
      <c r="J39" s="339">
        <v>0</v>
      </c>
      <c r="K39" s="339">
        <v>0</v>
      </c>
      <c r="L39" s="339">
        <v>0</v>
      </c>
      <c r="M39" s="339">
        <v>0</v>
      </c>
      <c r="N39" s="339">
        <v>0</v>
      </c>
      <c r="O39" s="339">
        <v>0</v>
      </c>
      <c r="P39" s="339">
        <v>0</v>
      </c>
      <c r="Q39" s="339">
        <v>0</v>
      </c>
      <c r="R39" s="339">
        <v>0</v>
      </c>
      <c r="S39" s="339">
        <v>0</v>
      </c>
    </row>
    <row r="40" spans="1:19" ht="12" x14ac:dyDescent="0.2">
      <c r="B40" s="311" t="s">
        <v>91</v>
      </c>
      <c r="C40" s="336">
        <v>45</v>
      </c>
      <c r="E40" s="337" t="s">
        <v>89</v>
      </c>
      <c r="G40" s="407" t="s">
        <v>92</v>
      </c>
      <c r="H40" s="339">
        <v>0</v>
      </c>
      <c r="I40" s="339">
        <v>0</v>
      </c>
      <c r="J40" s="339">
        <v>0</v>
      </c>
      <c r="K40" s="339">
        <v>0</v>
      </c>
      <c r="L40" s="339">
        <v>0</v>
      </c>
      <c r="M40" s="339">
        <v>0</v>
      </c>
      <c r="N40" s="339">
        <v>0</v>
      </c>
      <c r="O40" s="339">
        <v>0</v>
      </c>
      <c r="P40" s="339">
        <v>0</v>
      </c>
      <c r="Q40" s="339">
        <v>0</v>
      </c>
      <c r="R40" s="339">
        <v>0</v>
      </c>
      <c r="S40" s="339">
        <v>0</v>
      </c>
    </row>
    <row r="41" spans="1:19" x14ac:dyDescent="0.2">
      <c r="A41" s="341"/>
      <c r="B41" s="311" t="s">
        <v>93</v>
      </c>
      <c r="C41" s="336" t="s">
        <v>94</v>
      </c>
      <c r="E41" s="368"/>
      <c r="F41" s="341"/>
      <c r="G41" s="407" t="s">
        <v>95</v>
      </c>
      <c r="H41" s="343">
        <f>SUM(H42:H45)</f>
        <v>-77.811999999999983</v>
      </c>
      <c r="I41" s="343">
        <f t="shared" ref="I41:S41" si="10">SUM(I42:I45)</f>
        <v>-134.01400000000001</v>
      </c>
      <c r="J41" s="343">
        <f t="shared" si="10"/>
        <v>-80.322000000000003</v>
      </c>
      <c r="K41" s="343">
        <f t="shared" si="10"/>
        <v>-72.171999999999997</v>
      </c>
      <c r="L41" s="343">
        <f t="shared" si="10"/>
        <v>-101.73100000000001</v>
      </c>
      <c r="M41" s="343">
        <f t="shared" si="10"/>
        <v>-76.444000000000003</v>
      </c>
      <c r="N41" s="343">
        <f t="shared" si="10"/>
        <v>-78</v>
      </c>
      <c r="O41" s="343">
        <f t="shared" si="10"/>
        <v>-80</v>
      </c>
      <c r="P41" s="343">
        <f t="shared" si="10"/>
        <v>-80</v>
      </c>
      <c r="Q41" s="343">
        <f t="shared" si="10"/>
        <v>-360</v>
      </c>
      <c r="R41" s="343">
        <f t="shared" si="10"/>
        <v>-360</v>
      </c>
      <c r="S41" s="343">
        <f t="shared" si="10"/>
        <v>-360</v>
      </c>
    </row>
    <row r="42" spans="1:19" ht="12" x14ac:dyDescent="0.2">
      <c r="B42" s="311" t="s">
        <v>96</v>
      </c>
      <c r="C42" s="336">
        <v>50</v>
      </c>
      <c r="E42" s="337" t="s">
        <v>89</v>
      </c>
      <c r="G42" s="407" t="s">
        <v>97</v>
      </c>
      <c r="H42" s="339">
        <v>-32.357999999999997</v>
      </c>
      <c r="I42" s="339">
        <v>-69.763000000000005</v>
      </c>
      <c r="J42" s="339">
        <v>-24.640999999999998</v>
      </c>
      <c r="K42" s="339">
        <v>-25.074999999999999</v>
      </c>
      <c r="L42" s="339">
        <v>-26.64</v>
      </c>
      <c r="M42" s="339">
        <v>-29.234000000000002</v>
      </c>
      <c r="N42" s="339">
        <v>-30</v>
      </c>
      <c r="O42" s="339">
        <v>-35</v>
      </c>
      <c r="P42" s="339">
        <v>-35</v>
      </c>
      <c r="Q42" s="339">
        <v>-35</v>
      </c>
      <c r="R42" s="339">
        <v>-35</v>
      </c>
      <c r="S42" s="339">
        <v>-35</v>
      </c>
    </row>
    <row r="43" spans="1:19" ht="12" x14ac:dyDescent="0.2">
      <c r="B43" s="311" t="s">
        <v>98</v>
      </c>
      <c r="C43" s="336">
        <v>55</v>
      </c>
      <c r="E43" s="337" t="s">
        <v>89</v>
      </c>
      <c r="G43" s="407" t="s">
        <v>99</v>
      </c>
      <c r="H43" s="339">
        <v>-40.081000000000003</v>
      </c>
      <c r="I43" s="339">
        <v>-57.643999999999998</v>
      </c>
      <c r="J43" s="339">
        <v>-48.948</v>
      </c>
      <c r="K43" s="339">
        <v>-42.027000000000001</v>
      </c>
      <c r="L43" s="339">
        <v>-64.531000000000006</v>
      </c>
      <c r="M43" s="339">
        <v>-40.497999999999998</v>
      </c>
      <c r="N43" s="339">
        <v>-41</v>
      </c>
      <c r="O43" s="339">
        <f>-((30-5)+15)</f>
        <v>-40</v>
      </c>
      <c r="P43" s="339">
        <f>-((30-5)+15)</f>
        <v>-40</v>
      </c>
      <c r="Q43" s="339">
        <f>-((30-5)+15+(240+40))</f>
        <v>-320</v>
      </c>
      <c r="R43" s="339">
        <f>-((30-5)+15+(240+40))</f>
        <v>-320</v>
      </c>
      <c r="S43" s="339">
        <f>-((30-5)+15+(240+40))</f>
        <v>-320</v>
      </c>
    </row>
    <row r="44" spans="1:19" ht="12" x14ac:dyDescent="0.2">
      <c r="A44" s="341"/>
      <c r="B44" s="311" t="s">
        <v>100</v>
      </c>
      <c r="C44" s="336">
        <v>60</v>
      </c>
      <c r="E44" s="337" t="s">
        <v>89</v>
      </c>
      <c r="F44" s="341"/>
      <c r="G44" s="407" t="s">
        <v>101</v>
      </c>
      <c r="H44" s="339">
        <v>-4.4509999999999996</v>
      </c>
      <c r="I44" s="339">
        <v>-5.6849999999999996</v>
      </c>
      <c r="J44" s="339">
        <v>-5.8109999999999999</v>
      </c>
      <c r="K44" s="339">
        <v>-4.1479999999999997</v>
      </c>
      <c r="L44" s="339">
        <v>-9.6379999999999999</v>
      </c>
      <c r="M44" s="339">
        <v>-5.4039999999999999</v>
      </c>
      <c r="N44" s="339">
        <v>-6</v>
      </c>
      <c r="O44" s="339">
        <v>-5</v>
      </c>
      <c r="P44" s="339">
        <v>-5</v>
      </c>
      <c r="Q44" s="339">
        <v>-5</v>
      </c>
      <c r="R44" s="339">
        <v>-5</v>
      </c>
      <c r="S44" s="339">
        <v>-5</v>
      </c>
    </row>
    <row r="45" spans="1:19" ht="12" x14ac:dyDescent="0.2">
      <c r="B45" s="311" t="s">
        <v>102</v>
      </c>
      <c r="C45" s="336">
        <v>61</v>
      </c>
      <c r="E45" s="337" t="s">
        <v>89</v>
      </c>
      <c r="G45" s="407" t="s">
        <v>103</v>
      </c>
      <c r="H45" s="339">
        <v>-0.92200000000000004</v>
      </c>
      <c r="I45" s="339">
        <v>-0.92200000000000004</v>
      </c>
      <c r="J45" s="339">
        <v>-0.92200000000000004</v>
      </c>
      <c r="K45" s="339">
        <v>-0.92200000000000004</v>
      </c>
      <c r="L45" s="339">
        <v>-0.92200000000000004</v>
      </c>
      <c r="M45" s="339">
        <v>-1.3080000000000001</v>
      </c>
      <c r="N45" s="339">
        <v>-1</v>
      </c>
      <c r="O45" s="339">
        <v>0</v>
      </c>
      <c r="P45" s="339">
        <v>0</v>
      </c>
      <c r="Q45" s="339">
        <v>0</v>
      </c>
      <c r="R45" s="339">
        <v>0</v>
      </c>
      <c r="S45" s="339">
        <v>0</v>
      </c>
    </row>
    <row r="46" spans="1:19" x14ac:dyDescent="0.2">
      <c r="B46" s="311" t="s">
        <v>104</v>
      </c>
      <c r="G46" s="407" t="s">
        <v>105</v>
      </c>
      <c r="H46" s="343">
        <f>H33+H38+H41</f>
        <v>12.732000000000014</v>
      </c>
      <c r="I46" s="343">
        <f t="shared" ref="I46:S46" si="11">I33+I38+I41</f>
        <v>14.578999999999979</v>
      </c>
      <c r="J46" s="343">
        <f t="shared" si="11"/>
        <v>2.0559999999999974</v>
      </c>
      <c r="K46" s="343">
        <f t="shared" si="11"/>
        <v>5.737000000000009</v>
      </c>
      <c r="L46" s="343">
        <f t="shared" si="11"/>
        <v>-2.9420000000000073</v>
      </c>
      <c r="M46" s="343">
        <f t="shared" si="11"/>
        <v>-1.8370000000000033</v>
      </c>
      <c r="N46" s="343">
        <f t="shared" si="11"/>
        <v>12</v>
      </c>
      <c r="O46" s="343">
        <f t="shared" si="11"/>
        <v>60</v>
      </c>
      <c r="P46" s="343">
        <f t="shared" si="11"/>
        <v>60</v>
      </c>
      <c r="Q46" s="343">
        <f t="shared" si="11"/>
        <v>-40</v>
      </c>
      <c r="R46" s="343">
        <f t="shared" si="11"/>
        <v>-40</v>
      </c>
      <c r="S46" s="343">
        <f t="shared" si="11"/>
        <v>-40</v>
      </c>
    </row>
    <row r="47" spans="1:19" ht="12" x14ac:dyDescent="0.2">
      <c r="B47" s="311" t="s">
        <v>106</v>
      </c>
      <c r="C47" s="336">
        <v>65</v>
      </c>
      <c r="E47" s="337" t="s">
        <v>72</v>
      </c>
      <c r="G47" s="407" t="s">
        <v>107</v>
      </c>
      <c r="H47" s="339">
        <v>-26.215</v>
      </c>
      <c r="I47" s="339">
        <v>-10.249000000000001</v>
      </c>
      <c r="J47" s="339">
        <v>-1.304</v>
      </c>
      <c r="K47" s="339">
        <v>2E-3</v>
      </c>
      <c r="L47" s="339">
        <v>0</v>
      </c>
      <c r="M47" s="339">
        <v>0</v>
      </c>
      <c r="N47" s="339">
        <v>0</v>
      </c>
      <c r="O47" s="339">
        <v>0</v>
      </c>
      <c r="P47" s="339">
        <v>0</v>
      </c>
      <c r="Q47" s="339">
        <v>0</v>
      </c>
      <c r="R47" s="339">
        <v>0</v>
      </c>
      <c r="S47" s="339">
        <v>0</v>
      </c>
    </row>
    <row r="48" spans="1:19" x14ac:dyDescent="0.2">
      <c r="B48" s="311" t="s">
        <v>108</v>
      </c>
      <c r="G48" s="407" t="s">
        <v>109</v>
      </c>
      <c r="H48" s="343">
        <f>H46+H47</f>
        <v>-13.482999999999986</v>
      </c>
      <c r="I48" s="343">
        <f t="shared" ref="I48:S48" si="12">I46+I47</f>
        <v>4.3299999999999788</v>
      </c>
      <c r="J48" s="343">
        <f t="shared" si="12"/>
        <v>0.75199999999999734</v>
      </c>
      <c r="K48" s="343">
        <f t="shared" si="12"/>
        <v>5.7390000000000088</v>
      </c>
      <c r="L48" s="343">
        <f t="shared" si="12"/>
        <v>-2.9420000000000073</v>
      </c>
      <c r="M48" s="343">
        <f t="shared" si="12"/>
        <v>-1.8370000000000033</v>
      </c>
      <c r="N48" s="343">
        <f t="shared" si="12"/>
        <v>12</v>
      </c>
      <c r="O48" s="343">
        <f t="shared" si="12"/>
        <v>60</v>
      </c>
      <c r="P48" s="343">
        <f t="shared" si="12"/>
        <v>60</v>
      </c>
      <c r="Q48" s="343">
        <f t="shared" si="12"/>
        <v>-40</v>
      </c>
      <c r="R48" s="343">
        <f t="shared" si="12"/>
        <v>-40</v>
      </c>
      <c r="S48" s="343">
        <f t="shared" si="12"/>
        <v>-40</v>
      </c>
    </row>
    <row r="49" spans="1:19" ht="12" x14ac:dyDescent="0.2">
      <c r="B49" s="311" t="s">
        <v>110</v>
      </c>
      <c r="C49" s="336">
        <v>68</v>
      </c>
      <c r="E49" s="337" t="s">
        <v>89</v>
      </c>
      <c r="G49" s="407" t="s">
        <v>111</v>
      </c>
      <c r="H49" s="339">
        <v>0</v>
      </c>
      <c r="I49" s="339">
        <v>0</v>
      </c>
      <c r="J49" s="339">
        <v>0</v>
      </c>
      <c r="K49" s="339">
        <v>0</v>
      </c>
      <c r="L49" s="339">
        <v>0</v>
      </c>
      <c r="M49" s="339">
        <v>0</v>
      </c>
      <c r="N49" s="339">
        <v>0</v>
      </c>
      <c r="O49" s="339">
        <v>0</v>
      </c>
      <c r="P49" s="339">
        <v>0</v>
      </c>
      <c r="Q49" s="339">
        <v>0</v>
      </c>
      <c r="R49" s="339">
        <v>0</v>
      </c>
      <c r="S49" s="339">
        <v>0</v>
      </c>
    </row>
    <row r="50" spans="1:19" ht="12" x14ac:dyDescent="0.2">
      <c r="B50" s="311" t="s">
        <v>112</v>
      </c>
      <c r="C50" s="336">
        <v>69</v>
      </c>
      <c r="E50" s="337" t="s">
        <v>11</v>
      </c>
      <c r="G50" s="407" t="s">
        <v>113</v>
      </c>
      <c r="H50" s="339">
        <v>0</v>
      </c>
      <c r="I50" s="339">
        <v>0</v>
      </c>
      <c r="J50" s="339">
        <v>0</v>
      </c>
      <c r="K50" s="339">
        <v>0</v>
      </c>
      <c r="L50" s="339">
        <v>0</v>
      </c>
      <c r="M50" s="339">
        <v>0</v>
      </c>
      <c r="N50" s="339">
        <v>0</v>
      </c>
      <c r="O50" s="339">
        <v>0</v>
      </c>
      <c r="P50" s="339">
        <v>0</v>
      </c>
      <c r="Q50" s="339">
        <v>0</v>
      </c>
      <c r="R50" s="339">
        <v>0</v>
      </c>
      <c r="S50" s="339">
        <v>0</v>
      </c>
    </row>
    <row r="51" spans="1:19" x14ac:dyDescent="0.2">
      <c r="B51" s="311" t="s">
        <v>114</v>
      </c>
      <c r="G51" s="407" t="s">
        <v>115</v>
      </c>
      <c r="H51" s="343">
        <f>H48+H49+H50</f>
        <v>-13.482999999999986</v>
      </c>
      <c r="I51" s="343">
        <f t="shared" ref="I51:S51" si="13">I48+I49+I50</f>
        <v>4.3299999999999788</v>
      </c>
      <c r="J51" s="343">
        <f t="shared" si="13"/>
        <v>0.75199999999999734</v>
      </c>
      <c r="K51" s="343">
        <f t="shared" si="13"/>
        <v>5.7390000000000088</v>
      </c>
      <c r="L51" s="343">
        <f t="shared" si="13"/>
        <v>-2.9420000000000073</v>
      </c>
      <c r="M51" s="343">
        <f t="shared" si="13"/>
        <v>-1.8370000000000033</v>
      </c>
      <c r="N51" s="343">
        <f t="shared" si="13"/>
        <v>12</v>
      </c>
      <c r="O51" s="343">
        <f t="shared" si="13"/>
        <v>60</v>
      </c>
      <c r="P51" s="343">
        <f t="shared" si="13"/>
        <v>60</v>
      </c>
      <c r="Q51" s="343">
        <f t="shared" si="13"/>
        <v>-40</v>
      </c>
      <c r="R51" s="343">
        <f t="shared" si="13"/>
        <v>-40</v>
      </c>
      <c r="S51" s="343">
        <f t="shared" si="13"/>
        <v>-40</v>
      </c>
    </row>
    <row r="52" spans="1:19" x14ac:dyDescent="0.2">
      <c r="A52" s="369"/>
      <c r="B52" s="311" t="s">
        <v>370</v>
      </c>
      <c r="C52" s="358" t="s">
        <v>371</v>
      </c>
      <c r="D52" s="370"/>
      <c r="E52" s="371"/>
      <c r="F52" s="369"/>
      <c r="G52" s="610" t="s">
        <v>116</v>
      </c>
      <c r="H52" s="363">
        <f>H30-H51</f>
        <v>-1.0000000000136566E-3</v>
      </c>
      <c r="I52" s="363">
        <f t="shared" ref="I52:S52" si="14">I30-I51</f>
        <v>2.1316282072803006E-14</v>
      </c>
      <c r="J52" s="363">
        <f t="shared" si="14"/>
        <v>1.0000000000026654E-3</v>
      </c>
      <c r="K52" s="363">
        <f t="shared" si="14"/>
        <v>-8.8817841970012523E-15</v>
      </c>
      <c r="L52" s="363">
        <f t="shared" si="14"/>
        <v>-9.9999999999278444E-4</v>
      </c>
      <c r="M52" s="363">
        <f t="shared" si="14"/>
        <v>1.0000000000032205E-3</v>
      </c>
      <c r="N52" s="363">
        <f t="shared" si="14"/>
        <v>0</v>
      </c>
      <c r="O52" s="363">
        <f t="shared" si="14"/>
        <v>0</v>
      </c>
      <c r="P52" s="363">
        <f t="shared" si="14"/>
        <v>0</v>
      </c>
      <c r="Q52" s="363">
        <f t="shared" si="14"/>
        <v>0</v>
      </c>
      <c r="R52" s="363">
        <f t="shared" si="14"/>
        <v>0</v>
      </c>
      <c r="S52" s="363">
        <f t="shared" si="14"/>
        <v>0</v>
      </c>
    </row>
    <row r="53" spans="1:19" x14ac:dyDescent="0.2">
      <c r="G53" s="426" t="s">
        <v>117</v>
      </c>
    </row>
    <row r="54" spans="1:19" ht="12" x14ac:dyDescent="0.2">
      <c r="C54" s="336">
        <v>90</v>
      </c>
      <c r="E54" s="337" t="s">
        <v>11</v>
      </c>
      <c r="G54" s="426" t="s">
        <v>118</v>
      </c>
      <c r="H54" s="339">
        <v>3</v>
      </c>
      <c r="I54" s="339">
        <v>6</v>
      </c>
      <c r="J54" s="339">
        <v>3</v>
      </c>
      <c r="K54" s="339">
        <v>3</v>
      </c>
      <c r="L54" s="339">
        <v>4</v>
      </c>
      <c r="M54" s="339">
        <v>3</v>
      </c>
      <c r="N54" s="339"/>
      <c r="O54" s="339"/>
      <c r="P54" s="339"/>
      <c r="Q54" s="339"/>
      <c r="R54" s="339"/>
      <c r="S54" s="339"/>
    </row>
    <row r="55" spans="1:19" ht="12" x14ac:dyDescent="0.2">
      <c r="E55" s="337" t="s">
        <v>11</v>
      </c>
      <c r="G55" s="426" t="s">
        <v>119</v>
      </c>
      <c r="H55" s="339"/>
      <c r="I55" s="339"/>
      <c r="J55" s="339"/>
      <c r="K55" s="339"/>
      <c r="L55" s="377"/>
      <c r="M55" s="377"/>
      <c r="N55" s="377"/>
      <c r="O55" s="377"/>
      <c r="P55" s="377"/>
      <c r="Q55" s="377"/>
      <c r="R55" s="377"/>
      <c r="S55" s="377"/>
    </row>
    <row r="57" spans="1:19" x14ac:dyDescent="0.2">
      <c r="D57" s="379" t="s">
        <v>120</v>
      </c>
      <c r="E57" s="380" t="s">
        <v>3</v>
      </c>
      <c r="F57" s="334"/>
      <c r="G57" s="390" t="s">
        <v>121</v>
      </c>
      <c r="H57" s="366">
        <f>H32</f>
        <v>2011</v>
      </c>
      <c r="I57" s="366">
        <f t="shared" ref="I57:S57" si="15">I32</f>
        <v>2012</v>
      </c>
      <c r="J57" s="366">
        <f t="shared" si="15"/>
        <v>2013</v>
      </c>
      <c r="K57" s="366">
        <f t="shared" si="15"/>
        <v>2014</v>
      </c>
      <c r="L57" s="366">
        <f t="shared" si="15"/>
        <v>2015</v>
      </c>
      <c r="M57" s="366">
        <f t="shared" si="15"/>
        <v>2016</v>
      </c>
      <c r="N57" s="366">
        <f t="shared" si="15"/>
        <v>2017</v>
      </c>
      <c r="O57" s="366">
        <f t="shared" si="15"/>
        <v>2018</v>
      </c>
      <c r="P57" s="366">
        <f t="shared" si="15"/>
        <v>2019</v>
      </c>
      <c r="Q57" s="366">
        <f t="shared" si="15"/>
        <v>2020</v>
      </c>
      <c r="R57" s="366">
        <f t="shared" si="15"/>
        <v>2021</v>
      </c>
      <c r="S57" s="366">
        <f t="shared" si="15"/>
        <v>2022</v>
      </c>
    </row>
    <row r="58" spans="1:19" ht="11.25" customHeight="1" x14ac:dyDescent="0.2">
      <c r="B58" s="381" t="s">
        <v>122</v>
      </c>
      <c r="C58" s="333" t="s">
        <v>123</v>
      </c>
      <c r="D58" s="382" t="s">
        <v>124</v>
      </c>
      <c r="E58" s="337" t="s">
        <v>89</v>
      </c>
      <c r="F58" s="340"/>
      <c r="G58" s="399" t="s">
        <v>125</v>
      </c>
      <c r="H58" s="339">
        <v>0</v>
      </c>
      <c r="I58" s="339">
        <v>0</v>
      </c>
      <c r="J58" s="339">
        <v>0</v>
      </c>
      <c r="K58" s="339">
        <v>0</v>
      </c>
      <c r="L58" s="339">
        <v>0</v>
      </c>
      <c r="M58" s="339">
        <v>0</v>
      </c>
      <c r="N58" s="339">
        <v>0</v>
      </c>
      <c r="O58" s="339">
        <v>0</v>
      </c>
      <c r="P58" s="339">
        <v>0</v>
      </c>
      <c r="Q58" s="339">
        <v>0</v>
      </c>
      <c r="R58" s="339">
        <v>0</v>
      </c>
      <c r="S58" s="339">
        <v>0</v>
      </c>
    </row>
    <row r="59" spans="1:19" ht="12" x14ac:dyDescent="0.2">
      <c r="B59" s="381" t="s">
        <v>126</v>
      </c>
      <c r="C59" s="383" t="s">
        <v>127</v>
      </c>
      <c r="D59" s="382" t="s">
        <v>128</v>
      </c>
      <c r="E59" s="337" t="s">
        <v>11</v>
      </c>
      <c r="F59" s="340"/>
      <c r="G59" s="616" t="s">
        <v>129</v>
      </c>
      <c r="H59" s="339">
        <v>0</v>
      </c>
      <c r="I59" s="339">
        <v>0</v>
      </c>
      <c r="J59" s="339">
        <v>0</v>
      </c>
      <c r="K59" s="339">
        <v>0</v>
      </c>
      <c r="L59" s="339">
        <v>0</v>
      </c>
      <c r="M59" s="339">
        <v>0</v>
      </c>
      <c r="N59" s="339">
        <v>0</v>
      </c>
      <c r="O59" s="339">
        <v>0</v>
      </c>
      <c r="P59" s="339">
        <v>0</v>
      </c>
      <c r="Q59" s="339">
        <v>0</v>
      </c>
      <c r="R59" s="339">
        <v>0</v>
      </c>
      <c r="S59" s="339">
        <v>0</v>
      </c>
    </row>
    <row r="60" spans="1:19" ht="12" x14ac:dyDescent="0.2">
      <c r="B60" s="381" t="s">
        <v>130</v>
      </c>
      <c r="C60" s="333" t="s">
        <v>372</v>
      </c>
      <c r="D60" s="382" t="s">
        <v>131</v>
      </c>
      <c r="E60" s="337" t="s">
        <v>11</v>
      </c>
      <c r="F60" s="340"/>
      <c r="G60" s="407" t="s">
        <v>132</v>
      </c>
      <c r="H60" s="339">
        <v>246.30199999999999</v>
      </c>
      <c r="I60" s="339">
        <v>0</v>
      </c>
      <c r="J60" s="339">
        <v>0</v>
      </c>
      <c r="K60" s="339">
        <v>0</v>
      </c>
      <c r="L60" s="339">
        <v>0</v>
      </c>
      <c r="M60" s="339">
        <v>0</v>
      </c>
      <c r="N60" s="339">
        <v>0</v>
      </c>
      <c r="O60" s="339">
        <v>0</v>
      </c>
      <c r="P60" s="339">
        <v>0</v>
      </c>
      <c r="Q60" s="339">
        <v>0</v>
      </c>
      <c r="R60" s="339">
        <v>0</v>
      </c>
      <c r="S60" s="339">
        <v>0</v>
      </c>
    </row>
    <row r="61" spans="1:19" ht="12" x14ac:dyDescent="0.2">
      <c r="B61" s="381" t="s">
        <v>133</v>
      </c>
      <c r="C61" s="333" t="s">
        <v>134</v>
      </c>
      <c r="D61" s="333" t="s">
        <v>135</v>
      </c>
      <c r="E61" s="337" t="s">
        <v>89</v>
      </c>
      <c r="F61" s="340"/>
      <c r="G61" s="407" t="s">
        <v>136</v>
      </c>
      <c r="H61" s="339">
        <v>0</v>
      </c>
      <c r="I61" s="339">
        <v>0</v>
      </c>
      <c r="J61" s="339">
        <v>0</v>
      </c>
      <c r="K61" s="339">
        <v>0</v>
      </c>
      <c r="L61" s="339">
        <v>0</v>
      </c>
      <c r="M61" s="339">
        <v>0</v>
      </c>
      <c r="N61" s="339">
        <v>0</v>
      </c>
      <c r="O61" s="339">
        <v>0</v>
      </c>
      <c r="P61" s="339">
        <v>0</v>
      </c>
      <c r="Q61" s="339">
        <v>0</v>
      </c>
      <c r="R61" s="339">
        <v>0</v>
      </c>
      <c r="S61" s="339">
        <v>0</v>
      </c>
    </row>
    <row r="62" spans="1:19" ht="12" x14ac:dyDescent="0.2">
      <c r="B62" s="381" t="s">
        <v>137</v>
      </c>
      <c r="C62" s="336">
        <v>253800</v>
      </c>
      <c r="D62" s="333" t="s">
        <v>131</v>
      </c>
      <c r="E62" s="337" t="s">
        <v>11</v>
      </c>
      <c r="F62" s="340"/>
      <c r="G62" s="407" t="s">
        <v>138</v>
      </c>
      <c r="H62" s="339">
        <v>0</v>
      </c>
      <c r="I62" s="339">
        <v>0</v>
      </c>
      <c r="J62" s="339">
        <v>0</v>
      </c>
      <c r="K62" s="339">
        <v>0</v>
      </c>
      <c r="L62" s="339">
        <v>0</v>
      </c>
      <c r="M62" s="339">
        <v>0</v>
      </c>
      <c r="N62" s="339">
        <v>0</v>
      </c>
      <c r="O62" s="339">
        <v>0</v>
      </c>
      <c r="P62" s="339">
        <v>0</v>
      </c>
      <c r="Q62" s="339">
        <v>0</v>
      </c>
      <c r="R62" s="339">
        <v>0</v>
      </c>
      <c r="S62" s="339">
        <v>0</v>
      </c>
    </row>
    <row r="63" spans="1:19" ht="12" x14ac:dyDescent="0.2">
      <c r="B63" s="381" t="s">
        <v>139</v>
      </c>
      <c r="C63" s="336">
        <v>150</v>
      </c>
      <c r="D63" s="333" t="s">
        <v>135</v>
      </c>
      <c r="E63" s="337" t="s">
        <v>89</v>
      </c>
      <c r="F63" s="340"/>
      <c r="G63" s="407" t="s">
        <v>140</v>
      </c>
      <c r="H63" s="339">
        <v>0</v>
      </c>
      <c r="I63" s="339">
        <v>0</v>
      </c>
      <c r="J63" s="339">
        <v>0</v>
      </c>
      <c r="K63" s="339">
        <v>0</v>
      </c>
      <c r="L63" s="339">
        <v>0</v>
      </c>
      <c r="M63" s="339">
        <v>0</v>
      </c>
      <c r="N63" s="339">
        <v>0</v>
      </c>
      <c r="O63" s="339">
        <v>0</v>
      </c>
      <c r="P63" s="339">
        <v>0</v>
      </c>
      <c r="Q63" s="339">
        <v>0</v>
      </c>
      <c r="R63" s="339">
        <v>0</v>
      </c>
      <c r="S63" s="339">
        <v>0</v>
      </c>
    </row>
    <row r="64" spans="1:19" ht="12" x14ac:dyDescent="0.2">
      <c r="B64" s="381" t="s">
        <v>141</v>
      </c>
      <c r="C64" s="333" t="s">
        <v>142</v>
      </c>
      <c r="D64" s="333" t="s">
        <v>131</v>
      </c>
      <c r="E64" s="337" t="s">
        <v>11</v>
      </c>
      <c r="F64" s="340"/>
      <c r="G64" s="407" t="s">
        <v>143</v>
      </c>
      <c r="H64" s="339">
        <v>0</v>
      </c>
      <c r="I64" s="339">
        <v>0</v>
      </c>
      <c r="J64" s="339">
        <v>0</v>
      </c>
      <c r="K64" s="339">
        <v>0</v>
      </c>
      <c r="L64" s="339">
        <v>0</v>
      </c>
      <c r="M64" s="339">
        <v>0</v>
      </c>
      <c r="N64" s="339">
        <v>0</v>
      </c>
      <c r="O64" s="339">
        <v>0</v>
      </c>
      <c r="P64" s="339">
        <v>0</v>
      </c>
      <c r="Q64" s="339">
        <v>0</v>
      </c>
      <c r="R64" s="339">
        <v>0</v>
      </c>
      <c r="S64" s="339">
        <v>0</v>
      </c>
    </row>
    <row r="65" spans="2:19" ht="12" x14ac:dyDescent="0.2">
      <c r="B65" s="381" t="s">
        <v>144</v>
      </c>
      <c r="C65" s="333" t="s">
        <v>373</v>
      </c>
      <c r="D65" s="333" t="s">
        <v>135</v>
      </c>
      <c r="E65" s="337" t="s">
        <v>89</v>
      </c>
      <c r="F65" s="340"/>
      <c r="G65" s="407" t="s">
        <v>145</v>
      </c>
      <c r="H65" s="339">
        <v>0</v>
      </c>
      <c r="I65" s="339">
        <v>0</v>
      </c>
      <c r="J65" s="339">
        <v>0</v>
      </c>
      <c r="K65" s="339">
        <v>0</v>
      </c>
      <c r="L65" s="339">
        <v>0</v>
      </c>
      <c r="M65" s="339">
        <v>0</v>
      </c>
      <c r="N65" s="339">
        <v>0</v>
      </c>
      <c r="O65" s="339">
        <v>0</v>
      </c>
      <c r="P65" s="339">
        <v>0</v>
      </c>
      <c r="Q65" s="339">
        <v>0</v>
      </c>
      <c r="R65" s="339">
        <v>0</v>
      </c>
      <c r="S65" s="339">
        <v>0</v>
      </c>
    </row>
    <row r="66" spans="2:19" ht="12" x14ac:dyDescent="0.2">
      <c r="B66" s="381" t="s">
        <v>146</v>
      </c>
      <c r="C66" s="333" t="s">
        <v>373</v>
      </c>
      <c r="D66" s="333" t="s">
        <v>131</v>
      </c>
      <c r="E66" s="337" t="s">
        <v>11</v>
      </c>
      <c r="F66" s="340"/>
      <c r="G66" s="407" t="s">
        <v>147</v>
      </c>
      <c r="H66" s="339">
        <v>0</v>
      </c>
      <c r="I66" s="339">
        <v>0</v>
      </c>
      <c r="J66" s="339">
        <v>0</v>
      </c>
      <c r="K66" s="339">
        <v>0</v>
      </c>
      <c r="L66" s="339">
        <v>0</v>
      </c>
      <c r="M66" s="339">
        <v>0</v>
      </c>
      <c r="N66" s="339">
        <v>0</v>
      </c>
      <c r="O66" s="339">
        <v>0</v>
      </c>
      <c r="P66" s="339">
        <v>0</v>
      </c>
      <c r="Q66" s="339">
        <v>0</v>
      </c>
      <c r="R66" s="339">
        <v>0</v>
      </c>
      <c r="S66" s="339">
        <v>0</v>
      </c>
    </row>
    <row r="67" spans="2:19" ht="12" x14ac:dyDescent="0.2">
      <c r="B67" s="381" t="s">
        <v>148</v>
      </c>
      <c r="C67" s="333" t="s">
        <v>149</v>
      </c>
      <c r="D67" s="333" t="s">
        <v>135</v>
      </c>
      <c r="E67" s="337" t="s">
        <v>89</v>
      </c>
      <c r="F67" s="340"/>
      <c r="G67" s="407" t="s">
        <v>150</v>
      </c>
      <c r="H67" s="339">
        <v>0</v>
      </c>
      <c r="I67" s="339">
        <v>0</v>
      </c>
      <c r="J67" s="339">
        <v>-3.0339999999999998</v>
      </c>
      <c r="K67" s="339">
        <v>0</v>
      </c>
      <c r="L67" s="339">
        <v>0</v>
      </c>
      <c r="M67" s="339">
        <v>0</v>
      </c>
      <c r="N67" s="339">
        <v>0</v>
      </c>
      <c r="O67" s="339">
        <v>0</v>
      </c>
      <c r="P67" s="339">
        <v>0</v>
      </c>
      <c r="Q67" s="339">
        <v>0</v>
      </c>
      <c r="R67" s="339">
        <v>0</v>
      </c>
      <c r="S67" s="339">
        <v>0</v>
      </c>
    </row>
    <row r="68" spans="2:19" ht="12" x14ac:dyDescent="0.2">
      <c r="B68" s="381" t="s">
        <v>151</v>
      </c>
      <c r="C68" s="333" t="s">
        <v>149</v>
      </c>
      <c r="D68" s="333" t="s">
        <v>131</v>
      </c>
      <c r="E68" s="337" t="s">
        <v>11</v>
      </c>
      <c r="F68" s="340"/>
      <c r="G68" s="407" t="s">
        <v>152</v>
      </c>
      <c r="H68" s="339">
        <v>0</v>
      </c>
      <c r="I68" s="339">
        <v>0</v>
      </c>
      <c r="J68" s="339">
        <v>0</v>
      </c>
      <c r="K68" s="339">
        <v>3.0339999999999998</v>
      </c>
      <c r="L68" s="339">
        <v>0</v>
      </c>
      <c r="M68" s="339">
        <v>0</v>
      </c>
      <c r="N68" s="339">
        <v>0</v>
      </c>
      <c r="O68" s="339">
        <v>0</v>
      </c>
      <c r="P68" s="339">
        <v>0</v>
      </c>
      <c r="Q68" s="339">
        <v>0</v>
      </c>
      <c r="R68" s="339">
        <v>0</v>
      </c>
      <c r="S68" s="339">
        <v>0</v>
      </c>
    </row>
    <row r="69" spans="2:19" ht="12" x14ac:dyDescent="0.2">
      <c r="B69" s="381" t="s">
        <v>153</v>
      </c>
      <c r="C69" s="333" t="s">
        <v>142</v>
      </c>
      <c r="D69" s="333" t="s">
        <v>131</v>
      </c>
      <c r="E69" s="337" t="s">
        <v>11</v>
      </c>
      <c r="F69" s="340"/>
      <c r="G69" s="407" t="s">
        <v>154</v>
      </c>
      <c r="H69" s="339">
        <v>0</v>
      </c>
      <c r="I69" s="339">
        <v>0</v>
      </c>
      <c r="J69" s="339">
        <v>0</v>
      </c>
      <c r="K69" s="339">
        <v>0</v>
      </c>
      <c r="L69" s="339">
        <v>0</v>
      </c>
      <c r="M69" s="339">
        <v>0</v>
      </c>
      <c r="N69" s="339">
        <v>0</v>
      </c>
      <c r="O69" s="339">
        <v>0</v>
      </c>
      <c r="P69" s="339">
        <v>0</v>
      </c>
      <c r="Q69" s="339">
        <v>0</v>
      </c>
      <c r="R69" s="339">
        <v>0</v>
      </c>
      <c r="S69" s="339">
        <v>0</v>
      </c>
    </row>
    <row r="70" spans="2:19" ht="12" x14ac:dyDescent="0.2">
      <c r="B70" s="381" t="s">
        <v>155</v>
      </c>
      <c r="C70" s="355" t="s">
        <v>156</v>
      </c>
      <c r="D70" s="333"/>
      <c r="E70" s="337" t="s">
        <v>72</v>
      </c>
      <c r="F70" s="340"/>
      <c r="G70" s="407" t="s">
        <v>107</v>
      </c>
      <c r="H70" s="339">
        <v>2.1000000000000001E-2</v>
      </c>
      <c r="I70" s="339">
        <v>1.4E-2</v>
      </c>
      <c r="J70" s="339">
        <v>4.0000000000000001E-3</v>
      </c>
      <c r="K70" s="339">
        <v>1E-3</v>
      </c>
      <c r="L70" s="339">
        <v>1E-3</v>
      </c>
      <c r="M70" s="339">
        <v>0</v>
      </c>
      <c r="N70" s="339">
        <v>0</v>
      </c>
      <c r="O70" s="339">
        <v>0</v>
      </c>
      <c r="P70" s="339">
        <v>0</v>
      </c>
      <c r="Q70" s="339">
        <v>0</v>
      </c>
      <c r="R70" s="339">
        <v>0</v>
      </c>
      <c r="S70" s="339">
        <v>0</v>
      </c>
    </row>
    <row r="71" spans="2:19" x14ac:dyDescent="0.2">
      <c r="B71" s="381" t="s">
        <v>157</v>
      </c>
      <c r="D71" s="333"/>
      <c r="E71" s="340"/>
      <c r="F71" s="340"/>
      <c r="G71" s="395" t="s">
        <v>158</v>
      </c>
      <c r="H71" s="343">
        <f t="shared" ref="H71:S71" si="16">SUM(H58:H70)</f>
        <v>246.32299999999998</v>
      </c>
      <c r="I71" s="343">
        <f t="shared" si="16"/>
        <v>1.4E-2</v>
      </c>
      <c r="J71" s="343">
        <f t="shared" si="16"/>
        <v>-3.03</v>
      </c>
      <c r="K71" s="343">
        <f t="shared" si="16"/>
        <v>3.0349999999999997</v>
      </c>
      <c r="L71" s="343">
        <f t="shared" si="16"/>
        <v>1E-3</v>
      </c>
      <c r="M71" s="343">
        <f t="shared" si="16"/>
        <v>0</v>
      </c>
      <c r="N71" s="343">
        <f t="shared" si="16"/>
        <v>0</v>
      </c>
      <c r="O71" s="343">
        <f t="shared" si="16"/>
        <v>0</v>
      </c>
      <c r="P71" s="343">
        <f t="shared" si="16"/>
        <v>0</v>
      </c>
      <c r="Q71" s="343">
        <f t="shared" si="16"/>
        <v>0</v>
      </c>
      <c r="R71" s="343">
        <f t="shared" si="16"/>
        <v>0</v>
      </c>
      <c r="S71" s="343">
        <f t="shared" si="16"/>
        <v>0</v>
      </c>
    </row>
    <row r="72" spans="2:19" x14ac:dyDescent="0.2">
      <c r="D72" s="333"/>
    </row>
    <row r="73" spans="2:19" x14ac:dyDescent="0.2">
      <c r="D73" s="379" t="s">
        <v>120</v>
      </c>
      <c r="E73" s="380" t="s">
        <v>3</v>
      </c>
      <c r="F73" s="334"/>
      <c r="G73" s="390" t="s">
        <v>159</v>
      </c>
      <c r="H73" s="366">
        <f t="shared" ref="H73:S73" si="17">H57</f>
        <v>2011</v>
      </c>
      <c r="I73" s="366">
        <f t="shared" si="17"/>
        <v>2012</v>
      </c>
      <c r="J73" s="366">
        <f t="shared" si="17"/>
        <v>2013</v>
      </c>
      <c r="K73" s="366">
        <f t="shared" si="17"/>
        <v>2014</v>
      </c>
      <c r="L73" s="366">
        <f t="shared" si="17"/>
        <v>2015</v>
      </c>
      <c r="M73" s="366">
        <f t="shared" si="17"/>
        <v>2016</v>
      </c>
      <c r="N73" s="366">
        <f t="shared" si="17"/>
        <v>2017</v>
      </c>
      <c r="O73" s="366">
        <f t="shared" si="17"/>
        <v>2018</v>
      </c>
      <c r="P73" s="366">
        <f t="shared" si="17"/>
        <v>2019</v>
      </c>
      <c r="Q73" s="366">
        <f t="shared" si="17"/>
        <v>2020</v>
      </c>
      <c r="R73" s="366">
        <f t="shared" si="17"/>
        <v>2021</v>
      </c>
      <c r="S73" s="366">
        <f t="shared" si="17"/>
        <v>2022</v>
      </c>
    </row>
    <row r="74" spans="2:19" ht="12" x14ac:dyDescent="0.2">
      <c r="B74" s="311" t="s">
        <v>160</v>
      </c>
      <c r="C74" s="333" t="s">
        <v>161</v>
      </c>
      <c r="D74" s="333" t="s">
        <v>128</v>
      </c>
      <c r="E74" s="337" t="s">
        <v>11</v>
      </c>
      <c r="G74" s="399" t="s">
        <v>162</v>
      </c>
      <c r="H74" s="339">
        <v>0</v>
      </c>
      <c r="I74" s="339">
        <v>0</v>
      </c>
      <c r="J74" s="339">
        <v>0</v>
      </c>
      <c r="K74" s="339">
        <v>0</v>
      </c>
      <c r="L74" s="339">
        <v>0</v>
      </c>
      <c r="M74" s="339">
        <v>0</v>
      </c>
      <c r="N74" s="339">
        <v>0</v>
      </c>
      <c r="O74" s="339">
        <v>0</v>
      </c>
      <c r="P74" s="339">
        <v>0</v>
      </c>
      <c r="Q74" s="339">
        <v>0</v>
      </c>
      <c r="R74" s="339">
        <v>0</v>
      </c>
      <c r="S74" s="339">
        <v>0</v>
      </c>
    </row>
    <row r="75" spans="2:19" ht="12" x14ac:dyDescent="0.2">
      <c r="B75" s="311" t="s">
        <v>163</v>
      </c>
      <c r="C75" s="333" t="s">
        <v>161</v>
      </c>
      <c r="D75" s="333" t="s">
        <v>124</v>
      </c>
      <c r="E75" s="337" t="s">
        <v>89</v>
      </c>
      <c r="F75" s="340"/>
      <c r="G75" s="407" t="s">
        <v>164</v>
      </c>
      <c r="H75" s="339">
        <v>0</v>
      </c>
      <c r="I75" s="339">
        <v>0</v>
      </c>
      <c r="J75" s="339">
        <v>0</v>
      </c>
      <c r="K75" s="339">
        <v>0</v>
      </c>
      <c r="L75" s="339">
        <v>0</v>
      </c>
      <c r="M75" s="339">
        <v>0</v>
      </c>
      <c r="N75" s="339">
        <v>0</v>
      </c>
      <c r="O75" s="339">
        <v>0</v>
      </c>
      <c r="P75" s="339">
        <v>0</v>
      </c>
      <c r="Q75" s="339">
        <v>0</v>
      </c>
      <c r="R75" s="339">
        <v>0</v>
      </c>
      <c r="S75" s="339">
        <v>0</v>
      </c>
    </row>
    <row r="76" spans="2:19" ht="12" x14ac:dyDescent="0.2">
      <c r="B76" s="311" t="s">
        <v>165</v>
      </c>
      <c r="C76" s="333" t="s">
        <v>166</v>
      </c>
      <c r="D76" s="333" t="s">
        <v>131</v>
      </c>
      <c r="E76" s="337" t="s">
        <v>11</v>
      </c>
      <c r="G76" s="407" t="s">
        <v>167</v>
      </c>
      <c r="H76" s="339">
        <v>0</v>
      </c>
      <c r="I76" s="339">
        <v>73</v>
      </c>
      <c r="J76" s="339">
        <v>0</v>
      </c>
      <c r="K76" s="339">
        <v>0</v>
      </c>
      <c r="L76" s="339">
        <v>0</v>
      </c>
      <c r="M76" s="339">
        <v>0</v>
      </c>
      <c r="N76" s="339">
        <v>0</v>
      </c>
      <c r="O76" s="339">
        <v>0</v>
      </c>
      <c r="P76" s="339">
        <v>0</v>
      </c>
      <c r="Q76" s="339">
        <v>0</v>
      </c>
      <c r="R76" s="339">
        <v>0</v>
      </c>
      <c r="S76" s="339">
        <v>0</v>
      </c>
    </row>
    <row r="77" spans="2:19" ht="12" x14ac:dyDescent="0.2">
      <c r="B77" s="311" t="s">
        <v>168</v>
      </c>
      <c r="C77" s="333" t="s">
        <v>166</v>
      </c>
      <c r="D77" s="333" t="s">
        <v>135</v>
      </c>
      <c r="E77" s="337" t="s">
        <v>89</v>
      </c>
      <c r="F77" s="340"/>
      <c r="G77" s="407" t="s">
        <v>169</v>
      </c>
      <c r="H77" s="339">
        <v>0</v>
      </c>
      <c r="I77" s="339">
        <v>0</v>
      </c>
      <c r="J77" s="339">
        <v>-73</v>
      </c>
      <c r="K77" s="339">
        <v>0</v>
      </c>
      <c r="L77" s="339">
        <v>0</v>
      </c>
      <c r="M77" s="339">
        <v>0</v>
      </c>
      <c r="N77" s="339">
        <v>0</v>
      </c>
      <c r="O77" s="339">
        <v>0</v>
      </c>
      <c r="P77" s="339">
        <v>0</v>
      </c>
      <c r="Q77" s="339">
        <v>0</v>
      </c>
      <c r="R77" s="339">
        <v>0</v>
      </c>
      <c r="S77" s="339">
        <v>0</v>
      </c>
    </row>
    <row r="78" spans="2:19" ht="12" x14ac:dyDescent="0.2">
      <c r="B78" s="311" t="s">
        <v>170</v>
      </c>
      <c r="C78" s="333" t="s">
        <v>171</v>
      </c>
      <c r="D78" s="333" t="s">
        <v>135</v>
      </c>
      <c r="E78" s="337" t="s">
        <v>89</v>
      </c>
      <c r="F78" s="340"/>
      <c r="G78" s="407" t="s">
        <v>172</v>
      </c>
      <c r="H78" s="339">
        <v>0</v>
      </c>
      <c r="I78" s="339">
        <v>0</v>
      </c>
      <c r="J78" s="339">
        <v>0</v>
      </c>
      <c r="K78" s="339">
        <v>0</v>
      </c>
      <c r="L78" s="339">
        <v>0</v>
      </c>
      <c r="M78" s="339">
        <v>0</v>
      </c>
      <c r="N78" s="339">
        <v>0</v>
      </c>
      <c r="O78" s="339">
        <v>0</v>
      </c>
      <c r="P78" s="339">
        <v>0</v>
      </c>
      <c r="Q78" s="339">
        <v>0</v>
      </c>
      <c r="R78" s="339">
        <v>0</v>
      </c>
      <c r="S78" s="339">
        <v>0</v>
      </c>
    </row>
    <row r="79" spans="2:19" ht="12" x14ac:dyDescent="0.2">
      <c r="B79" s="311" t="s">
        <v>173</v>
      </c>
      <c r="C79" s="333" t="s">
        <v>174</v>
      </c>
      <c r="D79" s="333" t="s">
        <v>135</v>
      </c>
      <c r="E79" s="337" t="s">
        <v>89</v>
      </c>
      <c r="F79" s="340"/>
      <c r="G79" s="407" t="s">
        <v>175</v>
      </c>
      <c r="H79" s="339">
        <v>-26.242000000000001</v>
      </c>
      <c r="I79" s="339">
        <v>-10.26</v>
      </c>
      <c r="J79" s="339">
        <v>-1.304</v>
      </c>
      <c r="K79" s="339">
        <v>0</v>
      </c>
      <c r="L79" s="339">
        <v>0</v>
      </c>
      <c r="M79" s="339">
        <v>0</v>
      </c>
      <c r="N79" s="339">
        <v>0</v>
      </c>
      <c r="O79" s="339">
        <v>0</v>
      </c>
      <c r="P79" s="339">
        <v>0</v>
      </c>
      <c r="Q79" s="339">
        <v>0</v>
      </c>
      <c r="R79" s="339">
        <v>0</v>
      </c>
      <c r="S79" s="339">
        <v>0</v>
      </c>
    </row>
    <row r="80" spans="2:19" ht="12" x14ac:dyDescent="0.2">
      <c r="B80" s="311" t="s">
        <v>176</v>
      </c>
      <c r="C80" s="333" t="s">
        <v>177</v>
      </c>
      <c r="D80" s="333" t="s">
        <v>135</v>
      </c>
      <c r="E80" s="337" t="s">
        <v>89</v>
      </c>
      <c r="F80" s="340"/>
      <c r="G80" s="407" t="s">
        <v>178</v>
      </c>
      <c r="H80" s="339">
        <v>-229.405</v>
      </c>
      <c r="I80" s="339">
        <v>-246.30199999999999</v>
      </c>
      <c r="J80" s="339">
        <v>0</v>
      </c>
      <c r="K80" s="339">
        <v>0</v>
      </c>
      <c r="L80" s="339">
        <v>0</v>
      </c>
      <c r="M80" s="339">
        <v>0</v>
      </c>
      <c r="N80" s="339">
        <v>0</v>
      </c>
      <c r="O80" s="339">
        <v>0</v>
      </c>
      <c r="P80" s="339">
        <v>0</v>
      </c>
      <c r="Q80" s="339">
        <v>0</v>
      </c>
      <c r="R80" s="339">
        <v>0</v>
      </c>
      <c r="S80" s="339">
        <v>0</v>
      </c>
    </row>
    <row r="81" spans="1:19" ht="12" x14ac:dyDescent="0.2">
      <c r="B81" s="311" t="s">
        <v>179</v>
      </c>
      <c r="C81" s="333" t="s">
        <v>52</v>
      </c>
      <c r="D81" s="333" t="s">
        <v>135</v>
      </c>
      <c r="E81" s="337" t="s">
        <v>89</v>
      </c>
      <c r="F81" s="340"/>
      <c r="G81" s="407" t="s">
        <v>180</v>
      </c>
      <c r="H81" s="339">
        <v>0</v>
      </c>
      <c r="I81" s="339">
        <v>0</v>
      </c>
      <c r="J81" s="339">
        <v>0</v>
      </c>
      <c r="K81" s="339">
        <v>0</v>
      </c>
      <c r="L81" s="339">
        <v>0</v>
      </c>
      <c r="M81" s="339">
        <v>0</v>
      </c>
      <c r="N81" s="339">
        <v>0</v>
      </c>
      <c r="O81" s="339">
        <v>0</v>
      </c>
      <c r="P81" s="339">
        <v>0</v>
      </c>
      <c r="Q81" s="339">
        <v>0</v>
      </c>
      <c r="R81" s="339">
        <v>0</v>
      </c>
      <c r="S81" s="339">
        <v>0</v>
      </c>
    </row>
    <row r="82" spans="1:19" ht="12" x14ac:dyDescent="0.2">
      <c r="B82" s="311" t="s">
        <v>181</v>
      </c>
      <c r="C82" s="333" t="s">
        <v>182</v>
      </c>
      <c r="D82" s="333" t="s">
        <v>131</v>
      </c>
      <c r="E82" s="337" t="s">
        <v>11</v>
      </c>
      <c r="G82" s="407" t="s">
        <v>183</v>
      </c>
      <c r="H82" s="339">
        <v>0</v>
      </c>
      <c r="I82" s="339">
        <v>0</v>
      </c>
      <c r="J82" s="339">
        <v>0</v>
      </c>
      <c r="K82" s="339">
        <v>0</v>
      </c>
      <c r="L82" s="339">
        <v>0</v>
      </c>
      <c r="M82" s="339">
        <v>0</v>
      </c>
      <c r="N82" s="339">
        <v>0</v>
      </c>
      <c r="O82" s="339">
        <v>0</v>
      </c>
      <c r="P82" s="339">
        <v>0</v>
      </c>
      <c r="Q82" s="339">
        <v>0</v>
      </c>
      <c r="R82" s="339">
        <v>0</v>
      </c>
      <c r="S82" s="339">
        <v>0</v>
      </c>
    </row>
    <row r="83" spans="1:19" ht="12" x14ac:dyDescent="0.2">
      <c r="B83" s="311" t="s">
        <v>184</v>
      </c>
      <c r="C83" s="333" t="s">
        <v>182</v>
      </c>
      <c r="D83" s="333" t="s">
        <v>135</v>
      </c>
      <c r="E83" s="337" t="s">
        <v>89</v>
      </c>
      <c r="F83" s="340"/>
      <c r="G83" s="407" t="s">
        <v>374</v>
      </c>
      <c r="H83" s="339">
        <v>0</v>
      </c>
      <c r="I83" s="339">
        <v>0</v>
      </c>
      <c r="J83" s="339">
        <v>0</v>
      </c>
      <c r="K83" s="339">
        <v>0</v>
      </c>
      <c r="L83" s="339">
        <v>0</v>
      </c>
      <c r="M83" s="339">
        <v>0</v>
      </c>
      <c r="N83" s="339">
        <v>0</v>
      </c>
      <c r="O83" s="339">
        <v>0</v>
      </c>
      <c r="P83" s="339">
        <v>0</v>
      </c>
      <c r="Q83" s="339">
        <v>0</v>
      </c>
      <c r="R83" s="339">
        <v>0</v>
      </c>
      <c r="S83" s="339">
        <v>0</v>
      </c>
    </row>
    <row r="84" spans="1:19" ht="12" x14ac:dyDescent="0.2">
      <c r="B84" s="311" t="s">
        <v>185</v>
      </c>
      <c r="C84" s="333" t="s">
        <v>375</v>
      </c>
      <c r="D84" s="333" t="s">
        <v>135</v>
      </c>
      <c r="E84" s="337" t="s">
        <v>89</v>
      </c>
      <c r="F84" s="340"/>
      <c r="G84" s="407" t="s">
        <v>376</v>
      </c>
      <c r="H84" s="339">
        <v>0</v>
      </c>
      <c r="I84" s="339">
        <v>0</v>
      </c>
      <c r="J84" s="339">
        <v>0</v>
      </c>
      <c r="K84" s="339">
        <v>0</v>
      </c>
      <c r="L84" s="339">
        <v>0</v>
      </c>
      <c r="M84" s="339">
        <v>0</v>
      </c>
      <c r="N84" s="339">
        <v>0</v>
      </c>
      <c r="O84" s="339">
        <v>0</v>
      </c>
      <c r="P84" s="339">
        <v>0</v>
      </c>
      <c r="Q84" s="339">
        <v>0</v>
      </c>
      <c r="R84" s="339">
        <v>0</v>
      </c>
      <c r="S84" s="339">
        <v>0</v>
      </c>
    </row>
    <row r="85" spans="1:19" ht="12" x14ac:dyDescent="0.2">
      <c r="B85" s="311" t="s">
        <v>186</v>
      </c>
      <c r="C85" s="336">
        <v>68</v>
      </c>
      <c r="D85" s="333" t="s">
        <v>135</v>
      </c>
      <c r="E85" s="337" t="s">
        <v>89</v>
      </c>
      <c r="F85" s="340"/>
      <c r="G85" s="403" t="s">
        <v>111</v>
      </c>
      <c r="H85" s="339">
        <v>0</v>
      </c>
      <c r="I85" s="339">
        <v>0</v>
      </c>
      <c r="J85" s="339">
        <v>0</v>
      </c>
      <c r="K85" s="339">
        <v>0</v>
      </c>
      <c r="L85" s="339">
        <v>0</v>
      </c>
      <c r="M85" s="339">
        <v>0</v>
      </c>
      <c r="N85" s="339">
        <v>0</v>
      </c>
      <c r="O85" s="339">
        <v>0</v>
      </c>
      <c r="P85" s="339">
        <v>0</v>
      </c>
      <c r="Q85" s="339">
        <v>0</v>
      </c>
      <c r="R85" s="339">
        <v>0</v>
      </c>
      <c r="S85" s="339">
        <v>0</v>
      </c>
    </row>
    <row r="86" spans="1:19" x14ac:dyDescent="0.2">
      <c r="B86" s="311" t="s">
        <v>377</v>
      </c>
      <c r="G86" s="403" t="s">
        <v>158</v>
      </c>
      <c r="H86" s="343">
        <f t="shared" ref="H86:S86" si="18">SUM(H74:H85)</f>
        <v>-255.64699999999999</v>
      </c>
      <c r="I86" s="343">
        <f t="shared" si="18"/>
        <v>-183.56199999999998</v>
      </c>
      <c r="J86" s="343">
        <f t="shared" si="18"/>
        <v>-74.304000000000002</v>
      </c>
      <c r="K86" s="343">
        <f t="shared" si="18"/>
        <v>0</v>
      </c>
      <c r="L86" s="343">
        <f t="shared" si="18"/>
        <v>0</v>
      </c>
      <c r="M86" s="343">
        <f t="shared" si="18"/>
        <v>0</v>
      </c>
      <c r="N86" s="343">
        <f t="shared" si="18"/>
        <v>0</v>
      </c>
      <c r="O86" s="343">
        <f t="shared" si="18"/>
        <v>0</v>
      </c>
      <c r="P86" s="343">
        <f t="shared" si="18"/>
        <v>0</v>
      </c>
      <c r="Q86" s="343">
        <f t="shared" si="18"/>
        <v>0</v>
      </c>
      <c r="R86" s="343">
        <f t="shared" si="18"/>
        <v>0</v>
      </c>
      <c r="S86" s="343">
        <f t="shared" si="18"/>
        <v>0</v>
      </c>
    </row>
    <row r="87" spans="1:19" x14ac:dyDescent="0.2">
      <c r="B87" s="311" t="s">
        <v>378</v>
      </c>
      <c r="G87" s="386" t="s">
        <v>379</v>
      </c>
      <c r="H87" s="387"/>
      <c r="I87" s="363">
        <f t="shared" ref="I87:S87" si="19">(I14+I15)-(H14+H15-I58-I59+I45)</f>
        <v>0</v>
      </c>
      <c r="J87" s="363">
        <f t="shared" si="19"/>
        <v>0</v>
      </c>
      <c r="K87" s="363">
        <f t="shared" si="19"/>
        <v>0</v>
      </c>
      <c r="L87" s="363">
        <f t="shared" si="19"/>
        <v>-1.000000000000334E-3</v>
      </c>
      <c r="M87" s="363">
        <f t="shared" si="19"/>
        <v>9.9999999999988987E-4</v>
      </c>
      <c r="N87" s="363">
        <f t="shared" si="19"/>
        <v>0.2799999999999998</v>
      </c>
      <c r="O87" s="363">
        <f t="shared" si="19"/>
        <v>0</v>
      </c>
      <c r="P87" s="363">
        <f t="shared" si="19"/>
        <v>0</v>
      </c>
      <c r="Q87" s="363">
        <f t="shared" si="19"/>
        <v>0</v>
      </c>
      <c r="R87" s="363">
        <f t="shared" si="19"/>
        <v>0</v>
      </c>
      <c r="S87" s="363">
        <f t="shared" si="19"/>
        <v>0</v>
      </c>
    </row>
    <row r="88" spans="1:19" x14ac:dyDescent="0.2">
      <c r="B88" s="311" t="s">
        <v>380</v>
      </c>
      <c r="G88" s="386" t="s">
        <v>381</v>
      </c>
      <c r="H88" s="387"/>
      <c r="I88" s="363">
        <f>I24-(H24+(I74+I76)+(I75+I77)+(I78))</f>
        <v>-246.30200000000002</v>
      </c>
      <c r="J88" s="363">
        <f>J24-(I24+(J74+J76)+(J75+J77)+(J78))</f>
        <v>0</v>
      </c>
      <c r="K88" s="363">
        <f>K24-(J24+(K74+K76)+(K75+K77)+(K78))</f>
        <v>0</v>
      </c>
      <c r="L88" s="363">
        <f>L24-(K24+(L74+L76)+(L75+L77)+(L78))</f>
        <v>0</v>
      </c>
      <c r="M88" s="363">
        <f>M24-(L24+(M74+M76)+(M75+M77)+(M78))</f>
        <v>0</v>
      </c>
      <c r="N88" s="363">
        <f t="shared" ref="N88:S88" si="20">N24-(M24+(N74+N76)+(N75+N77)+(N78))</f>
        <v>0</v>
      </c>
      <c r="O88" s="363">
        <f t="shared" si="20"/>
        <v>0</v>
      </c>
      <c r="P88" s="363">
        <f t="shared" si="20"/>
        <v>0</v>
      </c>
      <c r="Q88" s="363">
        <f t="shared" si="20"/>
        <v>0</v>
      </c>
      <c r="R88" s="363">
        <f t="shared" si="20"/>
        <v>0</v>
      </c>
      <c r="S88" s="363">
        <f t="shared" si="20"/>
        <v>0</v>
      </c>
    </row>
    <row r="89" spans="1:19" x14ac:dyDescent="0.2">
      <c r="B89" s="311" t="s">
        <v>382</v>
      </c>
      <c r="G89" s="386" t="s">
        <v>383</v>
      </c>
      <c r="H89" s="387"/>
      <c r="I89" s="363">
        <f t="shared" ref="I89:S89" si="21">I28-(H28+(I82+I83))</f>
        <v>0</v>
      </c>
      <c r="J89" s="363">
        <f t="shared" si="21"/>
        <v>0</v>
      </c>
      <c r="K89" s="363">
        <f t="shared" si="21"/>
        <v>0</v>
      </c>
      <c r="L89" s="363">
        <f t="shared" si="21"/>
        <v>0</v>
      </c>
      <c r="M89" s="363">
        <f t="shared" si="21"/>
        <v>0</v>
      </c>
      <c r="N89" s="363">
        <f t="shared" si="21"/>
        <v>0.15799999999999947</v>
      </c>
      <c r="O89" s="363">
        <f t="shared" si="21"/>
        <v>0</v>
      </c>
      <c r="P89" s="363">
        <f t="shared" si="21"/>
        <v>0</v>
      </c>
      <c r="Q89" s="363">
        <f t="shared" si="21"/>
        <v>0</v>
      </c>
      <c r="R89" s="363">
        <f t="shared" si="21"/>
        <v>0</v>
      </c>
      <c r="S89" s="363">
        <f t="shared" si="21"/>
        <v>0</v>
      </c>
    </row>
    <row r="90" spans="1:19" x14ac:dyDescent="0.2">
      <c r="B90" s="311" t="s">
        <v>384</v>
      </c>
      <c r="G90" s="386" t="s">
        <v>385</v>
      </c>
      <c r="H90" s="387"/>
      <c r="I90" s="363">
        <f t="shared" ref="I90:S90" si="22">I29-(H29+H30)-I84</f>
        <v>1.000000000000778E-3</v>
      </c>
      <c r="J90" s="363">
        <f t="shared" si="22"/>
        <v>-8.8817841970012523E-16</v>
      </c>
      <c r="K90" s="363">
        <f t="shared" si="22"/>
        <v>0</v>
      </c>
      <c r="L90" s="363">
        <f t="shared" si="22"/>
        <v>-9.9999999999944578E-4</v>
      </c>
      <c r="M90" s="363">
        <f t="shared" si="22"/>
        <v>0.2759999999999998</v>
      </c>
      <c r="N90" s="363">
        <f t="shared" si="22"/>
        <v>0.44899999999999984</v>
      </c>
      <c r="O90" s="363">
        <f t="shared" si="22"/>
        <v>0</v>
      </c>
      <c r="P90" s="363">
        <f t="shared" si="22"/>
        <v>0</v>
      </c>
      <c r="Q90" s="363">
        <f t="shared" si="22"/>
        <v>0</v>
      </c>
      <c r="R90" s="363">
        <f t="shared" si="22"/>
        <v>0</v>
      </c>
      <c r="S90" s="363">
        <f t="shared" si="22"/>
        <v>0</v>
      </c>
    </row>
    <row r="91" spans="1:19" x14ac:dyDescent="0.2">
      <c r="L91" s="389">
        <f>L90-L87</f>
        <v>8.8817841970012523E-16</v>
      </c>
    </row>
    <row r="92" spans="1:19" x14ac:dyDescent="0.2">
      <c r="A92" s="341" t="s">
        <v>0</v>
      </c>
      <c r="D92" s="768" t="s">
        <v>187</v>
      </c>
      <c r="E92" s="768"/>
      <c r="G92" s="390" t="s">
        <v>386</v>
      </c>
      <c r="H92" s="366">
        <f>H73</f>
        <v>2011</v>
      </c>
      <c r="I92" s="366">
        <f t="shared" ref="I92:S92" si="23">I73</f>
        <v>2012</v>
      </c>
      <c r="J92" s="366">
        <f t="shared" si="23"/>
        <v>2013</v>
      </c>
      <c r="K92" s="366">
        <f t="shared" si="23"/>
        <v>2014</v>
      </c>
      <c r="L92" s="366">
        <f t="shared" si="23"/>
        <v>2015</v>
      </c>
      <c r="M92" s="366">
        <f t="shared" si="23"/>
        <v>2016</v>
      </c>
      <c r="N92" s="366">
        <f t="shared" si="23"/>
        <v>2017</v>
      </c>
      <c r="O92" s="366">
        <f t="shared" si="23"/>
        <v>2018</v>
      </c>
      <c r="P92" s="366">
        <f t="shared" si="23"/>
        <v>2019</v>
      </c>
      <c r="Q92" s="366">
        <f t="shared" si="23"/>
        <v>2020</v>
      </c>
      <c r="R92" s="366">
        <f t="shared" si="23"/>
        <v>2021</v>
      </c>
      <c r="S92" s="366">
        <f t="shared" si="23"/>
        <v>2022</v>
      </c>
    </row>
    <row r="93" spans="1:19" x14ac:dyDescent="0.2">
      <c r="B93" s="311" t="s">
        <v>387</v>
      </c>
      <c r="C93" s="336" t="s">
        <v>388</v>
      </c>
      <c r="G93" s="391" t="s">
        <v>389</v>
      </c>
      <c r="H93" s="392">
        <f>H5+H11+H12+H13</f>
        <v>265.44099999999997</v>
      </c>
      <c r="I93" s="392">
        <f>I5+I11+I12+I13</f>
        <v>97.43</v>
      </c>
      <c r="J93" s="392">
        <f t="shared" ref="J93:S93" si="24">J5+J11+J12+J13</f>
        <v>22.213000000000001</v>
      </c>
      <c r="K93" s="392">
        <f t="shared" si="24"/>
        <v>34.182000000000002</v>
      </c>
      <c r="L93" s="392">
        <f t="shared" si="24"/>
        <v>22.085999999999999</v>
      </c>
      <c r="M93" s="392">
        <f t="shared" si="24"/>
        <v>20.268000000000001</v>
      </c>
      <c r="N93" s="392">
        <f t="shared" si="24"/>
        <v>45</v>
      </c>
      <c r="O93" s="392">
        <f t="shared" si="24"/>
        <v>95</v>
      </c>
      <c r="P93" s="392">
        <f t="shared" si="24"/>
        <v>148</v>
      </c>
      <c r="Q93" s="392">
        <f t="shared" si="24"/>
        <v>108</v>
      </c>
      <c r="R93" s="392">
        <f t="shared" si="24"/>
        <v>68</v>
      </c>
      <c r="S93" s="392">
        <f t="shared" si="24"/>
        <v>28</v>
      </c>
    </row>
    <row r="94" spans="1:19" x14ac:dyDescent="0.2">
      <c r="B94" s="311" t="s">
        <v>390</v>
      </c>
      <c r="G94" s="393" t="s">
        <v>391</v>
      </c>
      <c r="H94" s="387"/>
      <c r="I94" s="392">
        <f>I93-H93</f>
        <v>-168.01099999999997</v>
      </c>
      <c r="J94" s="392">
        <f t="shared" ref="J94:S94" si="25">J93-I93</f>
        <v>-75.217000000000013</v>
      </c>
      <c r="K94" s="392">
        <f t="shared" si="25"/>
        <v>11.969000000000001</v>
      </c>
      <c r="L94" s="392">
        <f t="shared" si="25"/>
        <v>-12.096000000000004</v>
      </c>
      <c r="M94" s="392">
        <f t="shared" si="25"/>
        <v>-1.8179999999999978</v>
      </c>
      <c r="N94" s="392">
        <f t="shared" si="25"/>
        <v>24.731999999999999</v>
      </c>
      <c r="O94" s="392">
        <f t="shared" si="25"/>
        <v>50</v>
      </c>
      <c r="P94" s="392">
        <f t="shared" si="25"/>
        <v>53</v>
      </c>
      <c r="Q94" s="392">
        <f t="shared" si="25"/>
        <v>-40</v>
      </c>
      <c r="R94" s="392">
        <f t="shared" si="25"/>
        <v>-40</v>
      </c>
      <c r="S94" s="392">
        <f t="shared" si="25"/>
        <v>-40</v>
      </c>
    </row>
    <row r="95" spans="1:19" x14ac:dyDescent="0.2">
      <c r="B95" s="311" t="s">
        <v>392</v>
      </c>
      <c r="C95" s="336" t="s">
        <v>42</v>
      </c>
      <c r="G95" s="391" t="s">
        <v>393</v>
      </c>
      <c r="H95" s="392">
        <f>H19</f>
        <v>262.08199999999999</v>
      </c>
      <c r="I95" s="392">
        <f t="shared" ref="I95:S95" si="26">I19</f>
        <v>88.819000000000003</v>
      </c>
      <c r="J95" s="392">
        <f t="shared" si="26"/>
        <v>11.926</v>
      </c>
      <c r="K95" s="392">
        <f t="shared" si="26"/>
        <v>17.234999999999999</v>
      </c>
      <c r="L95" s="392">
        <f t="shared" si="26"/>
        <v>7.1589999999999998</v>
      </c>
      <c r="M95" s="392">
        <f t="shared" si="26"/>
        <v>5.5949999999999998</v>
      </c>
      <c r="N95" s="392">
        <f>N19</f>
        <v>17</v>
      </c>
      <c r="O95" s="392">
        <f t="shared" si="26"/>
        <v>7</v>
      </c>
      <c r="P95" s="392">
        <f t="shared" si="26"/>
        <v>0</v>
      </c>
      <c r="Q95" s="392">
        <f t="shared" si="26"/>
        <v>0</v>
      </c>
      <c r="R95" s="392">
        <f t="shared" si="26"/>
        <v>0</v>
      </c>
      <c r="S95" s="392">
        <f t="shared" si="26"/>
        <v>0</v>
      </c>
    </row>
    <row r="96" spans="1:19" x14ac:dyDescent="0.2">
      <c r="B96" s="311" t="s">
        <v>394</v>
      </c>
      <c r="G96" s="393" t="s">
        <v>391</v>
      </c>
      <c r="H96" s="387"/>
      <c r="I96" s="392">
        <f>I95-H95</f>
        <v>-173.26299999999998</v>
      </c>
      <c r="J96" s="392">
        <f t="shared" ref="J96:S96" si="27">J95-I95</f>
        <v>-76.893000000000001</v>
      </c>
      <c r="K96" s="392">
        <f t="shared" si="27"/>
        <v>5.3089999999999993</v>
      </c>
      <c r="L96" s="392">
        <f t="shared" si="27"/>
        <v>-10.076000000000001</v>
      </c>
      <c r="M96" s="392">
        <f t="shared" si="27"/>
        <v>-1.5640000000000001</v>
      </c>
      <c r="N96" s="392">
        <f t="shared" si="27"/>
        <v>11.405000000000001</v>
      </c>
      <c r="O96" s="392">
        <f t="shared" si="27"/>
        <v>-10</v>
      </c>
      <c r="P96" s="392">
        <f t="shared" si="27"/>
        <v>-7</v>
      </c>
      <c r="Q96" s="392">
        <f t="shared" si="27"/>
        <v>0</v>
      </c>
      <c r="R96" s="392">
        <f t="shared" si="27"/>
        <v>0</v>
      </c>
      <c r="S96" s="392">
        <f t="shared" si="27"/>
        <v>0</v>
      </c>
    </row>
    <row r="97" spans="1:20" s="398" customFormat="1" x14ac:dyDescent="0.2">
      <c r="A97" s="379" t="s">
        <v>395</v>
      </c>
      <c r="B97" s="311" t="s">
        <v>188</v>
      </c>
      <c r="C97" s="336" t="s">
        <v>396</v>
      </c>
      <c r="D97" s="394"/>
      <c r="E97" s="380"/>
      <c r="F97" s="379"/>
      <c r="G97" s="395" t="s">
        <v>386</v>
      </c>
      <c r="H97" s="396"/>
      <c r="I97" s="397">
        <f>I94-I96</f>
        <v>5.2520000000000095</v>
      </c>
      <c r="J97" s="397">
        <f t="shared" ref="J97:S97" si="28">J94-J96</f>
        <v>1.6759999999999877</v>
      </c>
      <c r="K97" s="397">
        <f t="shared" si="28"/>
        <v>6.6600000000000019</v>
      </c>
      <c r="L97" s="397">
        <f t="shared" si="28"/>
        <v>-2.0200000000000031</v>
      </c>
      <c r="M97" s="397">
        <f t="shared" si="28"/>
        <v>-0.25399999999999778</v>
      </c>
      <c r="N97" s="397">
        <f t="shared" si="28"/>
        <v>13.326999999999998</v>
      </c>
      <c r="O97" s="397">
        <f t="shared" si="28"/>
        <v>60</v>
      </c>
      <c r="P97" s="397">
        <f t="shared" si="28"/>
        <v>60</v>
      </c>
      <c r="Q97" s="397">
        <f t="shared" si="28"/>
        <v>-40</v>
      </c>
      <c r="R97" s="397">
        <f t="shared" si="28"/>
        <v>-40</v>
      </c>
      <c r="S97" s="397">
        <f t="shared" si="28"/>
        <v>-40</v>
      </c>
    </row>
    <row r="98" spans="1:20" x14ac:dyDescent="0.2">
      <c r="G98" s="396"/>
      <c r="H98" s="396"/>
      <c r="I98" s="396"/>
      <c r="J98" s="396"/>
      <c r="K98" s="396"/>
      <c r="L98" s="396"/>
      <c r="M98" s="396"/>
      <c r="N98" s="396"/>
      <c r="O98" s="396"/>
      <c r="P98" s="396"/>
      <c r="Q98" s="396"/>
      <c r="R98" s="396"/>
      <c r="S98" s="396"/>
    </row>
    <row r="99" spans="1:20" x14ac:dyDescent="0.2">
      <c r="B99" s="311" t="s">
        <v>397</v>
      </c>
      <c r="C99" s="336" t="s">
        <v>398</v>
      </c>
      <c r="G99" s="391" t="s">
        <v>399</v>
      </c>
      <c r="H99" s="392">
        <f>H4-H93</f>
        <v>8.7160000000000082</v>
      </c>
      <c r="I99" s="392">
        <f t="shared" ref="I99:S99" si="29">I4-I93</f>
        <v>7.7940000000000111</v>
      </c>
      <c r="J99" s="392">
        <f t="shared" si="29"/>
        <v>6.8719999999999999</v>
      </c>
      <c r="K99" s="392">
        <f t="shared" si="29"/>
        <v>5.9499999999999957</v>
      </c>
      <c r="L99" s="392">
        <f t="shared" si="29"/>
        <v>5.027000000000001</v>
      </c>
      <c r="M99" s="392">
        <f t="shared" si="29"/>
        <v>3.7200000000000024</v>
      </c>
      <c r="N99" s="392">
        <f t="shared" si="29"/>
        <v>3</v>
      </c>
      <c r="O99" s="392">
        <f t="shared" si="29"/>
        <v>3</v>
      </c>
      <c r="P99" s="392">
        <f t="shared" si="29"/>
        <v>3</v>
      </c>
      <c r="Q99" s="392">
        <f t="shared" si="29"/>
        <v>3</v>
      </c>
      <c r="R99" s="392">
        <f t="shared" si="29"/>
        <v>3</v>
      </c>
      <c r="S99" s="392">
        <f t="shared" si="29"/>
        <v>3</v>
      </c>
    </row>
    <row r="100" spans="1:20" x14ac:dyDescent="0.2">
      <c r="B100" s="311" t="s">
        <v>400</v>
      </c>
      <c r="G100" s="393" t="s">
        <v>391</v>
      </c>
      <c r="H100" s="387"/>
      <c r="I100" s="392">
        <f>I99-H99</f>
        <v>-0.92199999999999704</v>
      </c>
      <c r="J100" s="392">
        <f t="shared" ref="J100:S100" si="30">J99-I99</f>
        <v>-0.92200000000001125</v>
      </c>
      <c r="K100" s="392">
        <f t="shared" si="30"/>
        <v>-0.92200000000000415</v>
      </c>
      <c r="L100" s="392">
        <f t="shared" si="30"/>
        <v>-0.92299999999999471</v>
      </c>
      <c r="M100" s="392">
        <f t="shared" si="30"/>
        <v>-1.3069999999999986</v>
      </c>
      <c r="N100" s="392">
        <f t="shared" si="30"/>
        <v>-0.72000000000000242</v>
      </c>
      <c r="O100" s="392">
        <f t="shared" si="30"/>
        <v>0</v>
      </c>
      <c r="P100" s="392">
        <f t="shared" si="30"/>
        <v>0</v>
      </c>
      <c r="Q100" s="392">
        <f t="shared" si="30"/>
        <v>0</v>
      </c>
      <c r="R100" s="392">
        <f t="shared" si="30"/>
        <v>0</v>
      </c>
      <c r="S100" s="392">
        <f t="shared" si="30"/>
        <v>0</v>
      </c>
    </row>
    <row r="101" spans="1:20" x14ac:dyDescent="0.2">
      <c r="B101" s="311" t="s">
        <v>401</v>
      </c>
      <c r="C101" s="336" t="s">
        <v>64</v>
      </c>
      <c r="G101" s="391" t="s">
        <v>402</v>
      </c>
      <c r="H101" s="392">
        <f>H27</f>
        <v>12.074</v>
      </c>
      <c r="I101" s="392">
        <f t="shared" ref="I101:S101" si="31">I27</f>
        <v>16.405000000000001</v>
      </c>
      <c r="J101" s="392">
        <f t="shared" si="31"/>
        <v>17.158000000000001</v>
      </c>
      <c r="K101" s="392">
        <f t="shared" si="31"/>
        <v>22.897000000000002</v>
      </c>
      <c r="L101" s="392">
        <f t="shared" si="31"/>
        <v>19.952999999999999</v>
      </c>
      <c r="M101" s="392">
        <f t="shared" si="31"/>
        <v>18.393000000000001</v>
      </c>
      <c r="N101" s="392">
        <f t="shared" si="31"/>
        <v>31</v>
      </c>
      <c r="O101" s="392">
        <f t="shared" si="31"/>
        <v>91</v>
      </c>
      <c r="P101" s="392">
        <f t="shared" si="31"/>
        <v>151</v>
      </c>
      <c r="Q101" s="392">
        <f t="shared" si="31"/>
        <v>111</v>
      </c>
      <c r="R101" s="392">
        <f t="shared" si="31"/>
        <v>71</v>
      </c>
      <c r="S101" s="392">
        <f t="shared" si="31"/>
        <v>31</v>
      </c>
    </row>
    <row r="102" spans="1:20" x14ac:dyDescent="0.2">
      <c r="B102" s="311" t="s">
        <v>403</v>
      </c>
      <c r="G102" s="393" t="s">
        <v>391</v>
      </c>
      <c r="H102" s="387"/>
      <c r="I102" s="392">
        <f>I101-H101</f>
        <v>4.3310000000000013</v>
      </c>
      <c r="J102" s="392">
        <f t="shared" ref="J102:S102" si="32">J101-I101</f>
        <v>0.75300000000000011</v>
      </c>
      <c r="K102" s="392">
        <f t="shared" si="32"/>
        <v>5.7390000000000008</v>
      </c>
      <c r="L102" s="392">
        <f t="shared" si="32"/>
        <v>-2.9440000000000026</v>
      </c>
      <c r="M102" s="392">
        <f t="shared" si="32"/>
        <v>-1.5599999999999987</v>
      </c>
      <c r="N102" s="392">
        <f t="shared" si="32"/>
        <v>12.606999999999999</v>
      </c>
      <c r="O102" s="392">
        <f t="shared" si="32"/>
        <v>60</v>
      </c>
      <c r="P102" s="392">
        <f t="shared" si="32"/>
        <v>60</v>
      </c>
      <c r="Q102" s="392">
        <f t="shared" si="32"/>
        <v>-40</v>
      </c>
      <c r="R102" s="392">
        <f t="shared" si="32"/>
        <v>-40</v>
      </c>
      <c r="S102" s="392">
        <f t="shared" si="32"/>
        <v>-40</v>
      </c>
    </row>
    <row r="103" spans="1:20" s="398" customFormat="1" x14ac:dyDescent="0.2">
      <c r="A103" s="379" t="s">
        <v>404</v>
      </c>
      <c r="B103" s="311" t="s">
        <v>189</v>
      </c>
      <c r="C103" s="336" t="s">
        <v>405</v>
      </c>
      <c r="D103" s="336"/>
      <c r="E103" s="334"/>
      <c r="F103" s="333"/>
      <c r="G103" s="395" t="s">
        <v>406</v>
      </c>
      <c r="H103" s="396"/>
      <c r="I103" s="397">
        <f>I102-I100</f>
        <v>5.2529999999999983</v>
      </c>
      <c r="J103" s="397">
        <f t="shared" ref="J103:S103" si="33">J102-J100</f>
        <v>1.6750000000000114</v>
      </c>
      <c r="K103" s="397">
        <f t="shared" si="33"/>
        <v>6.6610000000000049</v>
      </c>
      <c r="L103" s="397">
        <f t="shared" si="33"/>
        <v>-2.0210000000000079</v>
      </c>
      <c r="M103" s="397">
        <f t="shared" si="33"/>
        <v>-0.25300000000000011</v>
      </c>
      <c r="N103" s="397">
        <f t="shared" si="33"/>
        <v>13.327000000000002</v>
      </c>
      <c r="O103" s="397">
        <f t="shared" si="33"/>
        <v>60</v>
      </c>
      <c r="P103" s="397">
        <f t="shared" si="33"/>
        <v>60</v>
      </c>
      <c r="Q103" s="397">
        <f t="shared" si="33"/>
        <v>-40</v>
      </c>
      <c r="R103" s="397">
        <f t="shared" si="33"/>
        <v>-40</v>
      </c>
      <c r="S103" s="397">
        <f t="shared" si="33"/>
        <v>-40</v>
      </c>
    </row>
    <row r="104" spans="1:20" x14ac:dyDescent="0.2">
      <c r="G104" s="396"/>
      <c r="H104" s="396"/>
      <c r="I104" s="396"/>
      <c r="J104" s="396"/>
      <c r="K104" s="396"/>
      <c r="L104" s="396"/>
      <c r="M104" s="396"/>
      <c r="N104" s="396"/>
      <c r="O104" s="396"/>
      <c r="P104" s="396"/>
      <c r="Q104" s="396"/>
      <c r="R104" s="396"/>
      <c r="S104" s="396"/>
    </row>
    <row r="105" spans="1:20" x14ac:dyDescent="0.2">
      <c r="A105" s="341"/>
      <c r="G105" s="390" t="s">
        <v>407</v>
      </c>
      <c r="H105" s="366">
        <f t="shared" ref="H105:S105" si="34">H32</f>
        <v>2011</v>
      </c>
      <c r="I105" s="366">
        <f t="shared" si="34"/>
        <v>2012</v>
      </c>
      <c r="J105" s="366">
        <f t="shared" si="34"/>
        <v>2013</v>
      </c>
      <c r="K105" s="366">
        <f t="shared" si="34"/>
        <v>2014</v>
      </c>
      <c r="L105" s="366">
        <f t="shared" si="34"/>
        <v>2015</v>
      </c>
      <c r="M105" s="366">
        <f t="shared" si="34"/>
        <v>2016</v>
      </c>
      <c r="N105" s="366">
        <f t="shared" si="34"/>
        <v>2017</v>
      </c>
      <c r="O105" s="366">
        <f t="shared" si="34"/>
        <v>2018</v>
      </c>
      <c r="P105" s="366">
        <f t="shared" si="34"/>
        <v>2019</v>
      </c>
      <c r="Q105" s="366">
        <f t="shared" si="34"/>
        <v>2020</v>
      </c>
      <c r="R105" s="366">
        <f t="shared" si="34"/>
        <v>2021</v>
      </c>
      <c r="S105" s="366">
        <f t="shared" si="34"/>
        <v>2022</v>
      </c>
    </row>
    <row r="106" spans="1:20" s="398" customFormat="1" x14ac:dyDescent="0.2">
      <c r="A106" s="379" t="s">
        <v>408</v>
      </c>
      <c r="B106" s="311" t="s">
        <v>192</v>
      </c>
      <c r="C106" s="379" t="s">
        <v>409</v>
      </c>
      <c r="D106" s="336"/>
      <c r="E106" s="334"/>
      <c r="F106" s="333"/>
      <c r="G106" s="399" t="s">
        <v>407</v>
      </c>
      <c r="H106" s="396" t="s">
        <v>358</v>
      </c>
      <c r="I106" s="400">
        <f t="shared" ref="I106:N106" si="35">(I48-I45+I50)+(I58+I59)+(I82+I83+I84+I85)-(I85-I49)</f>
        <v>5.2519999999999785</v>
      </c>
      <c r="J106" s="400">
        <f t="shared" si="35"/>
        <v>1.6739999999999973</v>
      </c>
      <c r="K106" s="400">
        <f t="shared" si="35"/>
        <v>6.6610000000000085</v>
      </c>
      <c r="L106" s="400">
        <f t="shared" si="35"/>
        <v>-2.0200000000000071</v>
      </c>
      <c r="M106" s="400">
        <f t="shared" si="35"/>
        <v>-0.52900000000000325</v>
      </c>
      <c r="N106" s="400">
        <f t="shared" si="35"/>
        <v>13</v>
      </c>
      <c r="O106" s="400">
        <f>(O48-O45+O50)+(O58+O59)+(O82+O83+O84+O85)-(O85-O49)</f>
        <v>60</v>
      </c>
      <c r="P106" s="400">
        <f>(P48-P45+P50)+(P58+P59)+(P82+P83+P84+P85)-(P85-P49)</f>
        <v>60</v>
      </c>
      <c r="Q106" s="400">
        <f>(Q48-Q45+Q50)+(Q58+Q59)+(Q82+Q83+Q84+Q85)-(Q85-Q49)</f>
        <v>-40</v>
      </c>
      <c r="R106" s="400">
        <f>(R48-R45+R50)+(R58+R59)+(R82+R83+R84+R85)-(R85-R49)</f>
        <v>-40</v>
      </c>
      <c r="S106" s="400">
        <f>(S48-S45+S50)+(S58+S59)+(S82+S83+S84+S85)-(S85-S49)</f>
        <v>-40</v>
      </c>
    </row>
    <row r="107" spans="1:20" s="398" customFormat="1" x14ac:dyDescent="0.2">
      <c r="A107" s="379" t="s">
        <v>410</v>
      </c>
      <c r="B107" s="311" t="s">
        <v>194</v>
      </c>
      <c r="C107" s="379" t="s">
        <v>411</v>
      </c>
      <c r="D107" s="336"/>
      <c r="E107" s="334"/>
      <c r="F107" s="333"/>
      <c r="G107" s="386" t="s">
        <v>412</v>
      </c>
      <c r="H107" s="396" t="s">
        <v>358</v>
      </c>
      <c r="I107" s="363">
        <f>I97-I106</f>
        <v>3.1086244689504383E-14</v>
      </c>
      <c r="J107" s="363">
        <f t="shared" ref="J107:S107" si="36">J97-J106</f>
        <v>1.9999999999904539E-3</v>
      </c>
      <c r="K107" s="363">
        <f t="shared" si="36"/>
        <v>-1.0000000000065512E-3</v>
      </c>
      <c r="L107" s="363">
        <f t="shared" si="36"/>
        <v>3.9968028886505635E-15</v>
      </c>
      <c r="M107" s="363">
        <f t="shared" si="36"/>
        <v>0.27500000000000546</v>
      </c>
      <c r="N107" s="363">
        <f t="shared" si="36"/>
        <v>0.32699999999999818</v>
      </c>
      <c r="O107" s="363">
        <f t="shared" si="36"/>
        <v>0</v>
      </c>
      <c r="P107" s="363">
        <f t="shared" si="36"/>
        <v>0</v>
      </c>
      <c r="Q107" s="363">
        <f t="shared" si="36"/>
        <v>0</v>
      </c>
      <c r="R107" s="363">
        <f t="shared" si="36"/>
        <v>0</v>
      </c>
      <c r="S107" s="363">
        <f t="shared" si="36"/>
        <v>0</v>
      </c>
    </row>
    <row r="108" spans="1:20" s="398" customFormat="1" x14ac:dyDescent="0.2">
      <c r="A108" s="379"/>
      <c r="B108" s="311"/>
      <c r="C108" s="379"/>
      <c r="D108" s="336"/>
      <c r="E108" s="334"/>
      <c r="F108" s="334"/>
      <c r="G108" s="334"/>
      <c r="H108" s="334"/>
      <c r="I108" s="334"/>
      <c r="J108" s="334"/>
      <c r="K108" s="334"/>
      <c r="L108" s="334"/>
      <c r="M108" s="334"/>
      <c r="N108" s="334"/>
      <c r="O108" s="334"/>
      <c r="P108" s="334"/>
      <c r="Q108" s="334"/>
      <c r="R108" s="334"/>
      <c r="S108" s="334"/>
      <c r="T108" s="334"/>
    </row>
    <row r="109" spans="1:20" s="398" customFormat="1" x14ac:dyDescent="0.2">
      <c r="A109" s="379"/>
      <c r="B109" s="311"/>
      <c r="C109" s="379"/>
      <c r="D109" s="336"/>
      <c r="E109" s="334"/>
      <c r="F109" s="333"/>
      <c r="G109" s="390" t="s">
        <v>413</v>
      </c>
      <c r="H109" s="366">
        <f>H105</f>
        <v>2011</v>
      </c>
      <c r="I109" s="366">
        <f t="shared" ref="I109:S109" si="37">I105</f>
        <v>2012</v>
      </c>
      <c r="J109" s="366">
        <f t="shared" si="37"/>
        <v>2013</v>
      </c>
      <c r="K109" s="366">
        <f t="shared" si="37"/>
        <v>2014</v>
      </c>
      <c r="L109" s="366">
        <f t="shared" si="37"/>
        <v>2015</v>
      </c>
      <c r="M109" s="366">
        <f t="shared" si="37"/>
        <v>2016</v>
      </c>
      <c r="N109" s="366">
        <f t="shared" si="37"/>
        <v>2017</v>
      </c>
      <c r="O109" s="366">
        <f t="shared" si="37"/>
        <v>2018</v>
      </c>
      <c r="P109" s="366">
        <f t="shared" si="37"/>
        <v>2019</v>
      </c>
      <c r="Q109" s="366">
        <f t="shared" si="37"/>
        <v>2020</v>
      </c>
      <c r="R109" s="366">
        <f t="shared" si="37"/>
        <v>2021</v>
      </c>
      <c r="S109" s="366">
        <f t="shared" si="37"/>
        <v>2022</v>
      </c>
    </row>
    <row r="110" spans="1:20" x14ac:dyDescent="0.2">
      <c r="A110" s="333" t="s">
        <v>414</v>
      </c>
      <c r="B110" s="311" t="s">
        <v>415</v>
      </c>
      <c r="C110" s="333" t="s">
        <v>190</v>
      </c>
      <c r="G110" s="399" t="s">
        <v>191</v>
      </c>
      <c r="H110" s="401">
        <f t="shared" ref="H110:S110" si="38">H33+H38+H41-H45</f>
        <v>13.654000000000014</v>
      </c>
      <c r="I110" s="343">
        <f t="shared" si="38"/>
        <v>15.50099999999998</v>
      </c>
      <c r="J110" s="343">
        <f t="shared" si="38"/>
        <v>2.9779999999999975</v>
      </c>
      <c r="K110" s="343">
        <f t="shared" si="38"/>
        <v>6.6590000000000087</v>
      </c>
      <c r="L110" s="343">
        <f t="shared" si="38"/>
        <v>-2.0200000000000071</v>
      </c>
      <c r="M110" s="343">
        <f t="shared" si="38"/>
        <v>-0.52900000000000325</v>
      </c>
      <c r="N110" s="343">
        <f t="shared" si="38"/>
        <v>13</v>
      </c>
      <c r="O110" s="343">
        <f t="shared" si="38"/>
        <v>60</v>
      </c>
      <c r="P110" s="343">
        <f t="shared" si="38"/>
        <v>60</v>
      </c>
      <c r="Q110" s="343">
        <f t="shared" si="38"/>
        <v>-40</v>
      </c>
      <c r="R110" s="343">
        <f t="shared" si="38"/>
        <v>-40</v>
      </c>
      <c r="S110" s="343">
        <f t="shared" si="38"/>
        <v>-40</v>
      </c>
    </row>
    <row r="111" spans="1:20" x14ac:dyDescent="0.2">
      <c r="A111" s="333" t="s">
        <v>416</v>
      </c>
      <c r="B111" s="311" t="s">
        <v>197</v>
      </c>
      <c r="C111" s="333" t="s">
        <v>417</v>
      </c>
      <c r="E111" s="402">
        <v>0</v>
      </c>
      <c r="G111" s="403" t="s">
        <v>193</v>
      </c>
      <c r="H111" s="404">
        <f t="shared" ref="H111:S111" si="39">H110/H33</f>
        <v>0.15079961123873492</v>
      </c>
      <c r="I111" s="617">
        <f t="shared" si="39"/>
        <v>0.10431850760130007</v>
      </c>
      <c r="J111" s="617">
        <f t="shared" si="39"/>
        <v>3.6150428512466894E-2</v>
      </c>
      <c r="K111" s="617">
        <f t="shared" si="39"/>
        <v>8.5471511635369576E-2</v>
      </c>
      <c r="L111" s="617">
        <f t="shared" si="39"/>
        <v>-2.0447620686513752E-2</v>
      </c>
      <c r="M111" s="617">
        <f t="shared" si="39"/>
        <v>-7.090487487769288E-3</v>
      </c>
      <c r="N111" s="617">
        <f t="shared" si="39"/>
        <v>0.14444444444444443</v>
      </c>
      <c r="O111" s="617">
        <f t="shared" si="39"/>
        <v>0.42857142857142855</v>
      </c>
      <c r="P111" s="617">
        <f t="shared" si="39"/>
        <v>0.42857142857142855</v>
      </c>
      <c r="Q111" s="617">
        <f t="shared" si="39"/>
        <v>-0.125</v>
      </c>
      <c r="R111" s="617">
        <f t="shared" si="39"/>
        <v>-0.125</v>
      </c>
      <c r="S111" s="617">
        <f t="shared" si="39"/>
        <v>-0.125</v>
      </c>
    </row>
    <row r="112" spans="1:20" x14ac:dyDescent="0.2">
      <c r="A112" s="333" t="s">
        <v>418</v>
      </c>
      <c r="B112" s="311" t="s">
        <v>200</v>
      </c>
      <c r="C112" s="333" t="s">
        <v>195</v>
      </c>
      <c r="E112" s="406"/>
      <c r="G112" s="407" t="s">
        <v>196</v>
      </c>
      <c r="H112" s="408">
        <f t="shared" ref="H112:S112" si="40">-H33/(H38+H41)</f>
        <v>1.1636251477921145</v>
      </c>
      <c r="I112" s="408">
        <f t="shared" si="40"/>
        <v>1.1087871416419179</v>
      </c>
      <c r="J112" s="408">
        <f t="shared" si="40"/>
        <v>1.0255969721869476</v>
      </c>
      <c r="K112" s="408">
        <f t="shared" si="40"/>
        <v>1.0794906611982487</v>
      </c>
      <c r="L112" s="408">
        <f t="shared" si="40"/>
        <v>0.97108059490224208</v>
      </c>
      <c r="M112" s="408">
        <f t="shared" si="40"/>
        <v>0.97596933703102917</v>
      </c>
      <c r="N112" s="408">
        <f t="shared" si="40"/>
        <v>1.1538461538461537</v>
      </c>
      <c r="O112" s="408">
        <f t="shared" si="40"/>
        <v>1.75</v>
      </c>
      <c r="P112" s="408">
        <f t="shared" si="40"/>
        <v>1.75</v>
      </c>
      <c r="Q112" s="408">
        <f t="shared" si="40"/>
        <v>0.88888888888888884</v>
      </c>
      <c r="R112" s="408">
        <f t="shared" si="40"/>
        <v>0.88888888888888884</v>
      </c>
      <c r="S112" s="408">
        <f t="shared" si="40"/>
        <v>0.88888888888888884</v>
      </c>
    </row>
    <row r="113" spans="1:20" x14ac:dyDescent="0.2">
      <c r="A113" s="333" t="s">
        <v>419</v>
      </c>
      <c r="B113" s="311" t="s">
        <v>420</v>
      </c>
      <c r="C113" s="333" t="s">
        <v>198</v>
      </c>
      <c r="E113" s="406"/>
      <c r="G113" s="399" t="s">
        <v>199</v>
      </c>
      <c r="H113" s="401">
        <f t="shared" ref="H113:S113" si="41">H46</f>
        <v>12.732000000000014</v>
      </c>
      <c r="I113" s="401">
        <f t="shared" si="41"/>
        <v>14.578999999999979</v>
      </c>
      <c r="J113" s="401">
        <f t="shared" si="41"/>
        <v>2.0559999999999974</v>
      </c>
      <c r="K113" s="401">
        <f t="shared" si="41"/>
        <v>5.737000000000009</v>
      </c>
      <c r="L113" s="401">
        <f t="shared" si="41"/>
        <v>-2.9420000000000073</v>
      </c>
      <c r="M113" s="401">
        <f t="shared" si="41"/>
        <v>-1.8370000000000033</v>
      </c>
      <c r="N113" s="401">
        <f t="shared" si="41"/>
        <v>12</v>
      </c>
      <c r="O113" s="401">
        <f t="shared" si="41"/>
        <v>60</v>
      </c>
      <c r="P113" s="401">
        <f t="shared" si="41"/>
        <v>60</v>
      </c>
      <c r="Q113" s="401">
        <f t="shared" si="41"/>
        <v>-40</v>
      </c>
      <c r="R113" s="401">
        <f t="shared" si="41"/>
        <v>-40</v>
      </c>
      <c r="S113" s="401">
        <f t="shared" si="41"/>
        <v>-40</v>
      </c>
    </row>
    <row r="114" spans="1:20" x14ac:dyDescent="0.2">
      <c r="A114" s="333" t="s">
        <v>421</v>
      </c>
      <c r="B114" s="311" t="s">
        <v>422</v>
      </c>
      <c r="C114" s="333" t="s">
        <v>201</v>
      </c>
      <c r="D114" s="402">
        <v>-0.3</v>
      </c>
      <c r="E114" s="402">
        <v>0</v>
      </c>
      <c r="G114" s="407" t="s">
        <v>202</v>
      </c>
      <c r="H114" s="409">
        <f t="shared" ref="H114:S114" si="42">H46/H33</f>
        <v>0.14061671673440554</v>
      </c>
      <c r="I114" s="410">
        <f t="shared" si="42"/>
        <v>9.8113639269682834E-2</v>
      </c>
      <c r="J114" s="618">
        <f t="shared" si="42"/>
        <v>2.4958119886377399E-2</v>
      </c>
      <c r="K114" s="618">
        <f t="shared" si="42"/>
        <v>7.3637192108742366E-2</v>
      </c>
      <c r="L114" s="618">
        <f t="shared" si="42"/>
        <v>-2.9780643593922473E-2</v>
      </c>
      <c r="M114" s="618">
        <f t="shared" si="42"/>
        <v>-2.4622354470760159E-2</v>
      </c>
      <c r="N114" s="618">
        <f t="shared" si="42"/>
        <v>0.13333333333333333</v>
      </c>
      <c r="O114" s="618">
        <f t="shared" si="42"/>
        <v>0.42857142857142855</v>
      </c>
      <c r="P114" s="618">
        <f t="shared" si="42"/>
        <v>0.42857142857142855</v>
      </c>
      <c r="Q114" s="618">
        <f t="shared" si="42"/>
        <v>-0.125</v>
      </c>
      <c r="R114" s="618">
        <f t="shared" si="42"/>
        <v>-0.125</v>
      </c>
      <c r="S114" s="618">
        <f t="shared" si="42"/>
        <v>-0.125</v>
      </c>
    </row>
    <row r="115" spans="1:20" x14ac:dyDescent="0.2">
      <c r="A115" s="333" t="s">
        <v>423</v>
      </c>
      <c r="B115" s="311" t="s">
        <v>424</v>
      </c>
      <c r="C115" s="333" t="s">
        <v>204</v>
      </c>
      <c r="E115" s="406"/>
      <c r="G115" s="403" t="s">
        <v>205</v>
      </c>
      <c r="H115" s="401">
        <f t="shared" ref="H115:S115" si="43">H29+H30</f>
        <v>2.2319999999999993</v>
      </c>
      <c r="I115" s="401">
        <f t="shared" si="43"/>
        <v>6.5630000000000006</v>
      </c>
      <c r="J115" s="401">
        <f t="shared" si="43"/>
        <v>7.3159999999999998</v>
      </c>
      <c r="K115" s="401">
        <f t="shared" si="43"/>
        <v>13.055</v>
      </c>
      <c r="L115" s="401">
        <f t="shared" si="43"/>
        <v>10.111000000000001</v>
      </c>
      <c r="M115" s="401">
        <f t="shared" si="43"/>
        <v>8.5510000000000002</v>
      </c>
      <c r="N115" s="401">
        <f t="shared" si="43"/>
        <v>21</v>
      </c>
      <c r="O115" s="401">
        <f t="shared" si="43"/>
        <v>81</v>
      </c>
      <c r="P115" s="401">
        <f t="shared" si="43"/>
        <v>141</v>
      </c>
      <c r="Q115" s="401">
        <f t="shared" si="43"/>
        <v>101</v>
      </c>
      <c r="R115" s="401">
        <f t="shared" si="43"/>
        <v>61</v>
      </c>
      <c r="S115" s="401">
        <f t="shared" si="43"/>
        <v>21</v>
      </c>
    </row>
    <row r="116" spans="1:20" x14ac:dyDescent="0.2">
      <c r="C116" s="333"/>
      <c r="D116" s="333"/>
      <c r="E116" s="333"/>
      <c r="G116" s="333"/>
      <c r="H116" s="333"/>
      <c r="I116" s="333"/>
      <c r="J116" s="333"/>
      <c r="K116" s="333"/>
      <c r="L116" s="333"/>
      <c r="M116" s="333"/>
      <c r="N116" s="333"/>
      <c r="O116" s="333"/>
      <c r="P116" s="333"/>
      <c r="Q116" s="333"/>
      <c r="R116" s="333"/>
      <c r="S116" s="333"/>
      <c r="T116" s="333"/>
    </row>
    <row r="117" spans="1:20" x14ac:dyDescent="0.2">
      <c r="E117" s="333"/>
      <c r="G117" s="390" t="s">
        <v>206</v>
      </c>
      <c r="H117" s="366">
        <f t="shared" ref="H117:S117" si="44">H105</f>
        <v>2011</v>
      </c>
      <c r="I117" s="366">
        <f t="shared" si="44"/>
        <v>2012</v>
      </c>
      <c r="J117" s="366">
        <f t="shared" si="44"/>
        <v>2013</v>
      </c>
      <c r="K117" s="366">
        <f t="shared" si="44"/>
        <v>2014</v>
      </c>
      <c r="L117" s="366">
        <f t="shared" si="44"/>
        <v>2015</v>
      </c>
      <c r="M117" s="366">
        <f t="shared" si="44"/>
        <v>2016</v>
      </c>
      <c r="N117" s="366">
        <f t="shared" si="44"/>
        <v>2017</v>
      </c>
      <c r="O117" s="366">
        <f t="shared" si="44"/>
        <v>2018</v>
      </c>
      <c r="P117" s="366">
        <f t="shared" si="44"/>
        <v>2019</v>
      </c>
      <c r="Q117" s="366">
        <f t="shared" si="44"/>
        <v>2020</v>
      </c>
      <c r="R117" s="366">
        <f t="shared" si="44"/>
        <v>2021</v>
      </c>
      <c r="S117" s="366">
        <f t="shared" si="44"/>
        <v>2022</v>
      </c>
    </row>
    <row r="118" spans="1:20" x14ac:dyDescent="0.2">
      <c r="A118" s="333" t="s">
        <v>425</v>
      </c>
      <c r="B118" s="311" t="s">
        <v>426</v>
      </c>
      <c r="C118" s="336" t="s">
        <v>208</v>
      </c>
      <c r="E118" s="406"/>
      <c r="F118" s="411"/>
      <c r="G118" s="399" t="s">
        <v>209</v>
      </c>
      <c r="H118" s="401">
        <f t="shared" ref="H118:S118" si="45">H6+H12</f>
        <v>14.759</v>
      </c>
      <c r="I118" s="343">
        <f t="shared" si="45"/>
        <v>21.986000000000001</v>
      </c>
      <c r="J118" s="343">
        <f t="shared" si="45"/>
        <v>15.643000000000001</v>
      </c>
      <c r="K118" s="343">
        <f t="shared" si="45"/>
        <v>27.3</v>
      </c>
      <c r="L118" s="343">
        <f t="shared" si="45"/>
        <v>14.869</v>
      </c>
      <c r="M118" s="343">
        <f t="shared" si="45"/>
        <v>14.727</v>
      </c>
      <c r="N118" s="343">
        <f t="shared" si="45"/>
        <v>41</v>
      </c>
      <c r="O118" s="343">
        <f t="shared" si="45"/>
        <v>91</v>
      </c>
      <c r="P118" s="343">
        <f t="shared" si="45"/>
        <v>145</v>
      </c>
      <c r="Q118" s="343">
        <f t="shared" si="45"/>
        <v>105</v>
      </c>
      <c r="R118" s="343">
        <f t="shared" si="45"/>
        <v>65</v>
      </c>
      <c r="S118" s="343">
        <f t="shared" si="45"/>
        <v>25</v>
      </c>
    </row>
    <row r="119" spans="1:20" x14ac:dyDescent="0.2">
      <c r="A119" s="333" t="s">
        <v>427</v>
      </c>
      <c r="B119" s="311" t="s">
        <v>428</v>
      </c>
      <c r="C119" s="333" t="s">
        <v>42</v>
      </c>
      <c r="E119" s="406"/>
      <c r="F119" s="411"/>
      <c r="G119" s="407" t="s">
        <v>211</v>
      </c>
      <c r="H119" s="401">
        <f t="shared" ref="H119:S119" si="46">H19</f>
        <v>262.08199999999999</v>
      </c>
      <c r="I119" s="401">
        <f t="shared" si="46"/>
        <v>88.819000000000003</v>
      </c>
      <c r="J119" s="401">
        <f t="shared" si="46"/>
        <v>11.926</v>
      </c>
      <c r="K119" s="401">
        <f t="shared" si="46"/>
        <v>17.234999999999999</v>
      </c>
      <c r="L119" s="401">
        <f t="shared" si="46"/>
        <v>7.1589999999999998</v>
      </c>
      <c r="M119" s="401">
        <f t="shared" si="46"/>
        <v>5.5949999999999998</v>
      </c>
      <c r="N119" s="401">
        <f t="shared" si="46"/>
        <v>17</v>
      </c>
      <c r="O119" s="401">
        <f t="shared" si="46"/>
        <v>7</v>
      </c>
      <c r="P119" s="401">
        <f t="shared" si="46"/>
        <v>0</v>
      </c>
      <c r="Q119" s="401">
        <f t="shared" si="46"/>
        <v>0</v>
      </c>
      <c r="R119" s="401">
        <f t="shared" si="46"/>
        <v>0</v>
      </c>
      <c r="S119" s="401">
        <f t="shared" si="46"/>
        <v>0</v>
      </c>
    </row>
    <row r="120" spans="1:20" x14ac:dyDescent="0.2">
      <c r="A120" s="333" t="s">
        <v>429</v>
      </c>
      <c r="B120" s="311" t="s">
        <v>203</v>
      </c>
      <c r="C120" s="333" t="s">
        <v>430</v>
      </c>
      <c r="E120" s="406"/>
      <c r="F120" s="411"/>
      <c r="G120" s="407" t="s">
        <v>212</v>
      </c>
      <c r="H120" s="401">
        <f t="shared" ref="H120:S120" si="47">H119-H118</f>
        <v>247.32299999999998</v>
      </c>
      <c r="I120" s="343">
        <f t="shared" si="47"/>
        <v>66.832999999999998</v>
      </c>
      <c r="J120" s="343">
        <f t="shared" si="47"/>
        <v>-3.7170000000000005</v>
      </c>
      <c r="K120" s="343">
        <f t="shared" si="47"/>
        <v>-10.065000000000001</v>
      </c>
      <c r="L120" s="343">
        <f t="shared" si="47"/>
        <v>-7.71</v>
      </c>
      <c r="M120" s="343">
        <f>M119-M118</f>
        <v>-9.1320000000000014</v>
      </c>
      <c r="N120" s="343">
        <f t="shared" si="47"/>
        <v>-24</v>
      </c>
      <c r="O120" s="343">
        <f t="shared" si="47"/>
        <v>-84</v>
      </c>
      <c r="P120" s="343">
        <f t="shared" si="47"/>
        <v>-145</v>
      </c>
      <c r="Q120" s="343">
        <f t="shared" si="47"/>
        <v>-105</v>
      </c>
      <c r="R120" s="343">
        <f t="shared" si="47"/>
        <v>-65</v>
      </c>
      <c r="S120" s="343">
        <f t="shared" si="47"/>
        <v>-25</v>
      </c>
    </row>
    <row r="121" spans="1:20" x14ac:dyDescent="0.2">
      <c r="A121" s="333" t="s">
        <v>431</v>
      </c>
      <c r="B121" s="311" t="s">
        <v>207</v>
      </c>
      <c r="C121" s="333" t="s">
        <v>432</v>
      </c>
      <c r="E121" s="402">
        <v>0.4</v>
      </c>
      <c r="F121" s="412" t="s">
        <v>433</v>
      </c>
      <c r="G121" s="403" t="s">
        <v>213</v>
      </c>
      <c r="H121" s="413">
        <f t="shared" ref="H121:S121" si="48">H120/H33</f>
        <v>2.7315227955469163</v>
      </c>
      <c r="I121" s="617">
        <f t="shared" si="48"/>
        <v>0.44977219653684902</v>
      </c>
      <c r="J121" s="617">
        <f t="shared" si="48"/>
        <v>-4.5121270242054923E-2</v>
      </c>
      <c r="K121" s="617">
        <f t="shared" si="48"/>
        <v>-0.1291891822510878</v>
      </c>
      <c r="L121" s="617">
        <f t="shared" si="48"/>
        <v>-7.8045126481693303E-2</v>
      </c>
      <c r="M121" s="617">
        <f t="shared" si="48"/>
        <v>-0.1224013832482207</v>
      </c>
      <c r="N121" s="617">
        <f t="shared" si="48"/>
        <v>-0.26666666666666666</v>
      </c>
      <c r="O121" s="617">
        <f t="shared" si="48"/>
        <v>-0.6</v>
      </c>
      <c r="P121" s="617">
        <f t="shared" si="48"/>
        <v>-1.0357142857142858</v>
      </c>
      <c r="Q121" s="617">
        <f t="shared" si="48"/>
        <v>-0.328125</v>
      </c>
      <c r="R121" s="617">
        <f t="shared" si="48"/>
        <v>-0.203125</v>
      </c>
      <c r="S121" s="617">
        <f t="shared" si="48"/>
        <v>-7.8125E-2</v>
      </c>
    </row>
    <row r="122" spans="1:20" x14ac:dyDescent="0.2">
      <c r="A122" s="333" t="s">
        <v>434</v>
      </c>
      <c r="B122" s="311" t="s">
        <v>210</v>
      </c>
      <c r="C122" s="333" t="s">
        <v>435</v>
      </c>
      <c r="D122" s="414">
        <v>0</v>
      </c>
      <c r="E122" s="414">
        <v>5</v>
      </c>
      <c r="F122" s="411"/>
      <c r="G122" s="395" t="s">
        <v>215</v>
      </c>
      <c r="H122" s="408">
        <f t="shared" ref="H122:S122" si="49">H120/H110</f>
        <v>18.113593086275063</v>
      </c>
      <c r="I122" s="408">
        <f t="shared" si="49"/>
        <v>4.3115282884975219</v>
      </c>
      <c r="J122" s="408">
        <f t="shared" si="49"/>
        <v>-1.2481531229012772</v>
      </c>
      <c r="K122" s="408">
        <f t="shared" si="49"/>
        <v>-1.5114882114431578</v>
      </c>
      <c r="L122" s="408">
        <f t="shared" si="49"/>
        <v>3.8168316831683033</v>
      </c>
      <c r="M122" s="408">
        <f>M120/M110</f>
        <v>17.262759924385531</v>
      </c>
      <c r="N122" s="408">
        <f t="shared" si="49"/>
        <v>-1.8461538461538463</v>
      </c>
      <c r="O122" s="408">
        <f t="shared" si="49"/>
        <v>-1.4</v>
      </c>
      <c r="P122" s="408">
        <f t="shared" si="49"/>
        <v>-2.4166666666666665</v>
      </c>
      <c r="Q122" s="408">
        <f t="shared" si="49"/>
        <v>2.625</v>
      </c>
      <c r="R122" s="408">
        <f t="shared" si="49"/>
        <v>1.625</v>
      </c>
      <c r="S122" s="408">
        <f t="shared" si="49"/>
        <v>0.625</v>
      </c>
    </row>
    <row r="123" spans="1:20" x14ac:dyDescent="0.2">
      <c r="A123" s="333" t="s">
        <v>436</v>
      </c>
      <c r="B123" s="311" t="s">
        <v>437</v>
      </c>
      <c r="C123" s="333" t="s">
        <v>217</v>
      </c>
      <c r="E123" s="406"/>
      <c r="F123" s="411"/>
      <c r="G123" s="407" t="s">
        <v>218</v>
      </c>
      <c r="H123" s="401">
        <f t="shared" ref="H123:S123" si="50">-(H75+H77+H78+H79+H80+H81)</f>
        <v>255.64699999999999</v>
      </c>
      <c r="I123" s="401">
        <f t="shared" si="50"/>
        <v>256.56200000000001</v>
      </c>
      <c r="J123" s="401">
        <f t="shared" si="50"/>
        <v>74.304000000000002</v>
      </c>
      <c r="K123" s="401">
        <f t="shared" si="50"/>
        <v>0</v>
      </c>
      <c r="L123" s="401">
        <f t="shared" si="50"/>
        <v>0</v>
      </c>
      <c r="M123" s="401">
        <f t="shared" si="50"/>
        <v>0</v>
      </c>
      <c r="N123" s="401">
        <f t="shared" si="50"/>
        <v>0</v>
      </c>
      <c r="O123" s="401">
        <f t="shared" si="50"/>
        <v>0</v>
      </c>
      <c r="P123" s="401">
        <f t="shared" si="50"/>
        <v>0</v>
      </c>
      <c r="Q123" s="401">
        <f t="shared" si="50"/>
        <v>0</v>
      </c>
      <c r="R123" s="401">
        <f t="shared" si="50"/>
        <v>0</v>
      </c>
      <c r="S123" s="401">
        <f t="shared" si="50"/>
        <v>0</v>
      </c>
    </row>
    <row r="124" spans="1:20" x14ac:dyDescent="0.2">
      <c r="A124" s="333" t="s">
        <v>438</v>
      </c>
      <c r="B124" s="311" t="s">
        <v>439</v>
      </c>
      <c r="C124" s="333" t="s">
        <v>440</v>
      </c>
      <c r="E124" s="414">
        <v>1.2</v>
      </c>
      <c r="F124" s="412" t="s">
        <v>433</v>
      </c>
      <c r="G124" s="407" t="s">
        <v>220</v>
      </c>
      <c r="H124" s="415">
        <f t="shared" ref="H124:S124" si="51">H110/H123</f>
        <v>5.3409584309614483E-2</v>
      </c>
      <c r="I124" s="408">
        <f t="shared" si="51"/>
        <v>6.0418144542059925E-2</v>
      </c>
      <c r="J124" s="408">
        <f t="shared" si="51"/>
        <v>4.0078596037898331E-2</v>
      </c>
      <c r="K124" s="408" t="e">
        <f t="shared" si="51"/>
        <v>#DIV/0!</v>
      </c>
      <c r="L124" s="408" t="e">
        <f t="shared" si="51"/>
        <v>#DIV/0!</v>
      </c>
      <c r="M124" s="408" t="e">
        <f t="shared" si="51"/>
        <v>#DIV/0!</v>
      </c>
      <c r="N124" s="408" t="e">
        <f t="shared" si="51"/>
        <v>#DIV/0!</v>
      </c>
      <c r="O124" s="408" t="e">
        <f t="shared" si="51"/>
        <v>#DIV/0!</v>
      </c>
      <c r="P124" s="408" t="e">
        <f t="shared" si="51"/>
        <v>#DIV/0!</v>
      </c>
      <c r="Q124" s="408" t="e">
        <f t="shared" si="51"/>
        <v>#DIV/0!</v>
      </c>
      <c r="R124" s="408" t="e">
        <f t="shared" si="51"/>
        <v>#DIV/0!</v>
      </c>
      <c r="S124" s="408" t="e">
        <f t="shared" si="51"/>
        <v>#DIV/0!</v>
      </c>
    </row>
    <row r="125" spans="1:20" x14ac:dyDescent="0.2">
      <c r="A125" s="416" t="s">
        <v>441</v>
      </c>
      <c r="B125" s="311" t="s">
        <v>442</v>
      </c>
      <c r="C125" s="333" t="s">
        <v>222</v>
      </c>
      <c r="E125" s="414">
        <v>0</v>
      </c>
      <c r="F125" s="411"/>
      <c r="G125" s="399" t="s">
        <v>223</v>
      </c>
      <c r="H125" s="401">
        <f t="shared" ref="H125:S125" si="52">H5-H20</f>
        <v>3.2259999999999991</v>
      </c>
      <c r="I125" s="401">
        <f t="shared" si="52"/>
        <v>8.4780000000000086</v>
      </c>
      <c r="J125" s="401">
        <f t="shared" si="52"/>
        <v>7.1199999999999992</v>
      </c>
      <c r="K125" s="401">
        <f t="shared" si="52"/>
        <v>16.814</v>
      </c>
      <c r="L125" s="401">
        <f t="shared" si="52"/>
        <v>14.794</v>
      </c>
      <c r="M125" s="401">
        <f t="shared" si="52"/>
        <v>13.581000000000003</v>
      </c>
      <c r="N125" s="401">
        <f t="shared" si="52"/>
        <v>44</v>
      </c>
      <c r="O125" s="401">
        <f t="shared" si="52"/>
        <v>94</v>
      </c>
      <c r="P125" s="401">
        <f t="shared" si="52"/>
        <v>148</v>
      </c>
      <c r="Q125" s="401">
        <f t="shared" si="52"/>
        <v>108</v>
      </c>
      <c r="R125" s="401">
        <f t="shared" si="52"/>
        <v>68</v>
      </c>
      <c r="S125" s="401">
        <f t="shared" si="52"/>
        <v>28</v>
      </c>
    </row>
    <row r="126" spans="1:20" x14ac:dyDescent="0.2">
      <c r="A126" s="333" t="s">
        <v>443</v>
      </c>
      <c r="B126" s="311" t="s">
        <v>444</v>
      </c>
      <c r="C126" s="333" t="s">
        <v>225</v>
      </c>
      <c r="E126" s="414">
        <v>1</v>
      </c>
      <c r="F126" s="412" t="s">
        <v>433</v>
      </c>
      <c r="G126" s="407" t="s">
        <v>226</v>
      </c>
      <c r="H126" s="415">
        <f t="shared" ref="H126:S126" si="53">H5/H20</f>
        <v>1.0123091246251172</v>
      </c>
      <c r="I126" s="415">
        <f t="shared" si="53"/>
        <v>1.0954525495670973</v>
      </c>
      <c r="J126" s="415">
        <f t="shared" si="53"/>
        <v>1.5970149253731343</v>
      </c>
      <c r="K126" s="415">
        <f t="shared" si="53"/>
        <v>1.9755729619959386</v>
      </c>
      <c r="L126" s="415">
        <f t="shared" si="53"/>
        <v>3.0664897332029613</v>
      </c>
      <c r="M126" s="415">
        <f t="shared" si="53"/>
        <v>3.4273458445040221</v>
      </c>
      <c r="N126" s="415" t="e">
        <f t="shared" si="53"/>
        <v>#DIV/0!</v>
      </c>
      <c r="O126" s="415" t="e">
        <f t="shared" si="53"/>
        <v>#DIV/0!</v>
      </c>
      <c r="P126" s="415" t="e">
        <f t="shared" si="53"/>
        <v>#DIV/0!</v>
      </c>
      <c r="Q126" s="415" t="e">
        <f t="shared" si="53"/>
        <v>#DIV/0!</v>
      </c>
      <c r="R126" s="415" t="e">
        <f t="shared" si="53"/>
        <v>#DIV/0!</v>
      </c>
      <c r="S126" s="415" t="e">
        <f t="shared" si="53"/>
        <v>#DIV/0!</v>
      </c>
    </row>
    <row r="127" spans="1:20" x14ac:dyDescent="0.2">
      <c r="A127" s="333" t="s">
        <v>445</v>
      </c>
      <c r="B127" s="311" t="s">
        <v>214</v>
      </c>
      <c r="C127" s="333" t="s">
        <v>228</v>
      </c>
      <c r="E127" s="414">
        <v>1</v>
      </c>
      <c r="F127" s="411"/>
      <c r="G127" s="403" t="s">
        <v>229</v>
      </c>
      <c r="H127" s="415">
        <f t="shared" ref="H127:S127" si="54">-H6/((H38+H41-H45+H47)/12)</f>
        <v>1.7177440473303915</v>
      </c>
      <c r="I127" s="415">
        <f t="shared" si="54"/>
        <v>1.840589921934408</v>
      </c>
      <c r="J127" s="415">
        <f t="shared" si="54"/>
        <v>2.3259813639968279</v>
      </c>
      <c r="K127" s="415">
        <f t="shared" si="54"/>
        <v>4.5980238041769592</v>
      </c>
      <c r="L127" s="415">
        <f t="shared" si="54"/>
        <v>1.769961015385531</v>
      </c>
      <c r="M127" s="415">
        <f t="shared" si="54"/>
        <v>2.3520549403747872</v>
      </c>
      <c r="N127" s="415">
        <f t="shared" si="54"/>
        <v>6.3896103896103895</v>
      </c>
      <c r="O127" s="415">
        <f t="shared" si="54"/>
        <v>13.649999999999999</v>
      </c>
      <c r="P127" s="415">
        <f t="shared" si="54"/>
        <v>21.75</v>
      </c>
      <c r="Q127" s="415">
        <f t="shared" si="54"/>
        <v>3.5</v>
      </c>
      <c r="R127" s="415">
        <f t="shared" si="54"/>
        <v>2.1666666666666665</v>
      </c>
      <c r="S127" s="415">
        <f t="shared" si="54"/>
        <v>0.83333333333333337</v>
      </c>
    </row>
    <row r="128" spans="1:20" x14ac:dyDescent="0.2">
      <c r="C128" s="333"/>
      <c r="E128" s="336"/>
      <c r="F128" s="336"/>
      <c r="G128" s="336"/>
      <c r="H128" s="336"/>
      <c r="I128" s="336"/>
      <c r="J128" s="336"/>
      <c r="K128" s="336"/>
      <c r="L128" s="336"/>
      <c r="M128" s="336"/>
      <c r="N128" s="336"/>
      <c r="O128" s="336"/>
      <c r="P128" s="336"/>
      <c r="Q128" s="336"/>
      <c r="R128" s="336"/>
      <c r="S128" s="336"/>
      <c r="T128" s="336"/>
    </row>
    <row r="129" spans="1:21" x14ac:dyDescent="0.2">
      <c r="C129" s="333"/>
      <c r="F129" s="411"/>
      <c r="G129" s="390" t="s">
        <v>230</v>
      </c>
      <c r="H129" s="366">
        <f t="shared" ref="H129:S129" si="55">H117</f>
        <v>2011</v>
      </c>
      <c r="I129" s="366">
        <f t="shared" si="55"/>
        <v>2012</v>
      </c>
      <c r="J129" s="366">
        <f t="shared" si="55"/>
        <v>2013</v>
      </c>
      <c r="K129" s="366">
        <f t="shared" si="55"/>
        <v>2014</v>
      </c>
      <c r="L129" s="366">
        <f t="shared" si="55"/>
        <v>2015</v>
      </c>
      <c r="M129" s="366">
        <f t="shared" si="55"/>
        <v>2016</v>
      </c>
      <c r="N129" s="366">
        <f t="shared" si="55"/>
        <v>2017</v>
      </c>
      <c r="O129" s="366">
        <f t="shared" si="55"/>
        <v>2018</v>
      </c>
      <c r="P129" s="366">
        <f t="shared" si="55"/>
        <v>2019</v>
      </c>
      <c r="Q129" s="366">
        <f t="shared" si="55"/>
        <v>2020</v>
      </c>
      <c r="R129" s="366">
        <f t="shared" si="55"/>
        <v>2021</v>
      </c>
      <c r="S129" s="366">
        <f t="shared" si="55"/>
        <v>2022</v>
      </c>
    </row>
    <row r="130" spans="1:21" x14ac:dyDescent="0.2">
      <c r="A130" s="333" t="s">
        <v>446</v>
      </c>
      <c r="B130" s="311" t="s">
        <v>216</v>
      </c>
      <c r="C130" s="333" t="s">
        <v>232</v>
      </c>
      <c r="E130" s="402">
        <v>0.6</v>
      </c>
      <c r="F130" s="411"/>
      <c r="G130" s="399" t="s">
        <v>233</v>
      </c>
      <c r="H130" s="621">
        <f t="shared" ref="H130:S130" si="56">H17/H4</f>
        <v>0</v>
      </c>
      <c r="I130" s="621">
        <f t="shared" si="56"/>
        <v>0</v>
      </c>
      <c r="J130" s="621">
        <f t="shared" si="56"/>
        <v>0</v>
      </c>
      <c r="K130" s="621">
        <f t="shared" si="56"/>
        <v>0</v>
      </c>
      <c r="L130" s="621">
        <f t="shared" si="56"/>
        <v>0</v>
      </c>
      <c r="M130" s="621">
        <f t="shared" si="56"/>
        <v>0</v>
      </c>
      <c r="N130" s="621">
        <f t="shared" si="56"/>
        <v>0</v>
      </c>
      <c r="O130" s="621">
        <f t="shared" si="56"/>
        <v>0</v>
      </c>
      <c r="P130" s="621">
        <f t="shared" si="56"/>
        <v>0</v>
      </c>
      <c r="Q130" s="621">
        <f t="shared" si="56"/>
        <v>0</v>
      </c>
      <c r="R130" s="621">
        <f t="shared" si="56"/>
        <v>0</v>
      </c>
      <c r="S130" s="621">
        <f t="shared" si="56"/>
        <v>0</v>
      </c>
    </row>
    <row r="131" spans="1:21" x14ac:dyDescent="0.2">
      <c r="A131" s="333" t="s">
        <v>447</v>
      </c>
      <c r="B131" s="311" t="s">
        <v>219</v>
      </c>
      <c r="C131" s="333" t="s">
        <v>235</v>
      </c>
      <c r="E131" s="402">
        <v>0.4</v>
      </c>
      <c r="F131" s="411"/>
      <c r="G131" s="403" t="s">
        <v>236</v>
      </c>
      <c r="H131" s="621" t="e">
        <f t="shared" ref="H131:S131" si="57">H27/H17</f>
        <v>#DIV/0!</v>
      </c>
      <c r="I131" s="621" t="e">
        <f t="shared" si="57"/>
        <v>#DIV/0!</v>
      </c>
      <c r="J131" s="621" t="e">
        <f t="shared" si="57"/>
        <v>#DIV/0!</v>
      </c>
      <c r="K131" s="621" t="e">
        <f t="shared" si="57"/>
        <v>#DIV/0!</v>
      </c>
      <c r="L131" s="621" t="e">
        <f t="shared" si="57"/>
        <v>#DIV/0!</v>
      </c>
      <c r="M131" s="621" t="e">
        <f t="shared" si="57"/>
        <v>#DIV/0!</v>
      </c>
      <c r="N131" s="621" t="e">
        <f t="shared" si="57"/>
        <v>#DIV/0!</v>
      </c>
      <c r="O131" s="621" t="e">
        <f t="shared" si="57"/>
        <v>#DIV/0!</v>
      </c>
      <c r="P131" s="621" t="e">
        <f t="shared" si="57"/>
        <v>#DIV/0!</v>
      </c>
      <c r="Q131" s="621" t="e">
        <f t="shared" si="57"/>
        <v>#DIV/0!</v>
      </c>
      <c r="R131" s="621" t="e">
        <f t="shared" si="57"/>
        <v>#DIV/0!</v>
      </c>
      <c r="S131" s="621" t="e">
        <f t="shared" si="57"/>
        <v>#DIV/0!</v>
      </c>
    </row>
    <row r="132" spans="1:21" x14ac:dyDescent="0.2">
      <c r="C132" s="333"/>
      <c r="D132" s="333"/>
      <c r="E132" s="333"/>
      <c r="G132" s="333"/>
      <c r="H132" s="333"/>
      <c r="I132" s="333"/>
      <c r="J132" s="333"/>
      <c r="K132" s="333"/>
      <c r="L132" s="333"/>
      <c r="M132" s="333"/>
      <c r="N132" s="333"/>
      <c r="O132" s="333"/>
      <c r="P132" s="333"/>
      <c r="Q132" s="333"/>
      <c r="R132" s="333"/>
      <c r="S132" s="333"/>
      <c r="T132" s="333"/>
      <c r="U132" s="333"/>
    </row>
    <row r="133" spans="1:21" x14ac:dyDescent="0.2">
      <c r="C133" s="333"/>
      <c r="F133" s="411"/>
      <c r="G133" s="390" t="s">
        <v>237</v>
      </c>
      <c r="H133" s="366">
        <f t="shared" ref="H133:S133" si="58">H117</f>
        <v>2011</v>
      </c>
      <c r="I133" s="366">
        <f t="shared" si="58"/>
        <v>2012</v>
      </c>
      <c r="J133" s="366">
        <f t="shared" si="58"/>
        <v>2013</v>
      </c>
      <c r="K133" s="366">
        <f t="shared" si="58"/>
        <v>2014</v>
      </c>
      <c r="L133" s="366">
        <f t="shared" si="58"/>
        <v>2015</v>
      </c>
      <c r="M133" s="366">
        <f t="shared" si="58"/>
        <v>2016</v>
      </c>
      <c r="N133" s="366">
        <f t="shared" si="58"/>
        <v>2017</v>
      </c>
      <c r="O133" s="366">
        <f t="shared" si="58"/>
        <v>2018</v>
      </c>
      <c r="P133" s="366">
        <f t="shared" si="58"/>
        <v>2019</v>
      </c>
      <c r="Q133" s="366">
        <f t="shared" si="58"/>
        <v>2020</v>
      </c>
      <c r="R133" s="366">
        <f t="shared" si="58"/>
        <v>2021</v>
      </c>
      <c r="S133" s="366">
        <f t="shared" si="58"/>
        <v>2022</v>
      </c>
    </row>
    <row r="134" spans="1:21" x14ac:dyDescent="0.2">
      <c r="A134" s="333" t="s">
        <v>448</v>
      </c>
      <c r="B134" s="311" t="s">
        <v>221</v>
      </c>
      <c r="C134" s="417" t="s">
        <v>239</v>
      </c>
      <c r="E134" s="406"/>
      <c r="F134" s="411"/>
      <c r="G134" s="407" t="s">
        <v>240</v>
      </c>
      <c r="H134" s="418">
        <f t="shared" ref="H134:S134" si="59">H10/H4</f>
        <v>3.227712588042618E-2</v>
      </c>
      <c r="I134" s="418">
        <f t="shared" si="59"/>
        <v>7.5334524443092812E-2</v>
      </c>
      <c r="J134" s="418">
        <f t="shared" si="59"/>
        <v>0.34516073577445416</v>
      </c>
      <c r="K134" s="418">
        <f t="shared" si="59"/>
        <v>0.15157480314960631</v>
      </c>
      <c r="L134" s="418">
        <f t="shared" si="59"/>
        <v>0.19031460922804561</v>
      </c>
      <c r="M134" s="418">
        <f t="shared" si="59"/>
        <v>0.20060030015007502</v>
      </c>
      <c r="N134" s="418">
        <f t="shared" si="59"/>
        <v>8.3333333333333329E-2</v>
      </c>
      <c r="O134" s="418">
        <f t="shared" si="59"/>
        <v>4.0816326530612242E-2</v>
      </c>
      <c r="P134" s="418">
        <f t="shared" si="59"/>
        <v>1.9867549668874173E-2</v>
      </c>
      <c r="Q134" s="418">
        <f t="shared" si="59"/>
        <v>2.7027027027027029E-2</v>
      </c>
      <c r="R134" s="418">
        <f t="shared" si="59"/>
        <v>4.2253521126760563E-2</v>
      </c>
      <c r="S134" s="418">
        <f t="shared" si="59"/>
        <v>9.6774193548387094E-2</v>
      </c>
    </row>
    <row r="135" spans="1:21" x14ac:dyDescent="0.2">
      <c r="A135" s="333" t="s">
        <v>449</v>
      </c>
      <c r="B135" s="311" t="s">
        <v>224</v>
      </c>
      <c r="C135" s="417" t="s">
        <v>242</v>
      </c>
      <c r="E135" s="406"/>
      <c r="F135" s="411"/>
      <c r="G135" s="407" t="s">
        <v>243</v>
      </c>
      <c r="H135" s="418">
        <f t="shared" ref="H135:S135" si="60">-(H58)/H15</f>
        <v>0</v>
      </c>
      <c r="I135" s="418">
        <f t="shared" si="60"/>
        <v>0</v>
      </c>
      <c r="J135" s="418">
        <f t="shared" si="60"/>
        <v>0</v>
      </c>
      <c r="K135" s="418">
        <f t="shared" si="60"/>
        <v>0</v>
      </c>
      <c r="L135" s="418">
        <f t="shared" si="60"/>
        <v>0</v>
      </c>
      <c r="M135" s="418">
        <f t="shared" si="60"/>
        <v>0</v>
      </c>
      <c r="N135" s="418">
        <f t="shared" si="60"/>
        <v>0</v>
      </c>
      <c r="O135" s="418">
        <f t="shared" si="60"/>
        <v>0</v>
      </c>
      <c r="P135" s="418">
        <f t="shared" si="60"/>
        <v>0</v>
      </c>
      <c r="Q135" s="418">
        <f t="shared" si="60"/>
        <v>0</v>
      </c>
      <c r="R135" s="418">
        <f t="shared" si="60"/>
        <v>0</v>
      </c>
      <c r="S135" s="418">
        <f t="shared" si="60"/>
        <v>0</v>
      </c>
    </row>
    <row r="136" spans="1:21" x14ac:dyDescent="0.2">
      <c r="A136" s="333" t="s">
        <v>450</v>
      </c>
      <c r="B136" s="311" t="s">
        <v>227</v>
      </c>
      <c r="C136" s="333" t="s">
        <v>245</v>
      </c>
      <c r="E136" s="406"/>
      <c r="F136" s="411"/>
      <c r="G136" s="399" t="s">
        <v>246</v>
      </c>
      <c r="H136" s="408">
        <f t="shared" ref="H136:S136" si="61">H33/H4</f>
        <v>0.33026331627498112</v>
      </c>
      <c r="I136" s="408">
        <f t="shared" si="61"/>
        <v>1.4121588230821862</v>
      </c>
      <c r="J136" s="408">
        <f t="shared" si="61"/>
        <v>2.8323190648100396</v>
      </c>
      <c r="K136" s="408">
        <f t="shared" si="61"/>
        <v>1.941318648460082</v>
      </c>
      <c r="L136" s="408">
        <f t="shared" si="61"/>
        <v>3.6436026998118987</v>
      </c>
      <c r="M136" s="408">
        <f t="shared" si="61"/>
        <v>3.1101800900450223</v>
      </c>
      <c r="N136" s="408">
        <f t="shared" si="61"/>
        <v>1.875</v>
      </c>
      <c r="O136" s="408">
        <f t="shared" si="61"/>
        <v>1.4285714285714286</v>
      </c>
      <c r="P136" s="408">
        <f t="shared" si="61"/>
        <v>0.92715231788079466</v>
      </c>
      <c r="Q136" s="408">
        <f t="shared" si="61"/>
        <v>2.8828828828828827</v>
      </c>
      <c r="R136" s="408">
        <f t="shared" si="61"/>
        <v>4.507042253521127</v>
      </c>
      <c r="S136" s="408">
        <f t="shared" si="61"/>
        <v>10.32258064516129</v>
      </c>
    </row>
    <row r="137" spans="1:21" x14ac:dyDescent="0.2">
      <c r="A137" s="333" t="s">
        <v>451</v>
      </c>
      <c r="B137" s="311" t="s">
        <v>231</v>
      </c>
      <c r="C137" s="417" t="s">
        <v>248</v>
      </c>
      <c r="E137" s="406"/>
      <c r="F137" s="411"/>
      <c r="G137" s="403" t="s">
        <v>249</v>
      </c>
      <c r="H137" s="408">
        <f t="shared" ref="H137:S137" si="62">H33/H15</f>
        <v>10.388251491509868</v>
      </c>
      <c r="I137" s="408">
        <f t="shared" si="62"/>
        <v>19.065050038491147</v>
      </c>
      <c r="J137" s="408">
        <f t="shared" si="62"/>
        <v>11.987485448195576</v>
      </c>
      <c r="K137" s="408">
        <f t="shared" si="62"/>
        <v>13.093949579831934</v>
      </c>
      <c r="L137" s="408">
        <f t="shared" si="62"/>
        <v>19.651680923015714</v>
      </c>
      <c r="M137" s="408">
        <f t="shared" si="62"/>
        <v>20.055645161290322</v>
      </c>
      <c r="N137" s="408">
        <f t="shared" si="62"/>
        <v>30</v>
      </c>
      <c r="O137" s="408">
        <f t="shared" si="62"/>
        <v>46.666666666666664</v>
      </c>
      <c r="P137" s="408">
        <f t="shared" si="62"/>
        <v>46.666666666666664</v>
      </c>
      <c r="Q137" s="408">
        <f t="shared" si="62"/>
        <v>106.66666666666667</v>
      </c>
      <c r="R137" s="408">
        <f t="shared" si="62"/>
        <v>106.66666666666667</v>
      </c>
      <c r="S137" s="408">
        <f t="shared" si="62"/>
        <v>106.66666666666667</v>
      </c>
    </row>
    <row r="138" spans="1:21" x14ac:dyDescent="0.2">
      <c r="A138" s="333" t="s">
        <v>452</v>
      </c>
      <c r="B138" s="311" t="s">
        <v>234</v>
      </c>
      <c r="C138" s="417" t="s">
        <v>251</v>
      </c>
      <c r="D138" s="402">
        <v>0.5</v>
      </c>
      <c r="E138" s="402">
        <f>1/3</f>
        <v>0.33333333333333331</v>
      </c>
      <c r="F138" s="412" t="s">
        <v>433</v>
      </c>
      <c r="G138" s="395" t="s">
        <v>252</v>
      </c>
      <c r="H138" s="623">
        <f t="shared" ref="H138:S138" si="63">H27/H4</f>
        <v>4.4040458569359897E-2</v>
      </c>
      <c r="I138" s="623">
        <f t="shared" si="63"/>
        <v>0.15590549684482627</v>
      </c>
      <c r="J138" s="623">
        <f t="shared" si="63"/>
        <v>0.58992607873474301</v>
      </c>
      <c r="K138" s="623">
        <f t="shared" si="63"/>
        <v>0.5705422107046747</v>
      </c>
      <c r="L138" s="623">
        <f t="shared" si="63"/>
        <v>0.73592003835798325</v>
      </c>
      <c r="M138" s="623">
        <f t="shared" si="63"/>
        <v>0.76675837918959477</v>
      </c>
      <c r="N138" s="623">
        <f t="shared" si="63"/>
        <v>0.64583333333333337</v>
      </c>
      <c r="O138" s="623">
        <f t="shared" si="63"/>
        <v>0.9285714285714286</v>
      </c>
      <c r="P138" s="623">
        <f t="shared" si="63"/>
        <v>1</v>
      </c>
      <c r="Q138" s="623">
        <f t="shared" si="63"/>
        <v>1</v>
      </c>
      <c r="R138" s="623">
        <f t="shared" si="63"/>
        <v>1</v>
      </c>
      <c r="S138" s="623">
        <f t="shared" si="63"/>
        <v>1</v>
      </c>
    </row>
    <row r="139" spans="1:21" x14ac:dyDescent="0.2">
      <c r="C139" s="417"/>
      <c r="D139" s="417"/>
      <c r="E139" s="417"/>
      <c r="F139" s="417"/>
      <c r="G139" s="417"/>
      <c r="H139" s="417"/>
      <c r="I139" s="417"/>
      <c r="J139" s="417"/>
      <c r="K139" s="417"/>
      <c r="L139" s="417"/>
      <c r="M139" s="417"/>
      <c r="N139" s="417"/>
      <c r="O139" s="417"/>
      <c r="P139" s="417"/>
      <c r="Q139" s="417"/>
      <c r="R139" s="417"/>
      <c r="S139" s="417"/>
    </row>
    <row r="140" spans="1:21" x14ac:dyDescent="0.2">
      <c r="A140" s="398"/>
      <c r="C140" s="311"/>
      <c r="D140" s="419"/>
      <c r="E140" s="420"/>
      <c r="F140" s="411"/>
      <c r="G140" s="390" t="s">
        <v>253</v>
      </c>
      <c r="H140" s="366">
        <f t="shared" ref="H140:S140" si="64">H133</f>
        <v>2011</v>
      </c>
      <c r="I140" s="366">
        <f t="shared" si="64"/>
        <v>2012</v>
      </c>
      <c r="J140" s="366">
        <f t="shared" si="64"/>
        <v>2013</v>
      </c>
      <c r="K140" s="366">
        <f t="shared" si="64"/>
        <v>2014</v>
      </c>
      <c r="L140" s="366">
        <f t="shared" si="64"/>
        <v>2015</v>
      </c>
      <c r="M140" s="366">
        <f t="shared" si="64"/>
        <v>2016</v>
      </c>
      <c r="N140" s="366">
        <f t="shared" si="64"/>
        <v>2017</v>
      </c>
      <c r="O140" s="366">
        <f t="shared" si="64"/>
        <v>2018</v>
      </c>
      <c r="P140" s="366">
        <f t="shared" si="64"/>
        <v>2019</v>
      </c>
      <c r="Q140" s="366">
        <f t="shared" si="64"/>
        <v>2020</v>
      </c>
      <c r="R140" s="366">
        <f t="shared" si="64"/>
        <v>2021</v>
      </c>
      <c r="S140" s="366">
        <f t="shared" si="64"/>
        <v>2022</v>
      </c>
    </row>
    <row r="141" spans="1:21" x14ac:dyDescent="0.2">
      <c r="A141" s="333" t="s">
        <v>453</v>
      </c>
      <c r="B141" s="311" t="s">
        <v>238</v>
      </c>
      <c r="C141" s="333" t="s">
        <v>255</v>
      </c>
      <c r="D141" s="421"/>
      <c r="E141" s="402">
        <v>0.05</v>
      </c>
      <c r="G141" s="399" t="s">
        <v>256</v>
      </c>
      <c r="H141" s="405">
        <f t="shared" ref="H141:S141" si="65">H35/H33</f>
        <v>0.31605628202862701</v>
      </c>
      <c r="I141" s="617">
        <f t="shared" si="65"/>
        <v>0.18535866427086067</v>
      </c>
      <c r="J141" s="617">
        <f t="shared" si="65"/>
        <v>0.35627230571269031</v>
      </c>
      <c r="K141" s="617">
        <f t="shared" si="65"/>
        <v>0.38035400274679432</v>
      </c>
      <c r="L141" s="617">
        <f t="shared" si="65"/>
        <v>0.28717772221603621</v>
      </c>
      <c r="M141" s="617">
        <f t="shared" si="65"/>
        <v>0.35189727505461954</v>
      </c>
      <c r="N141" s="617">
        <f t="shared" si="65"/>
        <v>0.32222222222222224</v>
      </c>
      <c r="O141" s="617">
        <f t="shared" si="65"/>
        <v>0.21428571428571427</v>
      </c>
      <c r="P141" s="617">
        <f t="shared" si="65"/>
        <v>0.21428571428571427</v>
      </c>
      <c r="Q141" s="617">
        <f t="shared" si="65"/>
        <v>9.375E-2</v>
      </c>
      <c r="R141" s="617">
        <f t="shared" si="65"/>
        <v>9.375E-2</v>
      </c>
      <c r="S141" s="617">
        <f t="shared" si="65"/>
        <v>9.375E-2</v>
      </c>
    </row>
    <row r="142" spans="1:21" x14ac:dyDescent="0.2">
      <c r="A142" s="333" t="s">
        <v>454</v>
      </c>
      <c r="B142" s="311" t="s">
        <v>241</v>
      </c>
      <c r="C142" s="333" t="s">
        <v>258</v>
      </c>
      <c r="E142" s="402">
        <v>0.95</v>
      </c>
      <c r="G142" s="407" t="s">
        <v>259</v>
      </c>
      <c r="H142" s="623">
        <f t="shared" ref="H142:S142" si="66">(H36+H34)/H33</f>
        <v>0.67934926665488604</v>
      </c>
      <c r="I142" s="623">
        <f t="shared" si="66"/>
        <v>0.81464133572913933</v>
      </c>
      <c r="J142" s="623">
        <f t="shared" si="66"/>
        <v>0.6437276942873098</v>
      </c>
      <c r="K142" s="623">
        <f t="shared" si="66"/>
        <v>0.61964599725320568</v>
      </c>
      <c r="L142" s="623">
        <f t="shared" si="66"/>
        <v>0.71282227778396379</v>
      </c>
      <c r="M142" s="623">
        <f t="shared" si="66"/>
        <v>0.64810272494538046</v>
      </c>
      <c r="N142" s="623">
        <f t="shared" si="66"/>
        <v>0.67777777777777781</v>
      </c>
      <c r="O142" s="623">
        <f t="shared" si="66"/>
        <v>0.7857142857142857</v>
      </c>
      <c r="P142" s="623">
        <f t="shared" si="66"/>
        <v>0.7857142857142857</v>
      </c>
      <c r="Q142" s="623">
        <f t="shared" si="66"/>
        <v>0.90625</v>
      </c>
      <c r="R142" s="623">
        <f t="shared" si="66"/>
        <v>0.90625</v>
      </c>
      <c r="S142" s="623">
        <f t="shared" si="66"/>
        <v>0.90625</v>
      </c>
    </row>
    <row r="143" spans="1:21" x14ac:dyDescent="0.2">
      <c r="A143" s="333" t="s">
        <v>455</v>
      </c>
      <c r="B143" s="311" t="s">
        <v>244</v>
      </c>
      <c r="C143" s="333" t="s">
        <v>261</v>
      </c>
      <c r="E143" s="402">
        <v>0.95</v>
      </c>
      <c r="G143" s="403" t="s">
        <v>262</v>
      </c>
      <c r="H143" s="617">
        <f t="shared" ref="H143:S143" si="67">H38/(H38+H41)</f>
        <v>0</v>
      </c>
      <c r="I143" s="617">
        <f t="shared" si="67"/>
        <v>0</v>
      </c>
      <c r="J143" s="617">
        <f t="shared" si="67"/>
        <v>0</v>
      </c>
      <c r="K143" s="617">
        <f t="shared" si="67"/>
        <v>0</v>
      </c>
      <c r="L143" s="617">
        <f t="shared" si="67"/>
        <v>0</v>
      </c>
      <c r="M143" s="617">
        <f t="shared" si="67"/>
        <v>0</v>
      </c>
      <c r="N143" s="617">
        <f t="shared" si="67"/>
        <v>0</v>
      </c>
      <c r="O143" s="617">
        <f t="shared" si="67"/>
        <v>0</v>
      </c>
      <c r="P143" s="617">
        <f t="shared" si="67"/>
        <v>0</v>
      </c>
      <c r="Q143" s="617">
        <f t="shared" si="67"/>
        <v>0</v>
      </c>
      <c r="R143" s="617">
        <f t="shared" si="67"/>
        <v>0</v>
      </c>
      <c r="S143" s="617">
        <f t="shared" si="67"/>
        <v>0</v>
      </c>
    </row>
    <row r="144" spans="1:21" x14ac:dyDescent="0.2">
      <c r="C144" s="333"/>
      <c r="E144" s="336"/>
      <c r="F144" s="336"/>
      <c r="G144" s="336"/>
      <c r="H144" s="336"/>
      <c r="I144" s="336"/>
      <c r="J144" s="336"/>
      <c r="K144" s="336"/>
      <c r="L144" s="336"/>
      <c r="M144" s="336"/>
      <c r="N144" s="336"/>
      <c r="O144" s="336"/>
      <c r="P144" s="336"/>
      <c r="Q144" s="336"/>
      <c r="R144" s="336"/>
      <c r="S144" s="336"/>
      <c r="T144" s="336"/>
      <c r="U144" s="336"/>
    </row>
    <row r="145" spans="1:19" x14ac:dyDescent="0.2">
      <c r="A145" s="398"/>
      <c r="C145" s="422"/>
      <c r="D145" s="419"/>
      <c r="E145" s="420"/>
      <c r="F145" s="411"/>
      <c r="G145" s="390"/>
      <c r="H145" s="366">
        <f>H140</f>
        <v>2011</v>
      </c>
      <c r="I145" s="366">
        <f t="shared" ref="I145:S145" si="68">I140</f>
        <v>2012</v>
      </c>
      <c r="J145" s="366">
        <f t="shared" si="68"/>
        <v>2013</v>
      </c>
      <c r="K145" s="366">
        <f t="shared" si="68"/>
        <v>2014</v>
      </c>
      <c r="L145" s="366">
        <f t="shared" si="68"/>
        <v>2015</v>
      </c>
      <c r="M145" s="366">
        <f t="shared" si="68"/>
        <v>2016</v>
      </c>
      <c r="N145" s="366">
        <f t="shared" si="68"/>
        <v>2017</v>
      </c>
      <c r="O145" s="366">
        <f t="shared" si="68"/>
        <v>2018</v>
      </c>
      <c r="P145" s="366">
        <f t="shared" si="68"/>
        <v>2019</v>
      </c>
      <c r="Q145" s="366">
        <f t="shared" si="68"/>
        <v>2020</v>
      </c>
      <c r="R145" s="366">
        <f t="shared" si="68"/>
        <v>2021</v>
      </c>
      <c r="S145" s="366">
        <f t="shared" si="68"/>
        <v>2022</v>
      </c>
    </row>
    <row r="146" spans="1:19" x14ac:dyDescent="0.2">
      <c r="A146" s="373" t="s">
        <v>456</v>
      </c>
      <c r="B146" s="311" t="s">
        <v>247</v>
      </c>
      <c r="C146" s="333" t="s">
        <v>264</v>
      </c>
      <c r="D146" s="423">
        <v>0.5</v>
      </c>
      <c r="E146" s="424" t="s">
        <v>265</v>
      </c>
      <c r="F146" s="373"/>
      <c r="G146" s="399" t="s">
        <v>266</v>
      </c>
      <c r="H146" s="408" t="str">
        <f t="shared" ref="H146:S146" si="69">IF(H141&lt;$D$146,$E$146,H35/H4)</f>
        <v>N/A</v>
      </c>
      <c r="I146" s="408" t="str">
        <f t="shared" si="69"/>
        <v>N/A</v>
      </c>
      <c r="J146" s="408" t="str">
        <f t="shared" si="69"/>
        <v>N/A</v>
      </c>
      <c r="K146" s="408" t="str">
        <f t="shared" si="69"/>
        <v>N/A</v>
      </c>
      <c r="L146" s="408" t="str">
        <f t="shared" si="69"/>
        <v>N/A</v>
      </c>
      <c r="M146" s="408" t="str">
        <f t="shared" si="69"/>
        <v>N/A</v>
      </c>
      <c r="N146" s="408" t="str">
        <f t="shared" si="69"/>
        <v>N/A</v>
      </c>
      <c r="O146" s="408" t="str">
        <f t="shared" si="69"/>
        <v>N/A</v>
      </c>
      <c r="P146" s="408" t="str">
        <f t="shared" si="69"/>
        <v>N/A</v>
      </c>
      <c r="Q146" s="408" t="str">
        <f t="shared" si="69"/>
        <v>N/A</v>
      </c>
      <c r="R146" s="408" t="str">
        <f t="shared" si="69"/>
        <v>N/A</v>
      </c>
      <c r="S146" s="408" t="str">
        <f t="shared" si="69"/>
        <v>N/A</v>
      </c>
    </row>
    <row r="147" spans="1:19" x14ac:dyDescent="0.2">
      <c r="A147" s="373" t="s">
        <v>457</v>
      </c>
      <c r="B147" s="311" t="s">
        <v>250</v>
      </c>
      <c r="C147" s="333" t="s">
        <v>267</v>
      </c>
      <c r="D147" s="423">
        <v>0.5</v>
      </c>
      <c r="E147" s="424" t="s">
        <v>265</v>
      </c>
      <c r="F147" s="373"/>
      <c r="G147" s="407" t="s">
        <v>268</v>
      </c>
      <c r="H147" s="408" t="str">
        <f t="shared" ref="H147:S147" si="70">IF(H141&lt;$D$147,$E$147,H35/H15)</f>
        <v>N/A</v>
      </c>
      <c r="I147" s="408" t="str">
        <f t="shared" si="70"/>
        <v>N/A</v>
      </c>
      <c r="J147" s="408" t="str">
        <f t="shared" si="70"/>
        <v>N/A</v>
      </c>
      <c r="K147" s="408" t="str">
        <f t="shared" si="70"/>
        <v>N/A</v>
      </c>
      <c r="L147" s="408" t="str">
        <f t="shared" si="70"/>
        <v>N/A</v>
      </c>
      <c r="M147" s="408" t="str">
        <f t="shared" si="70"/>
        <v>N/A</v>
      </c>
      <c r="N147" s="408" t="str">
        <f t="shared" si="70"/>
        <v>N/A</v>
      </c>
      <c r="O147" s="408" t="str">
        <f t="shared" si="70"/>
        <v>N/A</v>
      </c>
      <c r="P147" s="408" t="str">
        <f t="shared" si="70"/>
        <v>N/A</v>
      </c>
      <c r="Q147" s="408" t="str">
        <f t="shared" si="70"/>
        <v>N/A</v>
      </c>
      <c r="R147" s="408" t="str">
        <f t="shared" si="70"/>
        <v>N/A</v>
      </c>
      <c r="S147" s="408" t="str">
        <f t="shared" si="70"/>
        <v>N/A</v>
      </c>
    </row>
    <row r="148" spans="1:19" x14ac:dyDescent="0.2">
      <c r="A148" s="373" t="s">
        <v>458</v>
      </c>
      <c r="B148" s="311" t="s">
        <v>254</v>
      </c>
      <c r="C148" s="333" t="s">
        <v>201</v>
      </c>
      <c r="D148" s="423">
        <v>0.5</v>
      </c>
      <c r="E148" s="424" t="s">
        <v>265</v>
      </c>
      <c r="F148" s="373"/>
      <c r="G148" s="399" t="s">
        <v>269</v>
      </c>
      <c r="H148" s="418" t="str">
        <f t="shared" ref="H148:S148" si="71">IF(H141&lt;$D$148,$E$148,H46/H33)</f>
        <v>N/A</v>
      </c>
      <c r="I148" s="418" t="str">
        <f t="shared" si="71"/>
        <v>N/A</v>
      </c>
      <c r="J148" s="418" t="str">
        <f t="shared" si="71"/>
        <v>N/A</v>
      </c>
      <c r="K148" s="418" t="str">
        <f t="shared" si="71"/>
        <v>N/A</v>
      </c>
      <c r="L148" s="418" t="str">
        <f t="shared" si="71"/>
        <v>N/A</v>
      </c>
      <c r="M148" s="418" t="str">
        <f t="shared" si="71"/>
        <v>N/A</v>
      </c>
      <c r="N148" s="418" t="str">
        <f t="shared" si="71"/>
        <v>N/A</v>
      </c>
      <c r="O148" s="418" t="str">
        <f t="shared" si="71"/>
        <v>N/A</v>
      </c>
      <c r="P148" s="418" t="str">
        <f t="shared" si="71"/>
        <v>N/A</v>
      </c>
      <c r="Q148" s="418" t="str">
        <f t="shared" si="71"/>
        <v>N/A</v>
      </c>
      <c r="R148" s="418" t="str">
        <f t="shared" si="71"/>
        <v>N/A</v>
      </c>
      <c r="S148" s="418" t="str">
        <f t="shared" si="71"/>
        <v>N/A</v>
      </c>
    </row>
    <row r="149" spans="1:19" x14ac:dyDescent="0.2">
      <c r="A149" s="373" t="s">
        <v>459</v>
      </c>
      <c r="B149" s="311" t="s">
        <v>257</v>
      </c>
      <c r="C149" s="333" t="s">
        <v>270</v>
      </c>
      <c r="D149" s="423">
        <v>0.5</v>
      </c>
      <c r="E149" s="424" t="s">
        <v>265</v>
      </c>
      <c r="F149" s="373"/>
      <c r="G149" s="407" t="s">
        <v>271</v>
      </c>
      <c r="H149" s="418" t="str">
        <f t="shared" ref="H149:S149" si="72">IF(H141&lt;$D$148,$E$149,H51/H33)</f>
        <v>N/A</v>
      </c>
      <c r="I149" s="418" t="str">
        <f t="shared" si="72"/>
        <v>N/A</v>
      </c>
      <c r="J149" s="418" t="str">
        <f t="shared" si="72"/>
        <v>N/A</v>
      </c>
      <c r="K149" s="418" t="str">
        <f t="shared" si="72"/>
        <v>N/A</v>
      </c>
      <c r="L149" s="418" t="str">
        <f t="shared" si="72"/>
        <v>N/A</v>
      </c>
      <c r="M149" s="418" t="str">
        <f t="shared" si="72"/>
        <v>N/A</v>
      </c>
      <c r="N149" s="418" t="str">
        <f t="shared" si="72"/>
        <v>N/A</v>
      </c>
      <c r="O149" s="418" t="str">
        <f t="shared" si="72"/>
        <v>N/A</v>
      </c>
      <c r="P149" s="418" t="str">
        <f t="shared" si="72"/>
        <v>N/A</v>
      </c>
      <c r="Q149" s="418" t="str">
        <f t="shared" si="72"/>
        <v>N/A</v>
      </c>
      <c r="R149" s="418" t="str">
        <f t="shared" si="72"/>
        <v>N/A</v>
      </c>
      <c r="S149" s="418" t="str">
        <f t="shared" si="72"/>
        <v>N/A</v>
      </c>
    </row>
    <row r="150" spans="1:19" x14ac:dyDescent="0.2">
      <c r="A150" s="373" t="s">
        <v>460</v>
      </c>
      <c r="B150" s="311" t="s">
        <v>260</v>
      </c>
      <c r="C150" s="333" t="s">
        <v>272</v>
      </c>
      <c r="D150" s="423">
        <v>0.5</v>
      </c>
      <c r="E150" s="424" t="s">
        <v>265</v>
      </c>
      <c r="F150" s="373"/>
      <c r="G150" s="407" t="s">
        <v>273</v>
      </c>
      <c r="H150" s="418" t="str">
        <f t="shared" ref="H150:S150" si="73">IF(H141&lt;$D$150,$E$150,H51/H4)</f>
        <v>N/A</v>
      </c>
      <c r="I150" s="418" t="str">
        <f t="shared" si="73"/>
        <v>N/A</v>
      </c>
      <c r="J150" s="418" t="str">
        <f t="shared" si="73"/>
        <v>N/A</v>
      </c>
      <c r="K150" s="418" t="str">
        <f t="shared" si="73"/>
        <v>N/A</v>
      </c>
      <c r="L150" s="418" t="str">
        <f t="shared" si="73"/>
        <v>N/A</v>
      </c>
      <c r="M150" s="418" t="str">
        <f t="shared" si="73"/>
        <v>N/A</v>
      </c>
      <c r="N150" s="418" t="str">
        <f t="shared" si="73"/>
        <v>N/A</v>
      </c>
      <c r="O150" s="418" t="str">
        <f t="shared" si="73"/>
        <v>N/A</v>
      </c>
      <c r="P150" s="418" t="str">
        <f t="shared" si="73"/>
        <v>N/A</v>
      </c>
      <c r="Q150" s="418" t="str">
        <f t="shared" si="73"/>
        <v>N/A</v>
      </c>
      <c r="R150" s="418" t="str">
        <f t="shared" si="73"/>
        <v>N/A</v>
      </c>
      <c r="S150" s="418" t="str">
        <f t="shared" si="73"/>
        <v>N/A</v>
      </c>
    </row>
    <row r="151" spans="1:19" x14ac:dyDescent="0.2">
      <c r="A151" s="373" t="s">
        <v>461</v>
      </c>
      <c r="B151" s="311" t="s">
        <v>263</v>
      </c>
      <c r="C151" s="333" t="s">
        <v>274</v>
      </c>
      <c r="D151" s="423">
        <v>0.5</v>
      </c>
      <c r="E151" s="424" t="s">
        <v>265</v>
      </c>
      <c r="F151" s="373"/>
      <c r="G151" s="403" t="s">
        <v>275</v>
      </c>
      <c r="H151" s="418" t="str">
        <f>IF(H141&lt;$D$151,$E$151,H51/H27)</f>
        <v>N/A</v>
      </c>
      <c r="I151" s="418" t="str">
        <f>IF(I141&lt;$D$151,$E$151,I51/((H27+I27)/2))</f>
        <v>N/A</v>
      </c>
      <c r="J151" s="418" t="str">
        <f>IF(J141&lt;$D$151,$E$151,J51/((I27+J27)/2))</f>
        <v>N/A</v>
      </c>
      <c r="K151" s="418" t="str">
        <f>IF(K141&lt;$D$151,$E$151,K51/((J27+K27)/2))</f>
        <v>N/A</v>
      </c>
      <c r="L151" s="418" t="str">
        <f>IF(L141&lt;$D$151,$E$151,L51/((K27+L27)/2))</f>
        <v>N/A</v>
      </c>
      <c r="M151" s="418" t="str">
        <f>IF(M141&lt;$D$151,$E$151,M51/((L27+M27)/2))</f>
        <v>N/A</v>
      </c>
      <c r="N151" s="418" t="str">
        <f t="shared" ref="N151:S151" si="74">IF(N141&lt;$D$151,$E$151,N51/((M27+N27)/2))</f>
        <v>N/A</v>
      </c>
      <c r="O151" s="418" t="str">
        <f t="shared" si="74"/>
        <v>N/A</v>
      </c>
      <c r="P151" s="418" t="str">
        <f t="shared" si="74"/>
        <v>N/A</v>
      </c>
      <c r="Q151" s="418" t="str">
        <f t="shared" si="74"/>
        <v>N/A</v>
      </c>
      <c r="R151" s="418" t="str">
        <f t="shared" si="74"/>
        <v>N/A</v>
      </c>
      <c r="S151" s="418" t="str">
        <f t="shared" si="74"/>
        <v>N/A</v>
      </c>
    </row>
    <row r="152" spans="1:19" x14ac:dyDescent="0.2">
      <c r="C152" s="422"/>
      <c r="D152" s="419"/>
      <c r="E152" s="420"/>
      <c r="G152" s="333"/>
      <c r="H152" s="333"/>
      <c r="I152" s="333"/>
      <c r="J152" s="333"/>
      <c r="K152" s="333"/>
      <c r="L152" s="333"/>
      <c r="M152" s="333"/>
      <c r="N152" s="333"/>
      <c r="O152" s="333"/>
      <c r="P152" s="333"/>
      <c r="Q152" s="333"/>
      <c r="R152" s="333"/>
      <c r="S152" s="333"/>
    </row>
    <row r="153" spans="1:19" x14ac:dyDescent="0.2">
      <c r="G153" s="390" t="s">
        <v>462</v>
      </c>
      <c r="H153" s="366">
        <f>H145</f>
        <v>2011</v>
      </c>
      <c r="I153" s="366">
        <f t="shared" ref="I153:S153" si="75">I145</f>
        <v>2012</v>
      </c>
      <c r="J153" s="366">
        <f t="shared" si="75"/>
        <v>2013</v>
      </c>
      <c r="K153" s="366">
        <f t="shared" si="75"/>
        <v>2014</v>
      </c>
      <c r="L153" s="366">
        <f t="shared" si="75"/>
        <v>2015</v>
      </c>
      <c r="M153" s="366">
        <f t="shared" si="75"/>
        <v>2016</v>
      </c>
      <c r="N153" s="366">
        <f t="shared" si="75"/>
        <v>2017</v>
      </c>
      <c r="O153" s="366">
        <f t="shared" si="75"/>
        <v>2018</v>
      </c>
      <c r="P153" s="366">
        <f t="shared" si="75"/>
        <v>2019</v>
      </c>
      <c r="Q153" s="366">
        <f t="shared" si="75"/>
        <v>2020</v>
      </c>
      <c r="R153" s="366">
        <f t="shared" si="75"/>
        <v>2021</v>
      </c>
      <c r="S153" s="366">
        <f t="shared" si="75"/>
        <v>2022</v>
      </c>
    </row>
    <row r="154" spans="1:19" x14ac:dyDescent="0.2">
      <c r="G154" s="391" t="s">
        <v>276</v>
      </c>
      <c r="H154" s="392">
        <f t="shared" ref="H154:S154" si="76">H33</f>
        <v>90.543999999999997</v>
      </c>
      <c r="I154" s="392">
        <f t="shared" si="76"/>
        <v>148.59299999999999</v>
      </c>
      <c r="J154" s="392">
        <f t="shared" si="76"/>
        <v>82.378</v>
      </c>
      <c r="K154" s="392">
        <f t="shared" si="76"/>
        <v>77.909000000000006</v>
      </c>
      <c r="L154" s="392">
        <f>L33</f>
        <v>98.789000000000001</v>
      </c>
      <c r="M154" s="392">
        <f t="shared" si="76"/>
        <v>74.606999999999999</v>
      </c>
      <c r="N154" s="392">
        <f t="shared" si="76"/>
        <v>90</v>
      </c>
      <c r="O154" s="392">
        <f t="shared" si="76"/>
        <v>140</v>
      </c>
      <c r="P154" s="392">
        <f t="shared" si="76"/>
        <v>140</v>
      </c>
      <c r="Q154" s="392">
        <f t="shared" si="76"/>
        <v>320</v>
      </c>
      <c r="R154" s="392">
        <f t="shared" si="76"/>
        <v>320</v>
      </c>
      <c r="S154" s="392">
        <f t="shared" si="76"/>
        <v>320</v>
      </c>
    </row>
    <row r="155" spans="1:19" x14ac:dyDescent="0.2">
      <c r="G155" s="391" t="s">
        <v>277</v>
      </c>
      <c r="H155" s="392">
        <f t="shared" ref="H155:S156" si="77">H35</f>
        <v>28.617000000000001</v>
      </c>
      <c r="I155" s="392">
        <f t="shared" si="77"/>
        <v>27.542999999999999</v>
      </c>
      <c r="J155" s="392">
        <f t="shared" si="77"/>
        <v>29.349</v>
      </c>
      <c r="K155" s="392">
        <f t="shared" si="77"/>
        <v>29.632999999999999</v>
      </c>
      <c r="L155" s="392">
        <f t="shared" si="77"/>
        <v>28.37</v>
      </c>
      <c r="M155" s="392">
        <f t="shared" si="77"/>
        <v>26.254000000000001</v>
      </c>
      <c r="N155" s="392">
        <f t="shared" si="77"/>
        <v>29</v>
      </c>
      <c r="O155" s="392">
        <f t="shared" si="77"/>
        <v>30</v>
      </c>
      <c r="P155" s="392">
        <f t="shared" si="77"/>
        <v>30</v>
      </c>
      <c r="Q155" s="392">
        <f t="shared" si="77"/>
        <v>30</v>
      </c>
      <c r="R155" s="392">
        <f t="shared" si="77"/>
        <v>30</v>
      </c>
      <c r="S155" s="392">
        <f t="shared" si="77"/>
        <v>30</v>
      </c>
    </row>
    <row r="156" spans="1:19" x14ac:dyDescent="0.2">
      <c r="G156" s="391" t="s">
        <v>278</v>
      </c>
      <c r="H156" s="392">
        <f t="shared" si="77"/>
        <v>61.511000000000003</v>
      </c>
      <c r="I156" s="392">
        <f t="shared" si="77"/>
        <v>121.05</v>
      </c>
      <c r="J156" s="392">
        <f t="shared" si="77"/>
        <v>53.029000000000003</v>
      </c>
      <c r="K156" s="392">
        <f t="shared" si="77"/>
        <v>48.276000000000003</v>
      </c>
      <c r="L156" s="392">
        <f t="shared" si="77"/>
        <v>70.418999999999997</v>
      </c>
      <c r="M156" s="392">
        <f t="shared" si="77"/>
        <v>48.353000000000002</v>
      </c>
      <c r="N156" s="392">
        <f t="shared" si="77"/>
        <v>61</v>
      </c>
      <c r="O156" s="392">
        <f t="shared" si="77"/>
        <v>110</v>
      </c>
      <c r="P156" s="392">
        <f t="shared" si="77"/>
        <v>110</v>
      </c>
      <c r="Q156" s="392">
        <f t="shared" si="77"/>
        <v>290</v>
      </c>
      <c r="R156" s="392">
        <f t="shared" si="77"/>
        <v>290</v>
      </c>
      <c r="S156" s="392">
        <f t="shared" si="77"/>
        <v>290</v>
      </c>
    </row>
    <row r="157" spans="1:19" x14ac:dyDescent="0.2">
      <c r="G157" s="391" t="s">
        <v>279</v>
      </c>
      <c r="H157" s="392">
        <f t="shared" ref="H157:S157" si="78">H38+H41</f>
        <v>-77.811999999999983</v>
      </c>
      <c r="I157" s="392">
        <f t="shared" si="78"/>
        <v>-134.01400000000001</v>
      </c>
      <c r="J157" s="392">
        <f t="shared" si="78"/>
        <v>-80.322000000000003</v>
      </c>
      <c r="K157" s="392">
        <f t="shared" si="78"/>
        <v>-72.171999999999997</v>
      </c>
      <c r="L157" s="392">
        <f t="shared" si="78"/>
        <v>-101.73100000000001</v>
      </c>
      <c r="M157" s="392">
        <f t="shared" si="78"/>
        <v>-76.444000000000003</v>
      </c>
      <c r="N157" s="392">
        <f t="shared" si="78"/>
        <v>-78</v>
      </c>
      <c r="O157" s="392">
        <f t="shared" si="78"/>
        <v>-80</v>
      </c>
      <c r="P157" s="392">
        <f t="shared" si="78"/>
        <v>-80</v>
      </c>
      <c r="Q157" s="392">
        <f t="shared" si="78"/>
        <v>-360</v>
      </c>
      <c r="R157" s="392">
        <f t="shared" si="78"/>
        <v>-360</v>
      </c>
      <c r="S157" s="392">
        <f t="shared" si="78"/>
        <v>-360</v>
      </c>
    </row>
    <row r="158" spans="1:19" x14ac:dyDescent="0.2">
      <c r="G158" s="391" t="s">
        <v>280</v>
      </c>
      <c r="H158" s="392">
        <f t="shared" ref="H158:S158" si="79">H41</f>
        <v>-77.811999999999983</v>
      </c>
      <c r="I158" s="392">
        <f t="shared" si="79"/>
        <v>-134.01400000000001</v>
      </c>
      <c r="J158" s="392">
        <f t="shared" si="79"/>
        <v>-80.322000000000003</v>
      </c>
      <c r="K158" s="392">
        <f t="shared" si="79"/>
        <v>-72.171999999999997</v>
      </c>
      <c r="L158" s="392">
        <f t="shared" si="79"/>
        <v>-101.73100000000001</v>
      </c>
      <c r="M158" s="392">
        <f t="shared" si="79"/>
        <v>-76.444000000000003</v>
      </c>
      <c r="N158" s="392">
        <f t="shared" si="79"/>
        <v>-78</v>
      </c>
      <c r="O158" s="392">
        <f t="shared" si="79"/>
        <v>-80</v>
      </c>
      <c r="P158" s="392">
        <f t="shared" si="79"/>
        <v>-80</v>
      </c>
      <c r="Q158" s="392">
        <f t="shared" si="79"/>
        <v>-360</v>
      </c>
      <c r="R158" s="392">
        <f t="shared" si="79"/>
        <v>-360</v>
      </c>
      <c r="S158" s="392">
        <f t="shared" si="79"/>
        <v>-360</v>
      </c>
    </row>
    <row r="159" spans="1:19" x14ac:dyDescent="0.2">
      <c r="G159" s="391" t="s">
        <v>281</v>
      </c>
      <c r="H159" s="392">
        <f t="shared" ref="H159:S159" si="80">H38</f>
        <v>0</v>
      </c>
      <c r="I159" s="392">
        <f t="shared" si="80"/>
        <v>0</v>
      </c>
      <c r="J159" s="392">
        <f t="shared" si="80"/>
        <v>0</v>
      </c>
      <c r="K159" s="392">
        <f t="shared" si="80"/>
        <v>0</v>
      </c>
      <c r="L159" s="392">
        <f t="shared" si="80"/>
        <v>0</v>
      </c>
      <c r="M159" s="392">
        <f t="shared" si="80"/>
        <v>0</v>
      </c>
      <c r="N159" s="392">
        <f t="shared" si="80"/>
        <v>0</v>
      </c>
      <c r="O159" s="392">
        <f t="shared" si="80"/>
        <v>0</v>
      </c>
      <c r="P159" s="392">
        <f t="shared" si="80"/>
        <v>0</v>
      </c>
      <c r="Q159" s="392">
        <f t="shared" si="80"/>
        <v>0</v>
      </c>
      <c r="R159" s="392">
        <f t="shared" si="80"/>
        <v>0</v>
      </c>
      <c r="S159" s="392">
        <f t="shared" si="80"/>
        <v>0</v>
      </c>
    </row>
    <row r="160" spans="1:19" x14ac:dyDescent="0.2">
      <c r="G160" s="391" t="s">
        <v>282</v>
      </c>
      <c r="H160" s="392">
        <f t="shared" ref="H160:S160" si="81">H46</f>
        <v>12.732000000000014</v>
      </c>
      <c r="I160" s="392">
        <f t="shared" si="81"/>
        <v>14.578999999999979</v>
      </c>
      <c r="J160" s="392">
        <f t="shared" si="81"/>
        <v>2.0559999999999974</v>
      </c>
      <c r="K160" s="392">
        <f t="shared" si="81"/>
        <v>5.737000000000009</v>
      </c>
      <c r="L160" s="392">
        <f t="shared" si="81"/>
        <v>-2.9420000000000073</v>
      </c>
      <c r="M160" s="392">
        <f t="shared" si="81"/>
        <v>-1.8370000000000033</v>
      </c>
      <c r="N160" s="392">
        <f t="shared" si="81"/>
        <v>12</v>
      </c>
      <c r="O160" s="392">
        <f t="shared" si="81"/>
        <v>60</v>
      </c>
      <c r="P160" s="392">
        <f t="shared" si="81"/>
        <v>60</v>
      </c>
      <c r="Q160" s="392">
        <f t="shared" si="81"/>
        <v>-40</v>
      </c>
      <c r="R160" s="392">
        <f t="shared" si="81"/>
        <v>-40</v>
      </c>
      <c r="S160" s="392">
        <f t="shared" si="81"/>
        <v>-40</v>
      </c>
    </row>
    <row r="161" spans="1:19" x14ac:dyDescent="0.2">
      <c r="G161" s="391" t="s">
        <v>283</v>
      </c>
      <c r="H161" s="392">
        <f t="shared" ref="H161:S161" si="82">H51</f>
        <v>-13.482999999999986</v>
      </c>
      <c r="I161" s="392">
        <f t="shared" si="82"/>
        <v>4.3299999999999788</v>
      </c>
      <c r="J161" s="392">
        <f t="shared" si="82"/>
        <v>0.75199999999999734</v>
      </c>
      <c r="K161" s="392">
        <f t="shared" si="82"/>
        <v>5.7390000000000088</v>
      </c>
      <c r="L161" s="392">
        <f t="shared" si="82"/>
        <v>-2.9420000000000073</v>
      </c>
      <c r="M161" s="392">
        <f t="shared" si="82"/>
        <v>-1.8370000000000033</v>
      </c>
      <c r="N161" s="392">
        <f t="shared" si="82"/>
        <v>12</v>
      </c>
      <c r="O161" s="392">
        <f t="shared" si="82"/>
        <v>60</v>
      </c>
      <c r="P161" s="392">
        <f t="shared" si="82"/>
        <v>60</v>
      </c>
      <c r="Q161" s="392">
        <f t="shared" si="82"/>
        <v>-40</v>
      </c>
      <c r="R161" s="392">
        <f t="shared" si="82"/>
        <v>-40</v>
      </c>
      <c r="S161" s="392">
        <f t="shared" si="82"/>
        <v>-40</v>
      </c>
    </row>
    <row r="162" spans="1:19" x14ac:dyDescent="0.2">
      <c r="G162" s="391" t="s">
        <v>284</v>
      </c>
      <c r="H162" s="392">
        <f t="shared" ref="H162:S163" si="83">H4</f>
        <v>274.15699999999998</v>
      </c>
      <c r="I162" s="392">
        <f t="shared" si="83"/>
        <v>105.22400000000002</v>
      </c>
      <c r="J162" s="392">
        <f t="shared" si="83"/>
        <v>29.085000000000001</v>
      </c>
      <c r="K162" s="392">
        <f t="shared" si="83"/>
        <v>40.131999999999998</v>
      </c>
      <c r="L162" s="392">
        <f t="shared" si="83"/>
        <v>27.113</v>
      </c>
      <c r="M162" s="392">
        <f t="shared" si="83"/>
        <v>23.988000000000003</v>
      </c>
      <c r="N162" s="392">
        <f t="shared" si="83"/>
        <v>48</v>
      </c>
      <c r="O162" s="392">
        <f t="shared" si="83"/>
        <v>98</v>
      </c>
      <c r="P162" s="392">
        <f t="shared" si="83"/>
        <v>151</v>
      </c>
      <c r="Q162" s="392">
        <f t="shared" si="83"/>
        <v>111</v>
      </c>
      <c r="R162" s="392">
        <f t="shared" si="83"/>
        <v>71</v>
      </c>
      <c r="S162" s="392">
        <f t="shared" si="83"/>
        <v>31</v>
      </c>
    </row>
    <row r="163" spans="1:19" x14ac:dyDescent="0.2">
      <c r="G163" s="391" t="s">
        <v>285</v>
      </c>
      <c r="H163" s="392">
        <f t="shared" si="83"/>
        <v>265.30799999999999</v>
      </c>
      <c r="I163" s="392">
        <f t="shared" si="83"/>
        <v>97.297000000000011</v>
      </c>
      <c r="J163" s="392">
        <f t="shared" si="83"/>
        <v>19.045999999999999</v>
      </c>
      <c r="K163" s="392">
        <f t="shared" si="83"/>
        <v>34.048999999999999</v>
      </c>
      <c r="L163" s="392">
        <f t="shared" si="83"/>
        <v>21.952999999999999</v>
      </c>
      <c r="M163" s="392">
        <f t="shared" si="83"/>
        <v>19.176000000000002</v>
      </c>
      <c r="N163" s="392">
        <f t="shared" si="83"/>
        <v>44</v>
      </c>
      <c r="O163" s="392">
        <f t="shared" si="83"/>
        <v>94</v>
      </c>
      <c r="P163" s="392">
        <f t="shared" si="83"/>
        <v>148</v>
      </c>
      <c r="Q163" s="392">
        <f t="shared" si="83"/>
        <v>108</v>
      </c>
      <c r="R163" s="392">
        <f t="shared" si="83"/>
        <v>68</v>
      </c>
      <c r="S163" s="392">
        <f t="shared" si="83"/>
        <v>28</v>
      </c>
    </row>
    <row r="164" spans="1:19" x14ac:dyDescent="0.2">
      <c r="G164" s="391" t="s">
        <v>286</v>
      </c>
      <c r="H164" s="392">
        <f t="shared" ref="H164:S164" si="84">H10</f>
        <v>8.8490000000000002</v>
      </c>
      <c r="I164" s="392">
        <f t="shared" si="84"/>
        <v>7.9269999999999996</v>
      </c>
      <c r="J164" s="392">
        <f t="shared" si="84"/>
        <v>10.039</v>
      </c>
      <c r="K164" s="392">
        <f t="shared" si="84"/>
        <v>6.0830000000000002</v>
      </c>
      <c r="L164" s="392">
        <f t="shared" si="84"/>
        <v>5.16</v>
      </c>
      <c r="M164" s="392">
        <f t="shared" si="84"/>
        <v>4.8120000000000003</v>
      </c>
      <c r="N164" s="392">
        <f t="shared" si="84"/>
        <v>4</v>
      </c>
      <c r="O164" s="392">
        <f t="shared" si="84"/>
        <v>4</v>
      </c>
      <c r="P164" s="392">
        <f t="shared" si="84"/>
        <v>3</v>
      </c>
      <c r="Q164" s="392">
        <f t="shared" si="84"/>
        <v>3</v>
      </c>
      <c r="R164" s="392">
        <f t="shared" si="84"/>
        <v>3</v>
      </c>
      <c r="S164" s="392">
        <f t="shared" si="84"/>
        <v>3</v>
      </c>
    </row>
    <row r="165" spans="1:19" x14ac:dyDescent="0.2">
      <c r="G165" s="391" t="s">
        <v>287</v>
      </c>
      <c r="H165" s="392">
        <f t="shared" ref="H165:S166" si="85">H19</f>
        <v>262.08199999999999</v>
      </c>
      <c r="I165" s="392">
        <f t="shared" si="85"/>
        <v>88.819000000000003</v>
      </c>
      <c r="J165" s="392">
        <f t="shared" si="85"/>
        <v>11.926</v>
      </c>
      <c r="K165" s="392">
        <f t="shared" si="85"/>
        <v>17.234999999999999</v>
      </c>
      <c r="L165" s="392">
        <f t="shared" si="85"/>
        <v>7.1589999999999998</v>
      </c>
      <c r="M165" s="392">
        <f t="shared" si="85"/>
        <v>5.5949999999999998</v>
      </c>
      <c r="N165" s="392">
        <f t="shared" si="85"/>
        <v>17</v>
      </c>
      <c r="O165" s="392">
        <f t="shared" si="85"/>
        <v>7</v>
      </c>
      <c r="P165" s="392">
        <f t="shared" si="85"/>
        <v>0</v>
      </c>
      <c r="Q165" s="392">
        <f t="shared" si="85"/>
        <v>0</v>
      </c>
      <c r="R165" s="392">
        <f t="shared" si="85"/>
        <v>0</v>
      </c>
      <c r="S165" s="392">
        <f t="shared" si="85"/>
        <v>0</v>
      </c>
    </row>
    <row r="166" spans="1:19" x14ac:dyDescent="0.2">
      <c r="G166" s="391" t="s">
        <v>288</v>
      </c>
      <c r="H166" s="392">
        <f t="shared" si="85"/>
        <v>262.08199999999999</v>
      </c>
      <c r="I166" s="392">
        <f t="shared" si="85"/>
        <v>88.819000000000003</v>
      </c>
      <c r="J166" s="392">
        <f t="shared" si="85"/>
        <v>11.926</v>
      </c>
      <c r="K166" s="392">
        <f t="shared" si="85"/>
        <v>17.234999999999999</v>
      </c>
      <c r="L166" s="392">
        <f t="shared" si="85"/>
        <v>7.1589999999999998</v>
      </c>
      <c r="M166" s="392">
        <f t="shared" si="85"/>
        <v>5.5949999999999998</v>
      </c>
      <c r="N166" s="392">
        <f t="shared" si="85"/>
        <v>0</v>
      </c>
      <c r="O166" s="392">
        <f t="shared" si="85"/>
        <v>0</v>
      </c>
      <c r="P166" s="392">
        <f t="shared" si="85"/>
        <v>0</v>
      </c>
      <c r="Q166" s="392">
        <f t="shared" si="85"/>
        <v>0</v>
      </c>
      <c r="R166" s="392">
        <f t="shared" si="85"/>
        <v>0</v>
      </c>
      <c r="S166" s="392">
        <f t="shared" si="85"/>
        <v>0</v>
      </c>
    </row>
    <row r="167" spans="1:19" x14ac:dyDescent="0.2">
      <c r="G167" s="391" t="s">
        <v>289</v>
      </c>
      <c r="H167" s="392">
        <f t="shared" ref="H167:S167" si="86">H24</f>
        <v>246.30199999999999</v>
      </c>
      <c r="I167" s="392">
        <f t="shared" si="86"/>
        <v>73</v>
      </c>
      <c r="J167" s="392">
        <f t="shared" si="86"/>
        <v>0</v>
      </c>
      <c r="K167" s="392">
        <f t="shared" si="86"/>
        <v>0</v>
      </c>
      <c r="L167" s="392">
        <f t="shared" si="86"/>
        <v>0</v>
      </c>
      <c r="M167" s="392">
        <f t="shared" si="86"/>
        <v>0</v>
      </c>
      <c r="N167" s="392">
        <f t="shared" si="86"/>
        <v>0</v>
      </c>
      <c r="O167" s="392">
        <f t="shared" si="86"/>
        <v>0</v>
      </c>
      <c r="P167" s="392">
        <f t="shared" si="86"/>
        <v>0</v>
      </c>
      <c r="Q167" s="392">
        <f t="shared" si="86"/>
        <v>0</v>
      </c>
      <c r="R167" s="392">
        <f t="shared" si="86"/>
        <v>0</v>
      </c>
      <c r="S167" s="392">
        <f t="shared" si="86"/>
        <v>0</v>
      </c>
    </row>
    <row r="168" spans="1:19" x14ac:dyDescent="0.2">
      <c r="G168" s="391" t="s">
        <v>290</v>
      </c>
      <c r="H168" s="392">
        <f t="shared" ref="H168:S168" si="87">H27</f>
        <v>12.074</v>
      </c>
      <c r="I168" s="392">
        <f t="shared" si="87"/>
        <v>16.405000000000001</v>
      </c>
      <c r="J168" s="392">
        <f t="shared" si="87"/>
        <v>17.158000000000001</v>
      </c>
      <c r="K168" s="392">
        <f t="shared" si="87"/>
        <v>22.897000000000002</v>
      </c>
      <c r="L168" s="392">
        <f t="shared" si="87"/>
        <v>19.952999999999999</v>
      </c>
      <c r="M168" s="392">
        <f t="shared" si="87"/>
        <v>18.393000000000001</v>
      </c>
      <c r="N168" s="392">
        <f t="shared" si="87"/>
        <v>31</v>
      </c>
      <c r="O168" s="392">
        <f t="shared" si="87"/>
        <v>91</v>
      </c>
      <c r="P168" s="392">
        <f t="shared" si="87"/>
        <v>151</v>
      </c>
      <c r="Q168" s="392">
        <f t="shared" si="87"/>
        <v>111</v>
      </c>
      <c r="R168" s="392">
        <f t="shared" si="87"/>
        <v>71</v>
      </c>
      <c r="S168" s="392">
        <f t="shared" si="87"/>
        <v>31</v>
      </c>
    </row>
    <row r="169" spans="1:19" x14ac:dyDescent="0.2">
      <c r="C169" s="422"/>
      <c r="D169" s="419"/>
      <c r="E169" s="420"/>
      <c r="G169" s="333"/>
      <c r="H169" s="333"/>
      <c r="I169" s="333"/>
      <c r="J169" s="333"/>
      <c r="K169" s="333"/>
      <c r="L169" s="333"/>
      <c r="M169" s="333"/>
      <c r="N169" s="333"/>
      <c r="O169" s="333"/>
      <c r="P169" s="333"/>
      <c r="Q169" s="333"/>
      <c r="R169" s="333"/>
      <c r="S169" s="333"/>
    </row>
    <row r="170" spans="1:19" x14ac:dyDescent="0.2">
      <c r="C170" s="422" t="s">
        <v>463</v>
      </c>
      <c r="D170" s="419"/>
      <c r="E170" s="420"/>
      <c r="G170" s="333"/>
      <c r="H170" s="333"/>
      <c r="I170" s="333"/>
      <c r="J170" s="333"/>
      <c r="K170" s="333"/>
      <c r="L170" s="333"/>
      <c r="M170" s="333"/>
      <c r="N170" s="333"/>
      <c r="O170" s="333"/>
      <c r="P170" s="333"/>
      <c r="Q170" s="333"/>
      <c r="R170" s="333"/>
      <c r="S170" s="333"/>
    </row>
    <row r="171" spans="1:19" x14ac:dyDescent="0.2">
      <c r="C171" s="422"/>
      <c r="D171" s="419"/>
      <c r="E171" s="420"/>
      <c r="G171" s="333"/>
      <c r="H171" s="333"/>
      <c r="I171" s="333"/>
      <c r="J171" s="333"/>
      <c r="K171" s="333"/>
      <c r="L171" s="333"/>
      <c r="M171" s="333"/>
      <c r="N171" s="333"/>
      <c r="O171" s="333"/>
      <c r="P171" s="333"/>
      <c r="Q171" s="333"/>
      <c r="R171" s="333"/>
      <c r="S171" s="333"/>
    </row>
    <row r="172" spans="1:19" s="398" customFormat="1" x14ac:dyDescent="0.2">
      <c r="A172" s="379"/>
      <c r="B172" s="311"/>
      <c r="C172" s="379" t="s">
        <v>464</v>
      </c>
      <c r="D172" s="394"/>
      <c r="E172" s="380"/>
      <c r="F172" s="379"/>
      <c r="G172" s="379"/>
      <c r="H172" s="379"/>
      <c r="I172" s="379"/>
      <c r="J172" s="379"/>
      <c r="K172" s="379"/>
      <c r="L172" s="379"/>
      <c r="M172" s="379"/>
      <c r="N172" s="379"/>
      <c r="O172" s="379"/>
      <c r="P172" s="379"/>
      <c r="Q172" s="379"/>
      <c r="R172" s="379"/>
      <c r="S172" s="379"/>
    </row>
    <row r="173" spans="1:19" x14ac:dyDescent="0.2">
      <c r="C173" s="333"/>
      <c r="H173" s="388"/>
      <c r="I173" s="388"/>
      <c r="J173" s="388"/>
      <c r="K173" s="388"/>
      <c r="L173" s="388"/>
      <c r="M173" s="388"/>
      <c r="N173" s="388"/>
      <c r="O173" s="388"/>
      <c r="P173" s="388"/>
      <c r="Q173" s="388"/>
      <c r="R173" s="388"/>
    </row>
    <row r="174" spans="1:19" x14ac:dyDescent="0.2">
      <c r="C174" s="333" t="s">
        <v>291</v>
      </c>
      <c r="H174" s="388"/>
      <c r="I174" s="388"/>
      <c r="J174" s="388"/>
      <c r="K174" s="388"/>
      <c r="L174" s="388"/>
      <c r="M174" s="388"/>
      <c r="N174" s="388"/>
      <c r="O174" s="388"/>
      <c r="P174" s="388"/>
      <c r="Q174" s="388"/>
      <c r="R174" s="388"/>
    </row>
    <row r="175" spans="1:19" x14ac:dyDescent="0.2">
      <c r="C175" s="333" t="s">
        <v>292</v>
      </c>
      <c r="F175" s="340"/>
      <c r="G175" s="425"/>
      <c r="H175" s="425"/>
      <c r="I175" s="425"/>
      <c r="J175" s="425"/>
      <c r="K175" s="425"/>
      <c r="L175" s="425"/>
      <c r="M175" s="425"/>
      <c r="N175" s="425"/>
      <c r="O175" s="425"/>
      <c r="P175" s="425"/>
      <c r="Q175" s="425"/>
      <c r="R175" s="425"/>
    </row>
    <row r="176" spans="1:19" x14ac:dyDescent="0.2">
      <c r="C176" s="333"/>
      <c r="F176" s="340"/>
      <c r="G176" s="426"/>
      <c r="H176" s="426"/>
      <c r="I176" s="426"/>
      <c r="J176" s="426"/>
      <c r="K176" s="426"/>
      <c r="L176" s="426"/>
      <c r="M176" s="426"/>
      <c r="N176" s="426"/>
      <c r="O176" s="426"/>
      <c r="P176" s="426"/>
      <c r="Q176" s="426"/>
      <c r="R176" s="426"/>
    </row>
    <row r="177" spans="3:6" x14ac:dyDescent="0.2">
      <c r="C177" s="333" t="s">
        <v>293</v>
      </c>
      <c r="F177" s="340"/>
    </row>
    <row r="178" spans="3:6" x14ac:dyDescent="0.2">
      <c r="C178" s="333" t="s">
        <v>294</v>
      </c>
      <c r="F178" s="340"/>
    </row>
  </sheetData>
  <sheetProtection selectLockedCells="1" selectUnlockedCells="1"/>
  <mergeCells count="1">
    <mergeCell ref="D92:E92"/>
  </mergeCells>
  <conditionalFormatting sqref="H141:Q141">
    <cfRule type="cellIs" dxfId="548" priority="1" stopIfTrue="1" operator="greaterThan">
      <formula>$E$141</formula>
    </cfRule>
    <cfRule type="cellIs" dxfId="547" priority="2" stopIfTrue="1" operator="lessThanOrEqual">
      <formula>$E$141</formula>
    </cfRule>
  </conditionalFormatting>
  <conditionalFormatting sqref="H143:Q143">
    <cfRule type="cellIs" dxfId="546" priority="3" stopIfTrue="1" operator="lessThanOrEqual">
      <formula>$E$143</formula>
    </cfRule>
    <cfRule type="cellIs" dxfId="545" priority="4" stopIfTrue="1" operator="greaterThan">
      <formula>$E$143</formula>
    </cfRule>
  </conditionalFormatting>
  <conditionalFormatting sqref="H121:Q121">
    <cfRule type="cellIs" dxfId="544" priority="5" stopIfTrue="1" operator="greaterThan">
      <formula>$E$121</formula>
    </cfRule>
    <cfRule type="cellIs" dxfId="543" priority="6" stopIfTrue="1" operator="lessThanOrEqual">
      <formula>$E$121</formula>
    </cfRule>
  </conditionalFormatting>
  <conditionalFormatting sqref="H124:Q124">
    <cfRule type="cellIs" dxfId="542" priority="7" stopIfTrue="1" operator="greaterThanOrEqual">
      <formula>$E$124</formula>
    </cfRule>
    <cfRule type="cellIs" dxfId="541" priority="8" stopIfTrue="1" operator="lessThan">
      <formula>$E$124</formula>
    </cfRule>
  </conditionalFormatting>
  <conditionalFormatting sqref="H126:Q126">
    <cfRule type="cellIs" dxfId="540" priority="9" stopIfTrue="1" operator="lessThan">
      <formula>$E$126</formula>
    </cfRule>
    <cfRule type="cellIs" dxfId="539" priority="10" stopIfTrue="1" operator="greaterThanOrEqual">
      <formula>$E$126</formula>
    </cfRule>
  </conditionalFormatting>
  <conditionalFormatting sqref="H125:Q125">
    <cfRule type="cellIs" dxfId="538" priority="11" stopIfTrue="1" operator="greaterThan">
      <formula>$E$125</formula>
    </cfRule>
    <cfRule type="cellIs" dxfId="537" priority="12" stopIfTrue="1" operator="lessThanOrEqual">
      <formula>$E$125</formula>
    </cfRule>
  </conditionalFormatting>
  <conditionalFormatting sqref="H122:Q122">
    <cfRule type="cellIs" dxfId="536" priority="13" stopIfTrue="1" operator="between">
      <formula>$D$122</formula>
      <formula>$E$122</formula>
    </cfRule>
    <cfRule type="cellIs" dxfId="535" priority="14" stopIfTrue="1" operator="lessThanOrEqual">
      <formula>$D$122</formula>
    </cfRule>
    <cfRule type="cellIs" dxfId="534" priority="15" stopIfTrue="1" operator="greaterThan">
      <formula>$E$122</formula>
    </cfRule>
  </conditionalFormatting>
  <conditionalFormatting sqref="H142:Q142">
    <cfRule type="cellIs" dxfId="533" priority="16" stopIfTrue="1" operator="greaterThan">
      <formula>$E$142</formula>
    </cfRule>
    <cfRule type="cellIs" dxfId="532" priority="17" stopIfTrue="1" operator="lessThanOrEqual">
      <formula>$E$142</formula>
    </cfRule>
  </conditionalFormatting>
  <conditionalFormatting sqref="H130:Q130">
    <cfRule type="cellIs" dxfId="531" priority="18" stopIfTrue="1" operator="greaterThan">
      <formula>$E$130</formula>
    </cfRule>
    <cfRule type="cellIs" dxfId="530" priority="19" stopIfTrue="1" operator="lessThanOrEqual">
      <formula>$E$130</formula>
    </cfRule>
  </conditionalFormatting>
  <conditionalFormatting sqref="H131:Q131">
    <cfRule type="cellIs" dxfId="529" priority="20" stopIfTrue="1" operator="lessThan">
      <formula>$E$131</formula>
    </cfRule>
    <cfRule type="cellIs" dxfId="528" priority="21" stopIfTrue="1" operator="greaterThanOrEqual">
      <formula>$E$131</formula>
    </cfRule>
  </conditionalFormatting>
  <conditionalFormatting sqref="H114:Q114">
    <cfRule type="cellIs" dxfId="527" priority="22" stopIfTrue="1" operator="lessThan">
      <formula>$D$114</formula>
    </cfRule>
    <cfRule type="cellIs" dxfId="526" priority="23" stopIfTrue="1" operator="between">
      <formula>$D$114</formula>
      <formula>$E$114</formula>
    </cfRule>
    <cfRule type="cellIs" dxfId="525" priority="24" stopIfTrue="1" operator="greaterThan">
      <formula>$E$114</formula>
    </cfRule>
  </conditionalFormatting>
  <conditionalFormatting sqref="H138:Q138">
    <cfRule type="cellIs" dxfId="524" priority="25" stopIfTrue="1" operator="lessThan">
      <formula>$E$138</formula>
    </cfRule>
    <cfRule type="cellIs" dxfId="523" priority="26" stopIfTrue="1" operator="between">
      <formula>$D$138</formula>
      <formula>$E$138</formula>
    </cfRule>
    <cfRule type="cellIs" dxfId="522" priority="27" stopIfTrue="1" operator="greaterThanOrEqual">
      <formula>$D$138</formula>
    </cfRule>
  </conditionalFormatting>
  <conditionalFormatting sqref="H111:Q111">
    <cfRule type="cellIs" dxfId="521" priority="28" stopIfTrue="1" operator="lessThan">
      <formula>$E$111</formula>
    </cfRule>
    <cfRule type="cellIs" dxfId="520" priority="29" stopIfTrue="1" operator="greaterThan">
      <formula>$E$111</formula>
    </cfRule>
  </conditionalFormatting>
  <conditionalFormatting sqref="R141:S141">
    <cfRule type="cellIs" dxfId="519" priority="30" stopIfTrue="1" operator="greaterThan">
      <formula>$E$141</formula>
    </cfRule>
    <cfRule type="cellIs" dxfId="518" priority="31" stopIfTrue="1" operator="lessThanOrEqual">
      <formula>$E$141</formula>
    </cfRule>
  </conditionalFormatting>
  <conditionalFormatting sqref="R143:S143">
    <cfRule type="cellIs" dxfId="517" priority="32" stopIfTrue="1" operator="lessThanOrEqual">
      <formula>$E$143</formula>
    </cfRule>
    <cfRule type="cellIs" dxfId="516" priority="33" stopIfTrue="1" operator="greaterThan">
      <formula>$E$143</formula>
    </cfRule>
  </conditionalFormatting>
  <conditionalFormatting sqref="R121:S121">
    <cfRule type="cellIs" dxfId="515" priority="34" stopIfTrue="1" operator="greaterThan">
      <formula>$E$121</formula>
    </cfRule>
    <cfRule type="cellIs" dxfId="514" priority="35" stopIfTrue="1" operator="lessThanOrEqual">
      <formula>$E$121</formula>
    </cfRule>
  </conditionalFormatting>
  <conditionalFormatting sqref="R124:S124">
    <cfRule type="cellIs" dxfId="513" priority="36" stopIfTrue="1" operator="greaterThanOrEqual">
      <formula>$E$124</formula>
    </cfRule>
    <cfRule type="cellIs" dxfId="512" priority="37" stopIfTrue="1" operator="lessThan">
      <formula>$E$124</formula>
    </cfRule>
  </conditionalFormatting>
  <conditionalFormatting sqref="R126:S126">
    <cfRule type="cellIs" dxfId="511" priority="38" stopIfTrue="1" operator="lessThan">
      <formula>$E$126</formula>
    </cfRule>
    <cfRule type="cellIs" dxfId="510" priority="39" stopIfTrue="1" operator="greaterThanOrEqual">
      <formula>$E$126</formula>
    </cfRule>
  </conditionalFormatting>
  <conditionalFormatting sqref="R125:S125">
    <cfRule type="cellIs" dxfId="509" priority="40" stopIfTrue="1" operator="greaterThan">
      <formula>$E$125</formula>
    </cfRule>
    <cfRule type="cellIs" dxfId="508" priority="41" stopIfTrue="1" operator="lessThanOrEqual">
      <formula>$E$125</formula>
    </cfRule>
  </conditionalFormatting>
  <conditionalFormatting sqref="R122:S122">
    <cfRule type="cellIs" dxfId="507" priority="42" stopIfTrue="1" operator="between">
      <formula>$D$122</formula>
      <formula>$E$122</formula>
    </cfRule>
    <cfRule type="cellIs" dxfId="506" priority="43" stopIfTrue="1" operator="lessThanOrEqual">
      <formula>$D$122</formula>
    </cfRule>
    <cfRule type="cellIs" dxfId="505" priority="44" stopIfTrue="1" operator="greaterThan">
      <formula>$E$122</formula>
    </cfRule>
  </conditionalFormatting>
  <conditionalFormatting sqref="R142:S142">
    <cfRule type="cellIs" dxfId="504" priority="45" stopIfTrue="1" operator="greaterThan">
      <formula>$E$142</formula>
    </cfRule>
    <cfRule type="cellIs" dxfId="503" priority="46" stopIfTrue="1" operator="lessThanOrEqual">
      <formula>$E$142</formula>
    </cfRule>
  </conditionalFormatting>
  <conditionalFormatting sqref="R130:S130">
    <cfRule type="cellIs" dxfId="502" priority="47" stopIfTrue="1" operator="greaterThan">
      <formula>$E$130</formula>
    </cfRule>
    <cfRule type="cellIs" dxfId="501" priority="48" stopIfTrue="1" operator="lessThanOrEqual">
      <formula>$E$130</formula>
    </cfRule>
  </conditionalFormatting>
  <conditionalFormatting sqref="R131:S131">
    <cfRule type="cellIs" dxfId="500" priority="49" stopIfTrue="1" operator="lessThan">
      <formula>$E$131</formula>
    </cfRule>
    <cfRule type="cellIs" dxfId="499" priority="50" stopIfTrue="1" operator="greaterThanOrEqual">
      <formula>$E$131</formula>
    </cfRule>
  </conditionalFormatting>
  <conditionalFormatting sqref="R114:S114">
    <cfRule type="cellIs" dxfId="498" priority="51" stopIfTrue="1" operator="lessThan">
      <formula>$D$114</formula>
    </cfRule>
    <cfRule type="cellIs" dxfId="497" priority="52" stopIfTrue="1" operator="between">
      <formula>$D$114</formula>
      <formula>$E$114</formula>
    </cfRule>
    <cfRule type="cellIs" dxfId="496" priority="53" stopIfTrue="1" operator="greaterThan">
      <formula>$E$114</formula>
    </cfRule>
  </conditionalFormatting>
  <conditionalFormatting sqref="R138:S138">
    <cfRule type="cellIs" dxfId="495" priority="54" stopIfTrue="1" operator="lessThan">
      <formula>$E$138</formula>
    </cfRule>
    <cfRule type="cellIs" dxfId="494" priority="55" stopIfTrue="1" operator="between">
      <formula>$D$138</formula>
      <formula>$E$138</formula>
    </cfRule>
    <cfRule type="cellIs" dxfId="493" priority="56" stopIfTrue="1" operator="greaterThanOrEqual">
      <formula>$D$138</formula>
    </cfRule>
  </conditionalFormatting>
  <conditionalFormatting sqref="R111:S111">
    <cfRule type="cellIs" dxfId="492" priority="57" stopIfTrue="1" operator="lessThan">
      <formula>$E$111</formula>
    </cfRule>
    <cfRule type="cellIs" dxfId="491" priority="58" stopIfTrue="1" operator="greaterThan">
      <formula>$E$111</formula>
    </cfRule>
  </conditionalFormatting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DE61CD-A93C-4F48-B4FD-409193DF9538}">
  <dimension ref="A1:U202"/>
  <sheetViews>
    <sheetView topLeftCell="E1" workbookViewId="0">
      <selection activeCell="G2" sqref="G2"/>
    </sheetView>
  </sheetViews>
  <sheetFormatPr defaultRowHeight="15" outlineLevelCol="1" x14ac:dyDescent="0.25"/>
  <cols>
    <col min="1" max="2" width="7.7109375" style="47" customWidth="1"/>
    <col min="3" max="3" width="9.140625" style="47"/>
    <col min="4" max="4" width="7.42578125" style="47" customWidth="1"/>
    <col min="5" max="5" width="5.140625" style="47" bestFit="1" customWidth="1"/>
    <col min="6" max="6" width="2" style="8" bestFit="1" customWidth="1"/>
    <col min="7" max="7" width="29" style="47" customWidth="1"/>
    <col min="8" max="12" width="7.85546875" style="47" hidden="1" customWidth="1" outlineLevel="1"/>
    <col min="13" max="13" width="8.7109375" style="47" bestFit="1" customWidth="1" collapsed="1"/>
    <col min="14" max="14" width="9.140625" style="47" customWidth="1"/>
    <col min="15" max="19" width="8.7109375" style="47" bestFit="1" customWidth="1"/>
    <col min="20" max="20" width="14.140625" style="47" customWidth="1"/>
    <col min="22" max="256" width="9.140625" style="47"/>
    <col min="257" max="258" width="7.7109375" style="47" customWidth="1"/>
    <col min="259" max="259" width="9.140625" style="47"/>
    <col min="260" max="260" width="7.42578125" style="47" customWidth="1"/>
    <col min="261" max="261" width="5.140625" style="47" bestFit="1" customWidth="1"/>
    <col min="262" max="262" width="2" style="47" bestFit="1" customWidth="1"/>
    <col min="263" max="263" width="29" style="47" customWidth="1"/>
    <col min="264" max="268" width="0" style="47" hidden="1" customWidth="1"/>
    <col min="269" max="269" width="8.7109375" style="47" bestFit="1" customWidth="1"/>
    <col min="270" max="270" width="9.140625" style="47"/>
    <col min="271" max="275" width="8.7109375" style="47" bestFit="1" customWidth="1"/>
    <col min="276" max="276" width="14.140625" style="47" customWidth="1"/>
    <col min="277" max="512" width="9.140625" style="47"/>
    <col min="513" max="514" width="7.7109375" style="47" customWidth="1"/>
    <col min="515" max="515" width="9.140625" style="47"/>
    <col min="516" max="516" width="7.42578125" style="47" customWidth="1"/>
    <col min="517" max="517" width="5.140625" style="47" bestFit="1" customWidth="1"/>
    <col min="518" max="518" width="2" style="47" bestFit="1" customWidth="1"/>
    <col min="519" max="519" width="29" style="47" customWidth="1"/>
    <col min="520" max="524" width="0" style="47" hidden="1" customWidth="1"/>
    <col min="525" max="525" width="8.7109375" style="47" bestFit="1" customWidth="1"/>
    <col min="526" max="526" width="9.140625" style="47"/>
    <col min="527" max="531" width="8.7109375" style="47" bestFit="1" customWidth="1"/>
    <col min="532" max="532" width="14.140625" style="47" customWidth="1"/>
    <col min="533" max="768" width="9.140625" style="47"/>
    <col min="769" max="770" width="7.7109375" style="47" customWidth="1"/>
    <col min="771" max="771" width="9.140625" style="47"/>
    <col min="772" max="772" width="7.42578125" style="47" customWidth="1"/>
    <col min="773" max="773" width="5.140625" style="47" bestFit="1" customWidth="1"/>
    <col min="774" max="774" width="2" style="47" bestFit="1" customWidth="1"/>
    <col min="775" max="775" width="29" style="47" customWidth="1"/>
    <col min="776" max="780" width="0" style="47" hidden="1" customWidth="1"/>
    <col min="781" max="781" width="8.7109375" style="47" bestFit="1" customWidth="1"/>
    <col min="782" max="782" width="9.140625" style="47"/>
    <col min="783" max="787" width="8.7109375" style="47" bestFit="1" customWidth="1"/>
    <col min="788" max="788" width="14.140625" style="47" customWidth="1"/>
    <col min="789" max="1024" width="9.140625" style="47"/>
    <col min="1025" max="1026" width="7.7109375" style="47" customWidth="1"/>
    <col min="1027" max="1027" width="9.140625" style="47"/>
    <col min="1028" max="1028" width="7.42578125" style="47" customWidth="1"/>
    <col min="1029" max="1029" width="5.140625" style="47" bestFit="1" customWidth="1"/>
    <col min="1030" max="1030" width="2" style="47" bestFit="1" customWidth="1"/>
    <col min="1031" max="1031" width="29" style="47" customWidth="1"/>
    <col min="1032" max="1036" width="0" style="47" hidden="1" customWidth="1"/>
    <col min="1037" max="1037" width="8.7109375" style="47" bestFit="1" customWidth="1"/>
    <col min="1038" max="1038" width="9.140625" style="47"/>
    <col min="1039" max="1043" width="8.7109375" style="47" bestFit="1" customWidth="1"/>
    <col min="1044" max="1044" width="14.140625" style="47" customWidth="1"/>
    <col min="1045" max="1280" width="9.140625" style="47"/>
    <col min="1281" max="1282" width="7.7109375" style="47" customWidth="1"/>
    <col min="1283" max="1283" width="9.140625" style="47"/>
    <col min="1284" max="1284" width="7.42578125" style="47" customWidth="1"/>
    <col min="1285" max="1285" width="5.140625" style="47" bestFit="1" customWidth="1"/>
    <col min="1286" max="1286" width="2" style="47" bestFit="1" customWidth="1"/>
    <col min="1287" max="1287" width="29" style="47" customWidth="1"/>
    <col min="1288" max="1292" width="0" style="47" hidden="1" customWidth="1"/>
    <col min="1293" max="1293" width="8.7109375" style="47" bestFit="1" customWidth="1"/>
    <col min="1294" max="1294" width="9.140625" style="47"/>
    <col min="1295" max="1299" width="8.7109375" style="47" bestFit="1" customWidth="1"/>
    <col min="1300" max="1300" width="14.140625" style="47" customWidth="1"/>
    <col min="1301" max="1536" width="9.140625" style="47"/>
    <col min="1537" max="1538" width="7.7109375" style="47" customWidth="1"/>
    <col min="1539" max="1539" width="9.140625" style="47"/>
    <col min="1540" max="1540" width="7.42578125" style="47" customWidth="1"/>
    <col min="1541" max="1541" width="5.140625" style="47" bestFit="1" customWidth="1"/>
    <col min="1542" max="1542" width="2" style="47" bestFit="1" customWidth="1"/>
    <col min="1543" max="1543" width="29" style="47" customWidth="1"/>
    <col min="1544" max="1548" width="0" style="47" hidden="1" customWidth="1"/>
    <col min="1549" max="1549" width="8.7109375" style="47" bestFit="1" customWidth="1"/>
    <col min="1550" max="1550" width="9.140625" style="47"/>
    <col min="1551" max="1555" width="8.7109375" style="47" bestFit="1" customWidth="1"/>
    <col min="1556" max="1556" width="14.140625" style="47" customWidth="1"/>
    <col min="1557" max="1792" width="9.140625" style="47"/>
    <col min="1793" max="1794" width="7.7109375" style="47" customWidth="1"/>
    <col min="1795" max="1795" width="9.140625" style="47"/>
    <col min="1796" max="1796" width="7.42578125" style="47" customWidth="1"/>
    <col min="1797" max="1797" width="5.140625" style="47" bestFit="1" customWidth="1"/>
    <col min="1798" max="1798" width="2" style="47" bestFit="1" customWidth="1"/>
    <col min="1799" max="1799" width="29" style="47" customWidth="1"/>
    <col min="1800" max="1804" width="0" style="47" hidden="1" customWidth="1"/>
    <col min="1805" max="1805" width="8.7109375" style="47" bestFit="1" customWidth="1"/>
    <col min="1806" max="1806" width="9.140625" style="47"/>
    <col min="1807" max="1811" width="8.7109375" style="47" bestFit="1" customWidth="1"/>
    <col min="1812" max="1812" width="14.140625" style="47" customWidth="1"/>
    <col min="1813" max="2048" width="9.140625" style="47"/>
    <col min="2049" max="2050" width="7.7109375" style="47" customWidth="1"/>
    <col min="2051" max="2051" width="9.140625" style="47"/>
    <col min="2052" max="2052" width="7.42578125" style="47" customWidth="1"/>
    <col min="2053" max="2053" width="5.140625" style="47" bestFit="1" customWidth="1"/>
    <col min="2054" max="2054" width="2" style="47" bestFit="1" customWidth="1"/>
    <col min="2055" max="2055" width="29" style="47" customWidth="1"/>
    <col min="2056" max="2060" width="0" style="47" hidden="1" customWidth="1"/>
    <col min="2061" max="2061" width="8.7109375" style="47" bestFit="1" customWidth="1"/>
    <col min="2062" max="2062" width="9.140625" style="47"/>
    <col min="2063" max="2067" width="8.7109375" style="47" bestFit="1" customWidth="1"/>
    <col min="2068" max="2068" width="14.140625" style="47" customWidth="1"/>
    <col min="2069" max="2304" width="9.140625" style="47"/>
    <col min="2305" max="2306" width="7.7109375" style="47" customWidth="1"/>
    <col min="2307" max="2307" width="9.140625" style="47"/>
    <col min="2308" max="2308" width="7.42578125" style="47" customWidth="1"/>
    <col min="2309" max="2309" width="5.140625" style="47" bestFit="1" customWidth="1"/>
    <col min="2310" max="2310" width="2" style="47" bestFit="1" customWidth="1"/>
    <col min="2311" max="2311" width="29" style="47" customWidth="1"/>
    <col min="2312" max="2316" width="0" style="47" hidden="1" customWidth="1"/>
    <col min="2317" max="2317" width="8.7109375" style="47" bestFit="1" customWidth="1"/>
    <col min="2318" max="2318" width="9.140625" style="47"/>
    <col min="2319" max="2323" width="8.7109375" style="47" bestFit="1" customWidth="1"/>
    <col min="2324" max="2324" width="14.140625" style="47" customWidth="1"/>
    <col min="2325" max="2560" width="9.140625" style="47"/>
    <col min="2561" max="2562" width="7.7109375" style="47" customWidth="1"/>
    <col min="2563" max="2563" width="9.140625" style="47"/>
    <col min="2564" max="2564" width="7.42578125" style="47" customWidth="1"/>
    <col min="2565" max="2565" width="5.140625" style="47" bestFit="1" customWidth="1"/>
    <col min="2566" max="2566" width="2" style="47" bestFit="1" customWidth="1"/>
    <col min="2567" max="2567" width="29" style="47" customWidth="1"/>
    <col min="2568" max="2572" width="0" style="47" hidden="1" customWidth="1"/>
    <col min="2573" max="2573" width="8.7109375" style="47" bestFit="1" customWidth="1"/>
    <col min="2574" max="2574" width="9.140625" style="47"/>
    <col min="2575" max="2579" width="8.7109375" style="47" bestFit="1" customWidth="1"/>
    <col min="2580" max="2580" width="14.140625" style="47" customWidth="1"/>
    <col min="2581" max="2816" width="9.140625" style="47"/>
    <col min="2817" max="2818" width="7.7109375" style="47" customWidth="1"/>
    <col min="2819" max="2819" width="9.140625" style="47"/>
    <col min="2820" max="2820" width="7.42578125" style="47" customWidth="1"/>
    <col min="2821" max="2821" width="5.140625" style="47" bestFit="1" customWidth="1"/>
    <col min="2822" max="2822" width="2" style="47" bestFit="1" customWidth="1"/>
    <col min="2823" max="2823" width="29" style="47" customWidth="1"/>
    <col min="2824" max="2828" width="0" style="47" hidden="1" customWidth="1"/>
    <col min="2829" max="2829" width="8.7109375" style="47" bestFit="1" customWidth="1"/>
    <col min="2830" max="2830" width="9.140625" style="47"/>
    <col min="2831" max="2835" width="8.7109375" style="47" bestFit="1" customWidth="1"/>
    <col min="2836" max="2836" width="14.140625" style="47" customWidth="1"/>
    <col min="2837" max="3072" width="9.140625" style="47"/>
    <col min="3073" max="3074" width="7.7109375" style="47" customWidth="1"/>
    <col min="3075" max="3075" width="9.140625" style="47"/>
    <col min="3076" max="3076" width="7.42578125" style="47" customWidth="1"/>
    <col min="3077" max="3077" width="5.140625" style="47" bestFit="1" customWidth="1"/>
    <col min="3078" max="3078" width="2" style="47" bestFit="1" customWidth="1"/>
    <col min="3079" max="3079" width="29" style="47" customWidth="1"/>
    <col min="3080" max="3084" width="0" style="47" hidden="1" customWidth="1"/>
    <col min="3085" max="3085" width="8.7109375" style="47" bestFit="1" customWidth="1"/>
    <col min="3086" max="3086" width="9.140625" style="47"/>
    <col min="3087" max="3091" width="8.7109375" style="47" bestFit="1" customWidth="1"/>
    <col min="3092" max="3092" width="14.140625" style="47" customWidth="1"/>
    <col min="3093" max="3328" width="9.140625" style="47"/>
    <col min="3329" max="3330" width="7.7109375" style="47" customWidth="1"/>
    <col min="3331" max="3331" width="9.140625" style="47"/>
    <col min="3332" max="3332" width="7.42578125" style="47" customWidth="1"/>
    <col min="3333" max="3333" width="5.140625" style="47" bestFit="1" customWidth="1"/>
    <col min="3334" max="3334" width="2" style="47" bestFit="1" customWidth="1"/>
    <col min="3335" max="3335" width="29" style="47" customWidth="1"/>
    <col min="3336" max="3340" width="0" style="47" hidden="1" customWidth="1"/>
    <col min="3341" max="3341" width="8.7109375" style="47" bestFit="1" customWidth="1"/>
    <col min="3342" max="3342" width="9.140625" style="47"/>
    <col min="3343" max="3347" width="8.7109375" style="47" bestFit="1" customWidth="1"/>
    <col min="3348" max="3348" width="14.140625" style="47" customWidth="1"/>
    <col min="3349" max="3584" width="9.140625" style="47"/>
    <col min="3585" max="3586" width="7.7109375" style="47" customWidth="1"/>
    <col min="3587" max="3587" width="9.140625" style="47"/>
    <col min="3588" max="3588" width="7.42578125" style="47" customWidth="1"/>
    <col min="3589" max="3589" width="5.140625" style="47" bestFit="1" customWidth="1"/>
    <col min="3590" max="3590" width="2" style="47" bestFit="1" customWidth="1"/>
    <col min="3591" max="3591" width="29" style="47" customWidth="1"/>
    <col min="3592" max="3596" width="0" style="47" hidden="1" customWidth="1"/>
    <col min="3597" max="3597" width="8.7109375" style="47" bestFit="1" customWidth="1"/>
    <col min="3598" max="3598" width="9.140625" style="47"/>
    <col min="3599" max="3603" width="8.7109375" style="47" bestFit="1" customWidth="1"/>
    <col min="3604" max="3604" width="14.140625" style="47" customWidth="1"/>
    <col min="3605" max="3840" width="9.140625" style="47"/>
    <col min="3841" max="3842" width="7.7109375" style="47" customWidth="1"/>
    <col min="3843" max="3843" width="9.140625" style="47"/>
    <col min="3844" max="3844" width="7.42578125" style="47" customWidth="1"/>
    <col min="3845" max="3845" width="5.140625" style="47" bestFit="1" customWidth="1"/>
    <col min="3846" max="3846" width="2" style="47" bestFit="1" customWidth="1"/>
    <col min="3847" max="3847" width="29" style="47" customWidth="1"/>
    <col min="3848" max="3852" width="0" style="47" hidden="1" customWidth="1"/>
    <col min="3853" max="3853" width="8.7109375" style="47" bestFit="1" customWidth="1"/>
    <col min="3854" max="3854" width="9.140625" style="47"/>
    <col min="3855" max="3859" width="8.7109375" style="47" bestFit="1" customWidth="1"/>
    <col min="3860" max="3860" width="14.140625" style="47" customWidth="1"/>
    <col min="3861" max="4096" width="9.140625" style="47"/>
    <col min="4097" max="4098" width="7.7109375" style="47" customWidth="1"/>
    <col min="4099" max="4099" width="9.140625" style="47"/>
    <col min="4100" max="4100" width="7.42578125" style="47" customWidth="1"/>
    <col min="4101" max="4101" width="5.140625" style="47" bestFit="1" customWidth="1"/>
    <col min="4102" max="4102" width="2" style="47" bestFit="1" customWidth="1"/>
    <col min="4103" max="4103" width="29" style="47" customWidth="1"/>
    <col min="4104" max="4108" width="0" style="47" hidden="1" customWidth="1"/>
    <col min="4109" max="4109" width="8.7109375" style="47" bestFit="1" customWidth="1"/>
    <col min="4110" max="4110" width="9.140625" style="47"/>
    <col min="4111" max="4115" width="8.7109375" style="47" bestFit="1" customWidth="1"/>
    <col min="4116" max="4116" width="14.140625" style="47" customWidth="1"/>
    <col min="4117" max="4352" width="9.140625" style="47"/>
    <col min="4353" max="4354" width="7.7109375" style="47" customWidth="1"/>
    <col min="4355" max="4355" width="9.140625" style="47"/>
    <col min="4356" max="4356" width="7.42578125" style="47" customWidth="1"/>
    <col min="4357" max="4357" width="5.140625" style="47" bestFit="1" customWidth="1"/>
    <col min="4358" max="4358" width="2" style="47" bestFit="1" customWidth="1"/>
    <col min="4359" max="4359" width="29" style="47" customWidth="1"/>
    <col min="4360" max="4364" width="0" style="47" hidden="1" customWidth="1"/>
    <col min="4365" max="4365" width="8.7109375" style="47" bestFit="1" customWidth="1"/>
    <col min="4366" max="4366" width="9.140625" style="47"/>
    <col min="4367" max="4371" width="8.7109375" style="47" bestFit="1" customWidth="1"/>
    <col min="4372" max="4372" width="14.140625" style="47" customWidth="1"/>
    <col min="4373" max="4608" width="9.140625" style="47"/>
    <col min="4609" max="4610" width="7.7109375" style="47" customWidth="1"/>
    <col min="4611" max="4611" width="9.140625" style="47"/>
    <col min="4612" max="4612" width="7.42578125" style="47" customWidth="1"/>
    <col min="4613" max="4613" width="5.140625" style="47" bestFit="1" customWidth="1"/>
    <col min="4614" max="4614" width="2" style="47" bestFit="1" customWidth="1"/>
    <col min="4615" max="4615" width="29" style="47" customWidth="1"/>
    <col min="4616" max="4620" width="0" style="47" hidden="1" customWidth="1"/>
    <col min="4621" max="4621" width="8.7109375" style="47" bestFit="1" customWidth="1"/>
    <col min="4622" max="4622" width="9.140625" style="47"/>
    <col min="4623" max="4627" width="8.7109375" style="47" bestFit="1" customWidth="1"/>
    <col min="4628" max="4628" width="14.140625" style="47" customWidth="1"/>
    <col min="4629" max="4864" width="9.140625" style="47"/>
    <col min="4865" max="4866" width="7.7109375" style="47" customWidth="1"/>
    <col min="4867" max="4867" width="9.140625" style="47"/>
    <col min="4868" max="4868" width="7.42578125" style="47" customWidth="1"/>
    <col min="4869" max="4869" width="5.140625" style="47" bestFit="1" customWidth="1"/>
    <col min="4870" max="4870" width="2" style="47" bestFit="1" customWidth="1"/>
    <col min="4871" max="4871" width="29" style="47" customWidth="1"/>
    <col min="4872" max="4876" width="0" style="47" hidden="1" customWidth="1"/>
    <col min="4877" max="4877" width="8.7109375" style="47" bestFit="1" customWidth="1"/>
    <col min="4878" max="4878" width="9.140625" style="47"/>
    <col min="4879" max="4883" width="8.7109375" style="47" bestFit="1" customWidth="1"/>
    <col min="4884" max="4884" width="14.140625" style="47" customWidth="1"/>
    <col min="4885" max="5120" width="9.140625" style="47"/>
    <col min="5121" max="5122" width="7.7109375" style="47" customWidth="1"/>
    <col min="5123" max="5123" width="9.140625" style="47"/>
    <col min="5124" max="5124" width="7.42578125" style="47" customWidth="1"/>
    <col min="5125" max="5125" width="5.140625" style="47" bestFit="1" customWidth="1"/>
    <col min="5126" max="5126" width="2" style="47" bestFit="1" customWidth="1"/>
    <col min="5127" max="5127" width="29" style="47" customWidth="1"/>
    <col min="5128" max="5132" width="0" style="47" hidden="1" customWidth="1"/>
    <col min="5133" max="5133" width="8.7109375" style="47" bestFit="1" customWidth="1"/>
    <col min="5134" max="5134" width="9.140625" style="47"/>
    <col min="5135" max="5139" width="8.7109375" style="47" bestFit="1" customWidth="1"/>
    <col min="5140" max="5140" width="14.140625" style="47" customWidth="1"/>
    <col min="5141" max="5376" width="9.140625" style="47"/>
    <col min="5377" max="5378" width="7.7109375" style="47" customWidth="1"/>
    <col min="5379" max="5379" width="9.140625" style="47"/>
    <col min="5380" max="5380" width="7.42578125" style="47" customWidth="1"/>
    <col min="5381" max="5381" width="5.140625" style="47" bestFit="1" customWidth="1"/>
    <col min="5382" max="5382" width="2" style="47" bestFit="1" customWidth="1"/>
    <col min="5383" max="5383" width="29" style="47" customWidth="1"/>
    <col min="5384" max="5388" width="0" style="47" hidden="1" customWidth="1"/>
    <col min="5389" max="5389" width="8.7109375" style="47" bestFit="1" customWidth="1"/>
    <col min="5390" max="5390" width="9.140625" style="47"/>
    <col min="5391" max="5395" width="8.7109375" style="47" bestFit="1" customWidth="1"/>
    <col min="5396" max="5396" width="14.140625" style="47" customWidth="1"/>
    <col min="5397" max="5632" width="9.140625" style="47"/>
    <col min="5633" max="5634" width="7.7109375" style="47" customWidth="1"/>
    <col min="5635" max="5635" width="9.140625" style="47"/>
    <col min="5636" max="5636" width="7.42578125" style="47" customWidth="1"/>
    <col min="5637" max="5637" width="5.140625" style="47" bestFit="1" customWidth="1"/>
    <col min="5638" max="5638" width="2" style="47" bestFit="1" customWidth="1"/>
    <col min="5639" max="5639" width="29" style="47" customWidth="1"/>
    <col min="5640" max="5644" width="0" style="47" hidden="1" customWidth="1"/>
    <col min="5645" max="5645" width="8.7109375" style="47" bestFit="1" customWidth="1"/>
    <col min="5646" max="5646" width="9.140625" style="47"/>
    <col min="5647" max="5651" width="8.7109375" style="47" bestFit="1" customWidth="1"/>
    <col min="5652" max="5652" width="14.140625" style="47" customWidth="1"/>
    <col min="5653" max="5888" width="9.140625" style="47"/>
    <col min="5889" max="5890" width="7.7109375" style="47" customWidth="1"/>
    <col min="5891" max="5891" width="9.140625" style="47"/>
    <col min="5892" max="5892" width="7.42578125" style="47" customWidth="1"/>
    <col min="5893" max="5893" width="5.140625" style="47" bestFit="1" customWidth="1"/>
    <col min="5894" max="5894" width="2" style="47" bestFit="1" customWidth="1"/>
    <col min="5895" max="5895" width="29" style="47" customWidth="1"/>
    <col min="5896" max="5900" width="0" style="47" hidden="1" customWidth="1"/>
    <col min="5901" max="5901" width="8.7109375" style="47" bestFit="1" customWidth="1"/>
    <col min="5902" max="5902" width="9.140625" style="47"/>
    <col min="5903" max="5907" width="8.7109375" style="47" bestFit="1" customWidth="1"/>
    <col min="5908" max="5908" width="14.140625" style="47" customWidth="1"/>
    <col min="5909" max="6144" width="9.140625" style="47"/>
    <col min="6145" max="6146" width="7.7109375" style="47" customWidth="1"/>
    <col min="6147" max="6147" width="9.140625" style="47"/>
    <col min="6148" max="6148" width="7.42578125" style="47" customWidth="1"/>
    <col min="6149" max="6149" width="5.140625" style="47" bestFit="1" customWidth="1"/>
    <col min="6150" max="6150" width="2" style="47" bestFit="1" customWidth="1"/>
    <col min="6151" max="6151" width="29" style="47" customWidth="1"/>
    <col min="6152" max="6156" width="0" style="47" hidden="1" customWidth="1"/>
    <col min="6157" max="6157" width="8.7109375" style="47" bestFit="1" customWidth="1"/>
    <col min="6158" max="6158" width="9.140625" style="47"/>
    <col min="6159" max="6163" width="8.7109375" style="47" bestFit="1" customWidth="1"/>
    <col min="6164" max="6164" width="14.140625" style="47" customWidth="1"/>
    <col min="6165" max="6400" width="9.140625" style="47"/>
    <col min="6401" max="6402" width="7.7109375" style="47" customWidth="1"/>
    <col min="6403" max="6403" width="9.140625" style="47"/>
    <col min="6404" max="6404" width="7.42578125" style="47" customWidth="1"/>
    <col min="6405" max="6405" width="5.140625" style="47" bestFit="1" customWidth="1"/>
    <col min="6406" max="6406" width="2" style="47" bestFit="1" customWidth="1"/>
    <col min="6407" max="6407" width="29" style="47" customWidth="1"/>
    <col min="6408" max="6412" width="0" style="47" hidden="1" customWidth="1"/>
    <col min="6413" max="6413" width="8.7109375" style="47" bestFit="1" customWidth="1"/>
    <col min="6414" max="6414" width="9.140625" style="47"/>
    <col min="6415" max="6419" width="8.7109375" style="47" bestFit="1" customWidth="1"/>
    <col min="6420" max="6420" width="14.140625" style="47" customWidth="1"/>
    <col min="6421" max="6656" width="9.140625" style="47"/>
    <col min="6657" max="6658" width="7.7109375" style="47" customWidth="1"/>
    <col min="6659" max="6659" width="9.140625" style="47"/>
    <col min="6660" max="6660" width="7.42578125" style="47" customWidth="1"/>
    <col min="6661" max="6661" width="5.140625" style="47" bestFit="1" customWidth="1"/>
    <col min="6662" max="6662" width="2" style="47" bestFit="1" customWidth="1"/>
    <col min="6663" max="6663" width="29" style="47" customWidth="1"/>
    <col min="6664" max="6668" width="0" style="47" hidden="1" customWidth="1"/>
    <col min="6669" max="6669" width="8.7109375" style="47" bestFit="1" customWidth="1"/>
    <col min="6670" max="6670" width="9.140625" style="47"/>
    <col min="6671" max="6675" width="8.7109375" style="47" bestFit="1" customWidth="1"/>
    <col min="6676" max="6676" width="14.140625" style="47" customWidth="1"/>
    <col min="6677" max="6912" width="9.140625" style="47"/>
    <col min="6913" max="6914" width="7.7109375" style="47" customWidth="1"/>
    <col min="6915" max="6915" width="9.140625" style="47"/>
    <col min="6916" max="6916" width="7.42578125" style="47" customWidth="1"/>
    <col min="6917" max="6917" width="5.140625" style="47" bestFit="1" customWidth="1"/>
    <col min="6918" max="6918" width="2" style="47" bestFit="1" customWidth="1"/>
    <col min="6919" max="6919" width="29" style="47" customWidth="1"/>
    <col min="6920" max="6924" width="0" style="47" hidden="1" customWidth="1"/>
    <col min="6925" max="6925" width="8.7109375" style="47" bestFit="1" customWidth="1"/>
    <col min="6926" max="6926" width="9.140625" style="47"/>
    <col min="6927" max="6931" width="8.7109375" style="47" bestFit="1" customWidth="1"/>
    <col min="6932" max="6932" width="14.140625" style="47" customWidth="1"/>
    <col min="6933" max="7168" width="9.140625" style="47"/>
    <col min="7169" max="7170" width="7.7109375" style="47" customWidth="1"/>
    <col min="7171" max="7171" width="9.140625" style="47"/>
    <col min="7172" max="7172" width="7.42578125" style="47" customWidth="1"/>
    <col min="7173" max="7173" width="5.140625" style="47" bestFit="1" customWidth="1"/>
    <col min="7174" max="7174" width="2" style="47" bestFit="1" customWidth="1"/>
    <col min="7175" max="7175" width="29" style="47" customWidth="1"/>
    <col min="7176" max="7180" width="0" style="47" hidden="1" customWidth="1"/>
    <col min="7181" max="7181" width="8.7109375" style="47" bestFit="1" customWidth="1"/>
    <col min="7182" max="7182" width="9.140625" style="47"/>
    <col min="7183" max="7187" width="8.7109375" style="47" bestFit="1" customWidth="1"/>
    <col min="7188" max="7188" width="14.140625" style="47" customWidth="1"/>
    <col min="7189" max="7424" width="9.140625" style="47"/>
    <col min="7425" max="7426" width="7.7109375" style="47" customWidth="1"/>
    <col min="7427" max="7427" width="9.140625" style="47"/>
    <col min="7428" max="7428" width="7.42578125" style="47" customWidth="1"/>
    <col min="7429" max="7429" width="5.140625" style="47" bestFit="1" customWidth="1"/>
    <col min="7430" max="7430" width="2" style="47" bestFit="1" customWidth="1"/>
    <col min="7431" max="7431" width="29" style="47" customWidth="1"/>
    <col min="7432" max="7436" width="0" style="47" hidden="1" customWidth="1"/>
    <col min="7437" max="7437" width="8.7109375" style="47" bestFit="1" customWidth="1"/>
    <col min="7438" max="7438" width="9.140625" style="47"/>
    <col min="7439" max="7443" width="8.7109375" style="47" bestFit="1" customWidth="1"/>
    <col min="7444" max="7444" width="14.140625" style="47" customWidth="1"/>
    <col min="7445" max="7680" width="9.140625" style="47"/>
    <col min="7681" max="7682" width="7.7109375" style="47" customWidth="1"/>
    <col min="7683" max="7683" width="9.140625" style="47"/>
    <col min="7684" max="7684" width="7.42578125" style="47" customWidth="1"/>
    <col min="7685" max="7685" width="5.140625" style="47" bestFit="1" customWidth="1"/>
    <col min="7686" max="7686" width="2" style="47" bestFit="1" customWidth="1"/>
    <col min="7687" max="7687" width="29" style="47" customWidth="1"/>
    <col min="7688" max="7692" width="0" style="47" hidden="1" customWidth="1"/>
    <col min="7693" max="7693" width="8.7109375" style="47" bestFit="1" customWidth="1"/>
    <col min="7694" max="7694" width="9.140625" style="47"/>
    <col min="7695" max="7699" width="8.7109375" style="47" bestFit="1" customWidth="1"/>
    <col min="7700" max="7700" width="14.140625" style="47" customWidth="1"/>
    <col min="7701" max="7936" width="9.140625" style="47"/>
    <col min="7937" max="7938" width="7.7109375" style="47" customWidth="1"/>
    <col min="7939" max="7939" width="9.140625" style="47"/>
    <col min="7940" max="7940" width="7.42578125" style="47" customWidth="1"/>
    <col min="7941" max="7941" width="5.140625" style="47" bestFit="1" customWidth="1"/>
    <col min="7942" max="7942" width="2" style="47" bestFit="1" customWidth="1"/>
    <col min="7943" max="7943" width="29" style="47" customWidth="1"/>
    <col min="7944" max="7948" width="0" style="47" hidden="1" customWidth="1"/>
    <col min="7949" max="7949" width="8.7109375" style="47" bestFit="1" customWidth="1"/>
    <col min="7950" max="7950" width="9.140625" style="47"/>
    <col min="7951" max="7955" width="8.7109375" style="47" bestFit="1" customWidth="1"/>
    <col min="7956" max="7956" width="14.140625" style="47" customWidth="1"/>
    <col min="7957" max="8192" width="9.140625" style="47"/>
    <col min="8193" max="8194" width="7.7109375" style="47" customWidth="1"/>
    <col min="8195" max="8195" width="9.140625" style="47"/>
    <col min="8196" max="8196" width="7.42578125" style="47" customWidth="1"/>
    <col min="8197" max="8197" width="5.140625" style="47" bestFit="1" customWidth="1"/>
    <col min="8198" max="8198" width="2" style="47" bestFit="1" customWidth="1"/>
    <col min="8199" max="8199" width="29" style="47" customWidth="1"/>
    <col min="8200" max="8204" width="0" style="47" hidden="1" customWidth="1"/>
    <col min="8205" max="8205" width="8.7109375" style="47" bestFit="1" customWidth="1"/>
    <col min="8206" max="8206" width="9.140625" style="47"/>
    <col min="8207" max="8211" width="8.7109375" style="47" bestFit="1" customWidth="1"/>
    <col min="8212" max="8212" width="14.140625" style="47" customWidth="1"/>
    <col min="8213" max="8448" width="9.140625" style="47"/>
    <col min="8449" max="8450" width="7.7109375" style="47" customWidth="1"/>
    <col min="8451" max="8451" width="9.140625" style="47"/>
    <col min="8452" max="8452" width="7.42578125" style="47" customWidth="1"/>
    <col min="8453" max="8453" width="5.140625" style="47" bestFit="1" customWidth="1"/>
    <col min="8454" max="8454" width="2" style="47" bestFit="1" customWidth="1"/>
    <col min="8455" max="8455" width="29" style="47" customWidth="1"/>
    <col min="8456" max="8460" width="0" style="47" hidden="1" customWidth="1"/>
    <col min="8461" max="8461" width="8.7109375" style="47" bestFit="1" customWidth="1"/>
    <col min="8462" max="8462" width="9.140625" style="47"/>
    <col min="8463" max="8467" width="8.7109375" style="47" bestFit="1" customWidth="1"/>
    <col min="8468" max="8468" width="14.140625" style="47" customWidth="1"/>
    <col min="8469" max="8704" width="9.140625" style="47"/>
    <col min="8705" max="8706" width="7.7109375" style="47" customWidth="1"/>
    <col min="8707" max="8707" width="9.140625" style="47"/>
    <col min="8708" max="8708" width="7.42578125" style="47" customWidth="1"/>
    <col min="8709" max="8709" width="5.140625" style="47" bestFit="1" customWidth="1"/>
    <col min="8710" max="8710" width="2" style="47" bestFit="1" customWidth="1"/>
    <col min="8711" max="8711" width="29" style="47" customWidth="1"/>
    <col min="8712" max="8716" width="0" style="47" hidden="1" customWidth="1"/>
    <col min="8717" max="8717" width="8.7109375" style="47" bestFit="1" customWidth="1"/>
    <col min="8718" max="8718" width="9.140625" style="47"/>
    <col min="8719" max="8723" width="8.7109375" style="47" bestFit="1" customWidth="1"/>
    <col min="8724" max="8724" width="14.140625" style="47" customWidth="1"/>
    <col min="8725" max="8960" width="9.140625" style="47"/>
    <col min="8961" max="8962" width="7.7109375" style="47" customWidth="1"/>
    <col min="8963" max="8963" width="9.140625" style="47"/>
    <col min="8964" max="8964" width="7.42578125" style="47" customWidth="1"/>
    <col min="8965" max="8965" width="5.140625" style="47" bestFit="1" customWidth="1"/>
    <col min="8966" max="8966" width="2" style="47" bestFit="1" customWidth="1"/>
    <col min="8967" max="8967" width="29" style="47" customWidth="1"/>
    <col min="8968" max="8972" width="0" style="47" hidden="1" customWidth="1"/>
    <col min="8973" max="8973" width="8.7109375" style="47" bestFit="1" customWidth="1"/>
    <col min="8974" max="8974" width="9.140625" style="47"/>
    <col min="8975" max="8979" width="8.7109375" style="47" bestFit="1" customWidth="1"/>
    <col min="8980" max="8980" width="14.140625" style="47" customWidth="1"/>
    <col min="8981" max="9216" width="9.140625" style="47"/>
    <col min="9217" max="9218" width="7.7109375" style="47" customWidth="1"/>
    <col min="9219" max="9219" width="9.140625" style="47"/>
    <col min="9220" max="9220" width="7.42578125" style="47" customWidth="1"/>
    <col min="9221" max="9221" width="5.140625" style="47" bestFit="1" customWidth="1"/>
    <col min="9222" max="9222" width="2" style="47" bestFit="1" customWidth="1"/>
    <col min="9223" max="9223" width="29" style="47" customWidth="1"/>
    <col min="9224" max="9228" width="0" style="47" hidden="1" customWidth="1"/>
    <col min="9229" max="9229" width="8.7109375" style="47" bestFit="1" customWidth="1"/>
    <col min="9230" max="9230" width="9.140625" style="47"/>
    <col min="9231" max="9235" width="8.7109375" style="47" bestFit="1" customWidth="1"/>
    <col min="9236" max="9236" width="14.140625" style="47" customWidth="1"/>
    <col min="9237" max="9472" width="9.140625" style="47"/>
    <col min="9473" max="9474" width="7.7109375" style="47" customWidth="1"/>
    <col min="9475" max="9475" width="9.140625" style="47"/>
    <col min="9476" max="9476" width="7.42578125" style="47" customWidth="1"/>
    <col min="9477" max="9477" width="5.140625" style="47" bestFit="1" customWidth="1"/>
    <col min="9478" max="9478" width="2" style="47" bestFit="1" customWidth="1"/>
    <col min="9479" max="9479" width="29" style="47" customWidth="1"/>
    <col min="9480" max="9484" width="0" style="47" hidden="1" customWidth="1"/>
    <col min="9485" max="9485" width="8.7109375" style="47" bestFit="1" customWidth="1"/>
    <col min="9486" max="9486" width="9.140625" style="47"/>
    <col min="9487" max="9491" width="8.7109375" style="47" bestFit="1" customWidth="1"/>
    <col min="9492" max="9492" width="14.140625" style="47" customWidth="1"/>
    <col min="9493" max="9728" width="9.140625" style="47"/>
    <col min="9729" max="9730" width="7.7109375" style="47" customWidth="1"/>
    <col min="9731" max="9731" width="9.140625" style="47"/>
    <col min="9732" max="9732" width="7.42578125" style="47" customWidth="1"/>
    <col min="9733" max="9733" width="5.140625" style="47" bestFit="1" customWidth="1"/>
    <col min="9734" max="9734" width="2" style="47" bestFit="1" customWidth="1"/>
    <col min="9735" max="9735" width="29" style="47" customWidth="1"/>
    <col min="9736" max="9740" width="0" style="47" hidden="1" customWidth="1"/>
    <col min="9741" max="9741" width="8.7109375" style="47" bestFit="1" customWidth="1"/>
    <col min="9742" max="9742" width="9.140625" style="47"/>
    <col min="9743" max="9747" width="8.7109375" style="47" bestFit="1" customWidth="1"/>
    <col min="9748" max="9748" width="14.140625" style="47" customWidth="1"/>
    <col min="9749" max="9984" width="9.140625" style="47"/>
    <col min="9985" max="9986" width="7.7109375" style="47" customWidth="1"/>
    <col min="9987" max="9987" width="9.140625" style="47"/>
    <col min="9988" max="9988" width="7.42578125" style="47" customWidth="1"/>
    <col min="9989" max="9989" width="5.140625" style="47" bestFit="1" customWidth="1"/>
    <col min="9990" max="9990" width="2" style="47" bestFit="1" customWidth="1"/>
    <col min="9991" max="9991" width="29" style="47" customWidth="1"/>
    <col min="9992" max="9996" width="0" style="47" hidden="1" customWidth="1"/>
    <col min="9997" max="9997" width="8.7109375" style="47" bestFit="1" customWidth="1"/>
    <col min="9998" max="9998" width="9.140625" style="47"/>
    <col min="9999" max="10003" width="8.7109375" style="47" bestFit="1" customWidth="1"/>
    <col min="10004" max="10004" width="14.140625" style="47" customWidth="1"/>
    <col min="10005" max="10240" width="9.140625" style="47"/>
    <col min="10241" max="10242" width="7.7109375" style="47" customWidth="1"/>
    <col min="10243" max="10243" width="9.140625" style="47"/>
    <col min="10244" max="10244" width="7.42578125" style="47" customWidth="1"/>
    <col min="10245" max="10245" width="5.140625" style="47" bestFit="1" customWidth="1"/>
    <col min="10246" max="10246" width="2" style="47" bestFit="1" customWidth="1"/>
    <col min="10247" max="10247" width="29" style="47" customWidth="1"/>
    <col min="10248" max="10252" width="0" style="47" hidden="1" customWidth="1"/>
    <col min="10253" max="10253" width="8.7109375" style="47" bestFit="1" customWidth="1"/>
    <col min="10254" max="10254" width="9.140625" style="47"/>
    <col min="10255" max="10259" width="8.7109375" style="47" bestFit="1" customWidth="1"/>
    <col min="10260" max="10260" width="14.140625" style="47" customWidth="1"/>
    <col min="10261" max="10496" width="9.140625" style="47"/>
    <col min="10497" max="10498" width="7.7109375" style="47" customWidth="1"/>
    <col min="10499" max="10499" width="9.140625" style="47"/>
    <col min="10500" max="10500" width="7.42578125" style="47" customWidth="1"/>
    <col min="10501" max="10501" width="5.140625" style="47" bestFit="1" customWidth="1"/>
    <col min="10502" max="10502" width="2" style="47" bestFit="1" customWidth="1"/>
    <col min="10503" max="10503" width="29" style="47" customWidth="1"/>
    <col min="10504" max="10508" width="0" style="47" hidden="1" customWidth="1"/>
    <col min="10509" max="10509" width="8.7109375" style="47" bestFit="1" customWidth="1"/>
    <col min="10510" max="10510" width="9.140625" style="47"/>
    <col min="10511" max="10515" width="8.7109375" style="47" bestFit="1" customWidth="1"/>
    <col min="10516" max="10516" width="14.140625" style="47" customWidth="1"/>
    <col min="10517" max="10752" width="9.140625" style="47"/>
    <col min="10753" max="10754" width="7.7109375" style="47" customWidth="1"/>
    <col min="10755" max="10755" width="9.140625" style="47"/>
    <col min="10756" max="10756" width="7.42578125" style="47" customWidth="1"/>
    <col min="10757" max="10757" width="5.140625" style="47" bestFit="1" customWidth="1"/>
    <col min="10758" max="10758" width="2" style="47" bestFit="1" customWidth="1"/>
    <col min="10759" max="10759" width="29" style="47" customWidth="1"/>
    <col min="10760" max="10764" width="0" style="47" hidden="1" customWidth="1"/>
    <col min="10765" max="10765" width="8.7109375" style="47" bestFit="1" customWidth="1"/>
    <col min="10766" max="10766" width="9.140625" style="47"/>
    <col min="10767" max="10771" width="8.7109375" style="47" bestFit="1" customWidth="1"/>
    <col min="10772" max="10772" width="14.140625" style="47" customWidth="1"/>
    <col min="10773" max="11008" width="9.140625" style="47"/>
    <col min="11009" max="11010" width="7.7109375" style="47" customWidth="1"/>
    <col min="11011" max="11011" width="9.140625" style="47"/>
    <col min="11012" max="11012" width="7.42578125" style="47" customWidth="1"/>
    <col min="11013" max="11013" width="5.140625" style="47" bestFit="1" customWidth="1"/>
    <col min="11014" max="11014" width="2" style="47" bestFit="1" customWidth="1"/>
    <col min="11015" max="11015" width="29" style="47" customWidth="1"/>
    <col min="11016" max="11020" width="0" style="47" hidden="1" customWidth="1"/>
    <col min="11021" max="11021" width="8.7109375" style="47" bestFit="1" customWidth="1"/>
    <col min="11022" max="11022" width="9.140625" style="47"/>
    <col min="11023" max="11027" width="8.7109375" style="47" bestFit="1" customWidth="1"/>
    <col min="11028" max="11028" width="14.140625" style="47" customWidth="1"/>
    <col min="11029" max="11264" width="9.140625" style="47"/>
    <col min="11265" max="11266" width="7.7109375" style="47" customWidth="1"/>
    <col min="11267" max="11267" width="9.140625" style="47"/>
    <col min="11268" max="11268" width="7.42578125" style="47" customWidth="1"/>
    <col min="11269" max="11269" width="5.140625" style="47" bestFit="1" customWidth="1"/>
    <col min="11270" max="11270" width="2" style="47" bestFit="1" customWidth="1"/>
    <col min="11271" max="11271" width="29" style="47" customWidth="1"/>
    <col min="11272" max="11276" width="0" style="47" hidden="1" customWidth="1"/>
    <col min="11277" max="11277" width="8.7109375" style="47" bestFit="1" customWidth="1"/>
    <col min="11278" max="11278" width="9.140625" style="47"/>
    <col min="11279" max="11283" width="8.7109375" style="47" bestFit="1" customWidth="1"/>
    <col min="11284" max="11284" width="14.140625" style="47" customWidth="1"/>
    <col min="11285" max="11520" width="9.140625" style="47"/>
    <col min="11521" max="11522" width="7.7109375" style="47" customWidth="1"/>
    <col min="11523" max="11523" width="9.140625" style="47"/>
    <col min="11524" max="11524" width="7.42578125" style="47" customWidth="1"/>
    <col min="11525" max="11525" width="5.140625" style="47" bestFit="1" customWidth="1"/>
    <col min="11526" max="11526" width="2" style="47" bestFit="1" customWidth="1"/>
    <col min="11527" max="11527" width="29" style="47" customWidth="1"/>
    <col min="11528" max="11532" width="0" style="47" hidden="1" customWidth="1"/>
    <col min="11533" max="11533" width="8.7109375" style="47" bestFit="1" customWidth="1"/>
    <col min="11534" max="11534" width="9.140625" style="47"/>
    <col min="11535" max="11539" width="8.7109375" style="47" bestFit="1" customWidth="1"/>
    <col min="11540" max="11540" width="14.140625" style="47" customWidth="1"/>
    <col min="11541" max="11776" width="9.140625" style="47"/>
    <col min="11777" max="11778" width="7.7109375" style="47" customWidth="1"/>
    <col min="11779" max="11779" width="9.140625" style="47"/>
    <col min="11780" max="11780" width="7.42578125" style="47" customWidth="1"/>
    <col min="11781" max="11781" width="5.140625" style="47" bestFit="1" customWidth="1"/>
    <col min="11782" max="11782" width="2" style="47" bestFit="1" customWidth="1"/>
    <col min="11783" max="11783" width="29" style="47" customWidth="1"/>
    <col min="11784" max="11788" width="0" style="47" hidden="1" customWidth="1"/>
    <col min="11789" max="11789" width="8.7109375" style="47" bestFit="1" customWidth="1"/>
    <col min="11790" max="11790" width="9.140625" style="47"/>
    <col min="11791" max="11795" width="8.7109375" style="47" bestFit="1" customWidth="1"/>
    <col min="11796" max="11796" width="14.140625" style="47" customWidth="1"/>
    <col min="11797" max="12032" width="9.140625" style="47"/>
    <col min="12033" max="12034" width="7.7109375" style="47" customWidth="1"/>
    <col min="12035" max="12035" width="9.140625" style="47"/>
    <col min="12036" max="12036" width="7.42578125" style="47" customWidth="1"/>
    <col min="12037" max="12037" width="5.140625" style="47" bestFit="1" customWidth="1"/>
    <col min="12038" max="12038" width="2" style="47" bestFit="1" customWidth="1"/>
    <col min="12039" max="12039" width="29" style="47" customWidth="1"/>
    <col min="12040" max="12044" width="0" style="47" hidden="1" customWidth="1"/>
    <col min="12045" max="12045" width="8.7109375" style="47" bestFit="1" customWidth="1"/>
    <col min="12046" max="12046" width="9.140625" style="47"/>
    <col min="12047" max="12051" width="8.7109375" style="47" bestFit="1" customWidth="1"/>
    <col min="12052" max="12052" width="14.140625" style="47" customWidth="1"/>
    <col min="12053" max="12288" width="9.140625" style="47"/>
    <col min="12289" max="12290" width="7.7109375" style="47" customWidth="1"/>
    <col min="12291" max="12291" width="9.140625" style="47"/>
    <col min="12292" max="12292" width="7.42578125" style="47" customWidth="1"/>
    <col min="12293" max="12293" width="5.140625" style="47" bestFit="1" customWidth="1"/>
    <col min="12294" max="12294" width="2" style="47" bestFit="1" customWidth="1"/>
    <col min="12295" max="12295" width="29" style="47" customWidth="1"/>
    <col min="12296" max="12300" width="0" style="47" hidden="1" customWidth="1"/>
    <col min="12301" max="12301" width="8.7109375" style="47" bestFit="1" customWidth="1"/>
    <col min="12302" max="12302" width="9.140625" style="47"/>
    <col min="12303" max="12307" width="8.7109375" style="47" bestFit="1" customWidth="1"/>
    <col min="12308" max="12308" width="14.140625" style="47" customWidth="1"/>
    <col min="12309" max="12544" width="9.140625" style="47"/>
    <col min="12545" max="12546" width="7.7109375" style="47" customWidth="1"/>
    <col min="12547" max="12547" width="9.140625" style="47"/>
    <col min="12548" max="12548" width="7.42578125" style="47" customWidth="1"/>
    <col min="12549" max="12549" width="5.140625" style="47" bestFit="1" customWidth="1"/>
    <col min="12550" max="12550" width="2" style="47" bestFit="1" customWidth="1"/>
    <col min="12551" max="12551" width="29" style="47" customWidth="1"/>
    <col min="12552" max="12556" width="0" style="47" hidden="1" customWidth="1"/>
    <col min="12557" max="12557" width="8.7109375" style="47" bestFit="1" customWidth="1"/>
    <col min="12558" max="12558" width="9.140625" style="47"/>
    <col min="12559" max="12563" width="8.7109375" style="47" bestFit="1" customWidth="1"/>
    <col min="12564" max="12564" width="14.140625" style="47" customWidth="1"/>
    <col min="12565" max="12800" width="9.140625" style="47"/>
    <col min="12801" max="12802" width="7.7109375" style="47" customWidth="1"/>
    <col min="12803" max="12803" width="9.140625" style="47"/>
    <col min="12804" max="12804" width="7.42578125" style="47" customWidth="1"/>
    <col min="12805" max="12805" width="5.140625" style="47" bestFit="1" customWidth="1"/>
    <col min="12806" max="12806" width="2" style="47" bestFit="1" customWidth="1"/>
    <col min="12807" max="12807" width="29" style="47" customWidth="1"/>
    <col min="12808" max="12812" width="0" style="47" hidden="1" customWidth="1"/>
    <col min="12813" max="12813" width="8.7109375" style="47" bestFit="1" customWidth="1"/>
    <col min="12814" max="12814" width="9.140625" style="47"/>
    <col min="12815" max="12819" width="8.7109375" style="47" bestFit="1" customWidth="1"/>
    <col min="12820" max="12820" width="14.140625" style="47" customWidth="1"/>
    <col min="12821" max="13056" width="9.140625" style="47"/>
    <col min="13057" max="13058" width="7.7109375" style="47" customWidth="1"/>
    <col min="13059" max="13059" width="9.140625" style="47"/>
    <col min="13060" max="13060" width="7.42578125" style="47" customWidth="1"/>
    <col min="13061" max="13061" width="5.140625" style="47" bestFit="1" customWidth="1"/>
    <col min="13062" max="13062" width="2" style="47" bestFit="1" customWidth="1"/>
    <col min="13063" max="13063" width="29" style="47" customWidth="1"/>
    <col min="13064" max="13068" width="0" style="47" hidden="1" customWidth="1"/>
    <col min="13069" max="13069" width="8.7109375" style="47" bestFit="1" customWidth="1"/>
    <col min="13070" max="13070" width="9.140625" style="47"/>
    <col min="13071" max="13075" width="8.7109375" style="47" bestFit="1" customWidth="1"/>
    <col min="13076" max="13076" width="14.140625" style="47" customWidth="1"/>
    <col min="13077" max="13312" width="9.140625" style="47"/>
    <col min="13313" max="13314" width="7.7109375" style="47" customWidth="1"/>
    <col min="13315" max="13315" width="9.140625" style="47"/>
    <col min="13316" max="13316" width="7.42578125" style="47" customWidth="1"/>
    <col min="13317" max="13317" width="5.140625" style="47" bestFit="1" customWidth="1"/>
    <col min="13318" max="13318" width="2" style="47" bestFit="1" customWidth="1"/>
    <col min="13319" max="13319" width="29" style="47" customWidth="1"/>
    <col min="13320" max="13324" width="0" style="47" hidden="1" customWidth="1"/>
    <col min="13325" max="13325" width="8.7109375" style="47" bestFit="1" customWidth="1"/>
    <col min="13326" max="13326" width="9.140625" style="47"/>
    <col min="13327" max="13331" width="8.7109375" style="47" bestFit="1" customWidth="1"/>
    <col min="13332" max="13332" width="14.140625" style="47" customWidth="1"/>
    <col min="13333" max="13568" width="9.140625" style="47"/>
    <col min="13569" max="13570" width="7.7109375" style="47" customWidth="1"/>
    <col min="13571" max="13571" width="9.140625" style="47"/>
    <col min="13572" max="13572" width="7.42578125" style="47" customWidth="1"/>
    <col min="13573" max="13573" width="5.140625" style="47" bestFit="1" customWidth="1"/>
    <col min="13574" max="13574" width="2" style="47" bestFit="1" customWidth="1"/>
    <col min="13575" max="13575" width="29" style="47" customWidth="1"/>
    <col min="13576" max="13580" width="0" style="47" hidden="1" customWidth="1"/>
    <col min="13581" max="13581" width="8.7109375" style="47" bestFit="1" customWidth="1"/>
    <col min="13582" max="13582" width="9.140625" style="47"/>
    <col min="13583" max="13587" width="8.7109375" style="47" bestFit="1" customWidth="1"/>
    <col min="13588" max="13588" width="14.140625" style="47" customWidth="1"/>
    <col min="13589" max="13824" width="9.140625" style="47"/>
    <col min="13825" max="13826" width="7.7109375" style="47" customWidth="1"/>
    <col min="13827" max="13827" width="9.140625" style="47"/>
    <col min="13828" max="13828" width="7.42578125" style="47" customWidth="1"/>
    <col min="13829" max="13829" width="5.140625" style="47" bestFit="1" customWidth="1"/>
    <col min="13830" max="13830" width="2" style="47" bestFit="1" customWidth="1"/>
    <col min="13831" max="13831" width="29" style="47" customWidth="1"/>
    <col min="13832" max="13836" width="0" style="47" hidden="1" customWidth="1"/>
    <col min="13837" max="13837" width="8.7109375" style="47" bestFit="1" customWidth="1"/>
    <col min="13838" max="13838" width="9.140625" style="47"/>
    <col min="13839" max="13843" width="8.7109375" style="47" bestFit="1" customWidth="1"/>
    <col min="13844" max="13844" width="14.140625" style="47" customWidth="1"/>
    <col min="13845" max="14080" width="9.140625" style="47"/>
    <col min="14081" max="14082" width="7.7109375" style="47" customWidth="1"/>
    <col min="14083" max="14083" width="9.140625" style="47"/>
    <col min="14084" max="14084" width="7.42578125" style="47" customWidth="1"/>
    <col min="14085" max="14085" width="5.140625" style="47" bestFit="1" customWidth="1"/>
    <col min="14086" max="14086" width="2" style="47" bestFit="1" customWidth="1"/>
    <col min="14087" max="14087" width="29" style="47" customWidth="1"/>
    <col min="14088" max="14092" width="0" style="47" hidden="1" customWidth="1"/>
    <col min="14093" max="14093" width="8.7109375" style="47" bestFit="1" customWidth="1"/>
    <col min="14094" max="14094" width="9.140625" style="47"/>
    <col min="14095" max="14099" width="8.7109375" style="47" bestFit="1" customWidth="1"/>
    <col min="14100" max="14100" width="14.140625" style="47" customWidth="1"/>
    <col min="14101" max="14336" width="9.140625" style="47"/>
    <col min="14337" max="14338" width="7.7109375" style="47" customWidth="1"/>
    <col min="14339" max="14339" width="9.140625" style="47"/>
    <col min="14340" max="14340" width="7.42578125" style="47" customWidth="1"/>
    <col min="14341" max="14341" width="5.140625" style="47" bestFit="1" customWidth="1"/>
    <col min="14342" max="14342" width="2" style="47" bestFit="1" customWidth="1"/>
    <col min="14343" max="14343" width="29" style="47" customWidth="1"/>
    <col min="14344" max="14348" width="0" style="47" hidden="1" customWidth="1"/>
    <col min="14349" max="14349" width="8.7109375" style="47" bestFit="1" customWidth="1"/>
    <col min="14350" max="14350" width="9.140625" style="47"/>
    <col min="14351" max="14355" width="8.7109375" style="47" bestFit="1" customWidth="1"/>
    <col min="14356" max="14356" width="14.140625" style="47" customWidth="1"/>
    <col min="14357" max="14592" width="9.140625" style="47"/>
    <col min="14593" max="14594" width="7.7109375" style="47" customWidth="1"/>
    <col min="14595" max="14595" width="9.140625" style="47"/>
    <col min="14596" max="14596" width="7.42578125" style="47" customWidth="1"/>
    <col min="14597" max="14597" width="5.140625" style="47" bestFit="1" customWidth="1"/>
    <col min="14598" max="14598" width="2" style="47" bestFit="1" customWidth="1"/>
    <col min="14599" max="14599" width="29" style="47" customWidth="1"/>
    <col min="14600" max="14604" width="0" style="47" hidden="1" customWidth="1"/>
    <col min="14605" max="14605" width="8.7109375" style="47" bestFit="1" customWidth="1"/>
    <col min="14606" max="14606" width="9.140625" style="47"/>
    <col min="14607" max="14611" width="8.7109375" style="47" bestFit="1" customWidth="1"/>
    <col min="14612" max="14612" width="14.140625" style="47" customWidth="1"/>
    <col min="14613" max="14848" width="9.140625" style="47"/>
    <col min="14849" max="14850" width="7.7109375" style="47" customWidth="1"/>
    <col min="14851" max="14851" width="9.140625" style="47"/>
    <col min="14852" max="14852" width="7.42578125" style="47" customWidth="1"/>
    <col min="14853" max="14853" width="5.140625" style="47" bestFit="1" customWidth="1"/>
    <col min="14854" max="14854" width="2" style="47" bestFit="1" customWidth="1"/>
    <col min="14855" max="14855" width="29" style="47" customWidth="1"/>
    <col min="14856" max="14860" width="0" style="47" hidden="1" customWidth="1"/>
    <col min="14861" max="14861" width="8.7109375" style="47" bestFit="1" customWidth="1"/>
    <col min="14862" max="14862" width="9.140625" style="47"/>
    <col min="14863" max="14867" width="8.7109375" style="47" bestFit="1" customWidth="1"/>
    <col min="14868" max="14868" width="14.140625" style="47" customWidth="1"/>
    <col min="14869" max="15104" width="9.140625" style="47"/>
    <col min="15105" max="15106" width="7.7109375" style="47" customWidth="1"/>
    <col min="15107" max="15107" width="9.140625" style="47"/>
    <col min="15108" max="15108" width="7.42578125" style="47" customWidth="1"/>
    <col min="15109" max="15109" width="5.140625" style="47" bestFit="1" customWidth="1"/>
    <col min="15110" max="15110" width="2" style="47" bestFit="1" customWidth="1"/>
    <col min="15111" max="15111" width="29" style="47" customWidth="1"/>
    <col min="15112" max="15116" width="0" style="47" hidden="1" customWidth="1"/>
    <col min="15117" max="15117" width="8.7109375" style="47" bestFit="1" customWidth="1"/>
    <col min="15118" max="15118" width="9.140625" style="47"/>
    <col min="15119" max="15123" width="8.7109375" style="47" bestFit="1" customWidth="1"/>
    <col min="15124" max="15124" width="14.140625" style="47" customWidth="1"/>
    <col min="15125" max="15360" width="9.140625" style="47"/>
    <col min="15361" max="15362" width="7.7109375" style="47" customWidth="1"/>
    <col min="15363" max="15363" width="9.140625" style="47"/>
    <col min="15364" max="15364" width="7.42578125" style="47" customWidth="1"/>
    <col min="15365" max="15365" width="5.140625" style="47" bestFit="1" customWidth="1"/>
    <col min="15366" max="15366" width="2" style="47" bestFit="1" customWidth="1"/>
    <col min="15367" max="15367" width="29" style="47" customWidth="1"/>
    <col min="15368" max="15372" width="0" style="47" hidden="1" customWidth="1"/>
    <col min="15373" max="15373" width="8.7109375" style="47" bestFit="1" customWidth="1"/>
    <col min="15374" max="15374" width="9.140625" style="47"/>
    <col min="15375" max="15379" width="8.7109375" style="47" bestFit="1" customWidth="1"/>
    <col min="15380" max="15380" width="14.140625" style="47" customWidth="1"/>
    <col min="15381" max="15616" width="9.140625" style="47"/>
    <col min="15617" max="15618" width="7.7109375" style="47" customWidth="1"/>
    <col min="15619" max="15619" width="9.140625" style="47"/>
    <col min="15620" max="15620" width="7.42578125" style="47" customWidth="1"/>
    <col min="15621" max="15621" width="5.140625" style="47" bestFit="1" customWidth="1"/>
    <col min="15622" max="15622" width="2" style="47" bestFit="1" customWidth="1"/>
    <col min="15623" max="15623" width="29" style="47" customWidth="1"/>
    <col min="15624" max="15628" width="0" style="47" hidden="1" customWidth="1"/>
    <col min="15629" max="15629" width="8.7109375" style="47" bestFit="1" customWidth="1"/>
    <col min="15630" max="15630" width="9.140625" style="47"/>
    <col min="15631" max="15635" width="8.7109375" style="47" bestFit="1" customWidth="1"/>
    <col min="15636" max="15636" width="14.140625" style="47" customWidth="1"/>
    <col min="15637" max="15872" width="9.140625" style="47"/>
    <col min="15873" max="15874" width="7.7109375" style="47" customWidth="1"/>
    <col min="15875" max="15875" width="9.140625" style="47"/>
    <col min="15876" max="15876" width="7.42578125" style="47" customWidth="1"/>
    <col min="15877" max="15877" width="5.140625" style="47" bestFit="1" customWidth="1"/>
    <col min="15878" max="15878" width="2" style="47" bestFit="1" customWidth="1"/>
    <col min="15879" max="15879" width="29" style="47" customWidth="1"/>
    <col min="15880" max="15884" width="0" style="47" hidden="1" customWidth="1"/>
    <col min="15885" max="15885" width="8.7109375" style="47" bestFit="1" customWidth="1"/>
    <col min="15886" max="15886" width="9.140625" style="47"/>
    <col min="15887" max="15891" width="8.7109375" style="47" bestFit="1" customWidth="1"/>
    <col min="15892" max="15892" width="14.140625" style="47" customWidth="1"/>
    <col min="15893" max="16128" width="9.140625" style="47"/>
    <col min="16129" max="16130" width="7.7109375" style="47" customWidth="1"/>
    <col min="16131" max="16131" width="9.140625" style="47"/>
    <col min="16132" max="16132" width="7.42578125" style="47" customWidth="1"/>
    <col min="16133" max="16133" width="5.140625" style="47" bestFit="1" customWidth="1"/>
    <col min="16134" max="16134" width="2" style="47" bestFit="1" customWidth="1"/>
    <col min="16135" max="16135" width="29" style="47" customWidth="1"/>
    <col min="16136" max="16140" width="0" style="47" hidden="1" customWidth="1"/>
    <col min="16141" max="16141" width="8.7109375" style="47" bestFit="1" customWidth="1"/>
    <col min="16142" max="16142" width="9.140625" style="47"/>
    <col min="16143" max="16147" width="8.7109375" style="47" bestFit="1" customWidth="1"/>
    <col min="16148" max="16148" width="14.140625" style="47" customWidth="1"/>
    <col min="16149" max="16384" width="9.140625" style="47"/>
  </cols>
  <sheetData>
    <row r="1" spans="1:21" x14ac:dyDescent="0.25">
      <c r="A1" s="1"/>
      <c r="B1" s="2"/>
      <c r="C1" s="3"/>
      <c r="D1" s="3"/>
      <c r="E1" s="1"/>
      <c r="F1" s="1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</row>
    <row r="2" spans="1:21" ht="11.25" x14ac:dyDescent="0.2">
      <c r="A2" s="3" t="s">
        <v>0</v>
      </c>
      <c r="B2" s="5" t="s">
        <v>1</v>
      </c>
      <c r="C2" s="3" t="s">
        <v>2</v>
      </c>
      <c r="D2" s="3"/>
      <c r="E2" s="1" t="s">
        <v>3</v>
      </c>
      <c r="F2" s="1"/>
      <c r="G2" s="49" t="s">
        <v>606</v>
      </c>
      <c r="H2" s="50"/>
      <c r="I2" s="51"/>
      <c r="J2" s="52"/>
      <c r="K2" s="50"/>
      <c r="L2" s="52"/>
      <c r="M2" s="71" t="s">
        <v>366</v>
      </c>
      <c r="N2" s="122" t="s">
        <v>607</v>
      </c>
      <c r="O2" s="72"/>
      <c r="P2" s="72"/>
      <c r="Q2" s="72"/>
      <c r="R2" s="73"/>
      <c r="U2" s="47"/>
    </row>
    <row r="3" spans="1:21" ht="11.25" x14ac:dyDescent="0.2">
      <c r="A3" s="1"/>
      <c r="B3" s="6"/>
      <c r="C3" s="3"/>
      <c r="D3" s="3"/>
      <c r="E3" s="1"/>
      <c r="F3" s="1"/>
      <c r="G3" s="53" t="s">
        <v>4</v>
      </c>
      <c r="H3" s="54">
        <v>40908</v>
      </c>
      <c r="I3" s="54">
        <v>41274</v>
      </c>
      <c r="J3" s="54">
        <v>41639</v>
      </c>
      <c r="K3" s="54">
        <v>42004</v>
      </c>
      <c r="L3" s="54">
        <v>42369</v>
      </c>
      <c r="M3" s="54">
        <v>42735</v>
      </c>
      <c r="N3" s="54">
        <v>43100</v>
      </c>
      <c r="O3" s="54">
        <v>43465</v>
      </c>
      <c r="P3" s="54">
        <v>43830</v>
      </c>
      <c r="Q3" s="54">
        <v>44196</v>
      </c>
      <c r="R3" s="54">
        <v>44561</v>
      </c>
      <c r="S3" s="634">
        <v>44926</v>
      </c>
      <c r="U3" s="47"/>
    </row>
    <row r="4" spans="1:21" ht="11.25" x14ac:dyDescent="0.2">
      <c r="A4" s="7"/>
      <c r="B4" s="2" t="s">
        <v>5</v>
      </c>
      <c r="C4" s="3">
        <v>1</v>
      </c>
      <c r="D4" s="3"/>
      <c r="E4" s="5"/>
      <c r="F4" s="7"/>
      <c r="G4" s="55" t="s">
        <v>6</v>
      </c>
      <c r="H4" s="56">
        <f t="shared" ref="H4:S4" si="0">H5+H10</f>
        <v>0</v>
      </c>
      <c r="I4" s="56">
        <f t="shared" si="0"/>
        <v>87.119</v>
      </c>
      <c r="J4" s="56">
        <f t="shared" si="0"/>
        <v>272.86899999999997</v>
      </c>
      <c r="K4" s="56">
        <f t="shared" si="0"/>
        <v>454.71899999999999</v>
      </c>
      <c r="L4" s="56">
        <f t="shared" si="0"/>
        <v>467.31800000000004</v>
      </c>
      <c r="M4" s="56">
        <f t="shared" si="0"/>
        <v>446.04200000000003</v>
      </c>
      <c r="N4" s="56">
        <f t="shared" si="0"/>
        <v>555</v>
      </c>
      <c r="O4" s="56">
        <f t="shared" si="0"/>
        <v>490</v>
      </c>
      <c r="P4" s="56">
        <f t="shared" si="0"/>
        <v>452</v>
      </c>
      <c r="Q4" s="56">
        <f t="shared" si="0"/>
        <v>423</v>
      </c>
      <c r="R4" s="56">
        <f t="shared" si="0"/>
        <v>399</v>
      </c>
      <c r="S4" s="635">
        <f t="shared" si="0"/>
        <v>377</v>
      </c>
      <c r="U4" s="47"/>
    </row>
    <row r="5" spans="1:21" ht="11.25" x14ac:dyDescent="0.2">
      <c r="A5" s="8"/>
      <c r="B5" s="2" t="s">
        <v>7</v>
      </c>
      <c r="C5" s="3">
        <v>10</v>
      </c>
      <c r="D5" s="3"/>
      <c r="E5" s="9"/>
      <c r="G5" s="57" t="s">
        <v>8</v>
      </c>
      <c r="H5" s="56">
        <f t="shared" ref="H5:R5" si="1">SUM(H6:H9)</f>
        <v>0</v>
      </c>
      <c r="I5" s="56">
        <f t="shared" si="1"/>
        <v>0</v>
      </c>
      <c r="J5" s="56">
        <f t="shared" si="1"/>
        <v>198.15199999999999</v>
      </c>
      <c r="K5" s="56">
        <f t="shared" si="1"/>
        <v>341.613</v>
      </c>
      <c r="L5" s="56">
        <f t="shared" si="1"/>
        <v>389.41900000000004</v>
      </c>
      <c r="M5" s="56">
        <f t="shared" si="1"/>
        <v>168.72200000000001</v>
      </c>
      <c r="N5" s="56">
        <f t="shared" si="1"/>
        <v>85</v>
      </c>
      <c r="O5" s="56">
        <f t="shared" si="1"/>
        <v>70</v>
      </c>
      <c r="P5" s="56">
        <f t="shared" si="1"/>
        <v>70</v>
      </c>
      <c r="Q5" s="56">
        <f t="shared" si="1"/>
        <v>70</v>
      </c>
      <c r="R5" s="56">
        <f t="shared" si="1"/>
        <v>70</v>
      </c>
      <c r="S5" s="635">
        <f>SUM(S6:S9)</f>
        <v>70</v>
      </c>
      <c r="U5" s="47"/>
    </row>
    <row r="6" spans="1:21" ht="12" x14ac:dyDescent="0.2">
      <c r="A6" s="8"/>
      <c r="B6" s="2" t="s">
        <v>9</v>
      </c>
      <c r="C6" s="10" t="s">
        <v>10</v>
      </c>
      <c r="D6" s="10"/>
      <c r="E6" s="11" t="s">
        <v>11</v>
      </c>
      <c r="G6" s="57" t="s">
        <v>12</v>
      </c>
      <c r="H6" s="58">
        <v>0</v>
      </c>
      <c r="I6" s="58">
        <v>0</v>
      </c>
      <c r="J6" s="58">
        <v>133.09899999999999</v>
      </c>
      <c r="K6" s="58">
        <v>132.459</v>
      </c>
      <c r="L6" s="58">
        <v>311.476</v>
      </c>
      <c r="M6" s="58">
        <v>11.973000000000001</v>
      </c>
      <c r="N6" s="76">
        <v>12</v>
      </c>
      <c r="O6" s="76">
        <v>10</v>
      </c>
      <c r="P6" s="76">
        <v>10</v>
      </c>
      <c r="Q6" s="76">
        <v>10</v>
      </c>
      <c r="R6" s="76">
        <v>10</v>
      </c>
      <c r="S6" s="636">
        <v>10</v>
      </c>
      <c r="U6" s="47"/>
    </row>
    <row r="7" spans="1:21" ht="12" x14ac:dyDescent="0.2">
      <c r="A7" s="8"/>
      <c r="B7" s="2" t="s">
        <v>13</v>
      </c>
      <c r="C7" s="10" t="s">
        <v>14</v>
      </c>
      <c r="D7" s="10"/>
      <c r="E7" s="11" t="s">
        <v>11</v>
      </c>
      <c r="G7" s="57" t="s">
        <v>15</v>
      </c>
      <c r="H7" s="58">
        <v>0</v>
      </c>
      <c r="I7" s="58">
        <v>0</v>
      </c>
      <c r="J7" s="58">
        <v>47.012</v>
      </c>
      <c r="K7" s="58">
        <v>191.351</v>
      </c>
      <c r="L7" s="58">
        <v>68.311000000000007</v>
      </c>
      <c r="M7" s="58">
        <v>145.37299999999999</v>
      </c>
      <c r="N7" s="76">
        <v>64</v>
      </c>
      <c r="O7" s="76">
        <v>60</v>
      </c>
      <c r="P7" s="76">
        <v>60</v>
      </c>
      <c r="Q7" s="76">
        <v>60</v>
      </c>
      <c r="R7" s="76">
        <v>60</v>
      </c>
      <c r="S7" s="636">
        <v>60</v>
      </c>
      <c r="U7" s="47"/>
    </row>
    <row r="8" spans="1:21" ht="12" x14ac:dyDescent="0.2">
      <c r="A8" s="8"/>
      <c r="B8" s="2" t="s">
        <v>16</v>
      </c>
      <c r="C8" s="10" t="s">
        <v>17</v>
      </c>
      <c r="D8" s="10"/>
      <c r="E8" s="11" t="s">
        <v>11</v>
      </c>
      <c r="G8" s="57" t="s">
        <v>18</v>
      </c>
      <c r="H8" s="58">
        <v>0</v>
      </c>
      <c r="I8" s="58">
        <v>0</v>
      </c>
      <c r="J8" s="58">
        <v>0</v>
      </c>
      <c r="K8" s="58">
        <v>0</v>
      </c>
      <c r="L8" s="58">
        <v>0</v>
      </c>
      <c r="M8" s="58">
        <v>0</v>
      </c>
      <c r="N8" s="76">
        <v>0</v>
      </c>
      <c r="O8" s="76">
        <v>0</v>
      </c>
      <c r="P8" s="76">
        <v>0</v>
      </c>
      <c r="Q8" s="76">
        <v>0</v>
      </c>
      <c r="R8" s="76">
        <v>0</v>
      </c>
      <c r="S8" s="636">
        <v>0</v>
      </c>
      <c r="U8" s="47"/>
    </row>
    <row r="9" spans="1:21" ht="11.25" x14ac:dyDescent="0.2">
      <c r="A9" s="8"/>
      <c r="B9" s="2" t="s">
        <v>19</v>
      </c>
      <c r="C9" s="10">
        <v>108</v>
      </c>
      <c r="D9" s="10"/>
      <c r="E9" s="12"/>
      <c r="G9" s="57" t="s">
        <v>20</v>
      </c>
      <c r="H9" s="58">
        <v>0</v>
      </c>
      <c r="I9" s="58">
        <v>0</v>
      </c>
      <c r="J9" s="58">
        <v>18.041</v>
      </c>
      <c r="K9" s="58">
        <v>17.803000000000001</v>
      </c>
      <c r="L9" s="58">
        <v>9.6319999999999997</v>
      </c>
      <c r="M9" s="58">
        <v>11.375999999999999</v>
      </c>
      <c r="N9" s="76">
        <v>9</v>
      </c>
      <c r="O9" s="76">
        <v>0</v>
      </c>
      <c r="P9" s="76">
        <v>0</v>
      </c>
      <c r="Q9" s="76">
        <v>0</v>
      </c>
      <c r="R9" s="76">
        <v>0</v>
      </c>
      <c r="S9" s="636">
        <v>0</v>
      </c>
      <c r="U9" s="47"/>
    </row>
    <row r="10" spans="1:21" ht="11.25" x14ac:dyDescent="0.2">
      <c r="A10" s="13"/>
      <c r="B10" s="2" t="s">
        <v>21</v>
      </c>
      <c r="C10" s="14">
        <v>15</v>
      </c>
      <c r="D10" s="14"/>
      <c r="E10" s="12"/>
      <c r="F10" s="13"/>
      <c r="G10" s="57" t="s">
        <v>22</v>
      </c>
      <c r="H10" s="56">
        <f t="shared" ref="H10:S10" si="2">SUM(H11:H16)</f>
        <v>0</v>
      </c>
      <c r="I10" s="56">
        <f t="shared" si="2"/>
        <v>87.119</v>
      </c>
      <c r="J10" s="56">
        <f t="shared" si="2"/>
        <v>74.716999999999999</v>
      </c>
      <c r="K10" s="56">
        <f t="shared" si="2"/>
        <v>113.10599999999999</v>
      </c>
      <c r="L10" s="56">
        <f t="shared" si="2"/>
        <v>77.899000000000001</v>
      </c>
      <c r="M10" s="56">
        <f t="shared" si="2"/>
        <v>277.32</v>
      </c>
      <c r="N10" s="77">
        <f t="shared" si="2"/>
        <v>470</v>
      </c>
      <c r="O10" s="77">
        <f t="shared" si="2"/>
        <v>420</v>
      </c>
      <c r="P10" s="77">
        <f t="shared" si="2"/>
        <v>382</v>
      </c>
      <c r="Q10" s="77">
        <f t="shared" si="2"/>
        <v>353</v>
      </c>
      <c r="R10" s="77">
        <f t="shared" si="2"/>
        <v>329</v>
      </c>
      <c r="S10" s="635">
        <f t="shared" si="2"/>
        <v>307</v>
      </c>
      <c r="U10" s="47"/>
    </row>
    <row r="11" spans="1:21" ht="12" x14ac:dyDescent="0.2">
      <c r="A11" s="13"/>
      <c r="B11" s="2" t="s">
        <v>23</v>
      </c>
      <c r="C11" s="14">
        <v>150</v>
      </c>
      <c r="D11" s="14"/>
      <c r="E11" s="11" t="s">
        <v>11</v>
      </c>
      <c r="F11" s="13"/>
      <c r="G11" s="57" t="s">
        <v>24</v>
      </c>
      <c r="H11" s="58">
        <v>0</v>
      </c>
      <c r="I11" s="58">
        <v>0</v>
      </c>
      <c r="J11" s="58">
        <v>0</v>
      </c>
      <c r="K11" s="58">
        <v>0</v>
      </c>
      <c r="L11" s="58">
        <v>0</v>
      </c>
      <c r="M11" s="58">
        <v>0</v>
      </c>
      <c r="N11" s="76">
        <v>0</v>
      </c>
      <c r="O11" s="76">
        <v>0</v>
      </c>
      <c r="P11" s="76">
        <v>0</v>
      </c>
      <c r="Q11" s="76">
        <v>0</v>
      </c>
      <c r="R11" s="76">
        <v>0</v>
      </c>
      <c r="S11" s="636">
        <v>0</v>
      </c>
      <c r="U11" s="47"/>
    </row>
    <row r="12" spans="1:21" ht="12" x14ac:dyDescent="0.2">
      <c r="A12" s="13"/>
      <c r="B12" s="2" t="s">
        <v>25</v>
      </c>
      <c r="C12" s="14">
        <v>151</v>
      </c>
      <c r="D12" s="14"/>
      <c r="E12" s="11" t="s">
        <v>11</v>
      </c>
      <c r="F12" s="13"/>
      <c r="G12" s="57" t="s">
        <v>26</v>
      </c>
      <c r="H12" s="58">
        <v>0</v>
      </c>
      <c r="I12" s="58">
        <v>0</v>
      </c>
      <c r="J12" s="58">
        <v>0</v>
      </c>
      <c r="K12" s="58">
        <v>0</v>
      </c>
      <c r="L12" s="58">
        <v>0</v>
      </c>
      <c r="M12" s="58">
        <v>0</v>
      </c>
      <c r="N12" s="76">
        <v>0</v>
      </c>
      <c r="O12" s="76">
        <v>0</v>
      </c>
      <c r="P12" s="76">
        <v>0</v>
      </c>
      <c r="Q12" s="76">
        <v>0</v>
      </c>
      <c r="R12" s="76">
        <v>0</v>
      </c>
      <c r="S12" s="636">
        <v>0</v>
      </c>
      <c r="U12" s="47"/>
    </row>
    <row r="13" spans="1:21" ht="12" x14ac:dyDescent="0.2">
      <c r="A13" s="8"/>
      <c r="B13" s="2" t="s">
        <v>27</v>
      </c>
      <c r="C13" s="10" t="s">
        <v>28</v>
      </c>
      <c r="D13" s="10"/>
      <c r="E13" s="11" t="s">
        <v>11</v>
      </c>
      <c r="G13" s="57" t="s">
        <v>29</v>
      </c>
      <c r="H13" s="58">
        <v>0</v>
      </c>
      <c r="I13" s="58">
        <v>0</v>
      </c>
      <c r="J13" s="58">
        <v>0</v>
      </c>
      <c r="K13" s="58">
        <v>0</v>
      </c>
      <c r="L13" s="58">
        <v>0</v>
      </c>
      <c r="M13" s="58">
        <v>0</v>
      </c>
      <c r="N13" s="76">
        <v>0</v>
      </c>
      <c r="O13" s="76">
        <v>0</v>
      </c>
      <c r="P13" s="76">
        <v>0</v>
      </c>
      <c r="Q13" s="76">
        <v>0</v>
      </c>
      <c r="R13" s="76">
        <v>0</v>
      </c>
      <c r="S13" s="636">
        <v>0</v>
      </c>
      <c r="U13" s="47"/>
    </row>
    <row r="14" spans="1:21" ht="12" x14ac:dyDescent="0.2">
      <c r="A14" s="8"/>
      <c r="B14" s="2" t="s">
        <v>30</v>
      </c>
      <c r="C14" s="10">
        <v>154</v>
      </c>
      <c r="D14" s="10"/>
      <c r="E14" s="11" t="s">
        <v>11</v>
      </c>
      <c r="G14" s="57" t="s">
        <v>31</v>
      </c>
      <c r="H14" s="58">
        <v>0</v>
      </c>
      <c r="I14" s="58">
        <v>0</v>
      </c>
      <c r="J14" s="58">
        <v>0</v>
      </c>
      <c r="K14" s="58">
        <v>0</v>
      </c>
      <c r="L14" s="58">
        <v>0</v>
      </c>
      <c r="M14" s="58">
        <v>0</v>
      </c>
      <c r="N14" s="76">
        <v>0</v>
      </c>
      <c r="O14" s="76">
        <v>0</v>
      </c>
      <c r="P14" s="76">
        <v>0</v>
      </c>
      <c r="Q14" s="76">
        <v>0</v>
      </c>
      <c r="R14" s="76">
        <v>0</v>
      </c>
      <c r="S14" s="636">
        <v>0</v>
      </c>
      <c r="U14" s="47"/>
    </row>
    <row r="15" spans="1:21" ht="12" x14ac:dyDescent="0.2">
      <c r="A15" s="8"/>
      <c r="B15" s="2" t="s">
        <v>32</v>
      </c>
      <c r="C15" s="10" t="s">
        <v>33</v>
      </c>
      <c r="D15" s="10"/>
      <c r="E15" s="11" t="s">
        <v>11</v>
      </c>
      <c r="G15" s="57" t="s">
        <v>34</v>
      </c>
      <c r="H15" s="58">
        <v>0</v>
      </c>
      <c r="I15" s="58">
        <v>87.119</v>
      </c>
      <c r="J15" s="58">
        <v>74.716999999999999</v>
      </c>
      <c r="K15" s="58">
        <v>113.10599999999999</v>
      </c>
      <c r="L15" s="58">
        <v>77.899000000000001</v>
      </c>
      <c r="M15" s="58">
        <v>277.32</v>
      </c>
      <c r="N15" s="76">
        <v>470</v>
      </c>
      <c r="O15" s="76">
        <v>420</v>
      </c>
      <c r="P15" s="76">
        <v>382</v>
      </c>
      <c r="Q15" s="76">
        <v>353</v>
      </c>
      <c r="R15" s="76">
        <v>329</v>
      </c>
      <c r="S15" s="636">
        <v>307</v>
      </c>
      <c r="U15" s="47"/>
    </row>
    <row r="16" spans="1:21" ht="12" x14ac:dyDescent="0.2">
      <c r="A16" s="8"/>
      <c r="B16" s="2" t="s">
        <v>35</v>
      </c>
      <c r="C16" s="10">
        <v>157</v>
      </c>
      <c r="D16" s="10"/>
      <c r="E16" s="11" t="s">
        <v>11</v>
      </c>
      <c r="G16" s="57" t="s">
        <v>36</v>
      </c>
      <c r="H16" s="58">
        <v>0</v>
      </c>
      <c r="I16" s="58">
        <v>0</v>
      </c>
      <c r="J16" s="58">
        <v>0</v>
      </c>
      <c r="K16" s="58">
        <v>0</v>
      </c>
      <c r="L16" s="58">
        <v>0</v>
      </c>
      <c r="M16" s="58">
        <v>0</v>
      </c>
      <c r="N16" s="76">
        <v>0</v>
      </c>
      <c r="O16" s="76">
        <v>0</v>
      </c>
      <c r="P16" s="76">
        <v>0</v>
      </c>
      <c r="Q16" s="76">
        <v>0</v>
      </c>
      <c r="R16" s="76">
        <v>0</v>
      </c>
      <c r="S16" s="636">
        <v>0</v>
      </c>
      <c r="U16" s="47"/>
    </row>
    <row r="17" spans="1:21" ht="12" x14ac:dyDescent="0.2">
      <c r="A17" s="15"/>
      <c r="B17" s="2" t="s">
        <v>37</v>
      </c>
      <c r="C17" s="78" t="s">
        <v>38</v>
      </c>
      <c r="D17" s="15"/>
      <c r="E17" s="11" t="s">
        <v>11</v>
      </c>
      <c r="F17" s="16"/>
      <c r="G17" s="59" t="s">
        <v>39</v>
      </c>
      <c r="H17" s="60">
        <v>0</v>
      </c>
      <c r="I17" s="60">
        <v>0</v>
      </c>
      <c r="J17" s="60">
        <v>0</v>
      </c>
      <c r="K17" s="60">
        <v>0</v>
      </c>
      <c r="L17" s="60">
        <v>0</v>
      </c>
      <c r="M17" s="60">
        <v>0</v>
      </c>
      <c r="N17" s="80">
        <v>0</v>
      </c>
      <c r="O17" s="80">
        <v>0</v>
      </c>
      <c r="P17" s="80">
        <v>0</v>
      </c>
      <c r="Q17" s="80">
        <v>0</v>
      </c>
      <c r="R17" s="80">
        <v>0</v>
      </c>
      <c r="S17" s="637">
        <v>0</v>
      </c>
      <c r="U17" s="47"/>
    </row>
    <row r="18" spans="1:21" ht="11.25" x14ac:dyDescent="0.2">
      <c r="A18" s="8"/>
      <c r="B18" s="2" t="s">
        <v>40</v>
      </c>
      <c r="C18" s="10">
        <v>2</v>
      </c>
      <c r="D18" s="10"/>
      <c r="E18" s="12"/>
      <c r="G18" s="57" t="s">
        <v>41</v>
      </c>
      <c r="H18" s="56">
        <f t="shared" ref="H18:S18" si="3">H19+H27</f>
        <v>0</v>
      </c>
      <c r="I18" s="56">
        <f t="shared" si="3"/>
        <v>87.119</v>
      </c>
      <c r="J18" s="56">
        <f t="shared" si="3"/>
        <v>272.87</v>
      </c>
      <c r="K18" s="56">
        <f t="shared" si="3"/>
        <v>454.89599999999996</v>
      </c>
      <c r="L18" s="56">
        <f t="shared" si="3"/>
        <v>467.31799999999998</v>
      </c>
      <c r="M18" s="56">
        <f t="shared" si="3"/>
        <v>446.04200000000003</v>
      </c>
      <c r="N18" s="77">
        <f t="shared" si="3"/>
        <v>555</v>
      </c>
      <c r="O18" s="77">
        <f t="shared" si="3"/>
        <v>490</v>
      </c>
      <c r="P18" s="77">
        <f t="shared" si="3"/>
        <v>452</v>
      </c>
      <c r="Q18" s="77">
        <f t="shared" si="3"/>
        <v>423</v>
      </c>
      <c r="R18" s="77">
        <f t="shared" si="3"/>
        <v>399</v>
      </c>
      <c r="S18" s="635">
        <f t="shared" si="3"/>
        <v>377</v>
      </c>
      <c r="U18" s="47"/>
    </row>
    <row r="19" spans="1:21" ht="11.25" x14ac:dyDescent="0.2">
      <c r="A19" s="8"/>
      <c r="B19" s="2" t="s">
        <v>42</v>
      </c>
      <c r="C19" s="10" t="s">
        <v>43</v>
      </c>
      <c r="D19" s="10"/>
      <c r="E19" s="12"/>
      <c r="G19" s="57" t="s">
        <v>44</v>
      </c>
      <c r="H19" s="56">
        <f t="shared" ref="H19:S19" si="4">SUM(H21:H26)</f>
        <v>0</v>
      </c>
      <c r="I19" s="56">
        <f t="shared" si="4"/>
        <v>0</v>
      </c>
      <c r="J19" s="56">
        <f t="shared" si="4"/>
        <v>249.047</v>
      </c>
      <c r="K19" s="56">
        <f t="shared" si="4"/>
        <v>451.44799999999998</v>
      </c>
      <c r="L19" s="56">
        <f t="shared" si="4"/>
        <v>206.05600000000001</v>
      </c>
      <c r="M19" s="56">
        <f t="shared" si="4"/>
        <v>301.20800000000003</v>
      </c>
      <c r="N19" s="77">
        <f t="shared" si="4"/>
        <v>495</v>
      </c>
      <c r="O19" s="77">
        <f t="shared" si="4"/>
        <v>340</v>
      </c>
      <c r="P19" s="77">
        <f t="shared" si="4"/>
        <v>310</v>
      </c>
      <c r="Q19" s="77">
        <f t="shared" si="4"/>
        <v>290</v>
      </c>
      <c r="R19" s="77">
        <f t="shared" si="4"/>
        <v>280</v>
      </c>
      <c r="S19" s="635">
        <f t="shared" si="4"/>
        <v>280</v>
      </c>
      <c r="U19" s="47"/>
    </row>
    <row r="20" spans="1:21" ht="12" x14ac:dyDescent="0.2">
      <c r="A20" s="17"/>
      <c r="B20" s="2" t="s">
        <v>45</v>
      </c>
      <c r="C20" s="78" t="s">
        <v>46</v>
      </c>
      <c r="D20" s="15"/>
      <c r="E20" s="11" t="s">
        <v>11</v>
      </c>
      <c r="F20" s="17"/>
      <c r="G20" s="59" t="s">
        <v>47</v>
      </c>
      <c r="H20" s="61">
        <v>0</v>
      </c>
      <c r="I20" s="61">
        <v>0</v>
      </c>
      <c r="J20" s="61">
        <v>249.047</v>
      </c>
      <c r="K20" s="61">
        <v>451.44799999999998</v>
      </c>
      <c r="L20" s="61">
        <v>206.05600000000001</v>
      </c>
      <c r="M20" s="61">
        <v>301.20800000000003</v>
      </c>
      <c r="N20" s="82">
        <v>0</v>
      </c>
      <c r="O20" s="82">
        <v>0</v>
      </c>
      <c r="P20" s="82">
        <v>0</v>
      </c>
      <c r="Q20" s="82">
        <v>0</v>
      </c>
      <c r="R20" s="82">
        <v>0</v>
      </c>
      <c r="S20" s="638">
        <v>0</v>
      </c>
      <c r="U20" s="47"/>
    </row>
    <row r="21" spans="1:21" ht="12" x14ac:dyDescent="0.2">
      <c r="A21" s="8"/>
      <c r="B21" s="2" t="s">
        <v>48</v>
      </c>
      <c r="C21" s="18" t="s">
        <v>49</v>
      </c>
      <c r="D21" s="18"/>
      <c r="E21" s="11" t="s">
        <v>11</v>
      </c>
      <c r="G21" s="57" t="s">
        <v>50</v>
      </c>
      <c r="H21" s="58">
        <v>0</v>
      </c>
      <c r="I21" s="58">
        <v>0</v>
      </c>
      <c r="J21" s="58">
        <v>249.047</v>
      </c>
      <c r="K21" s="58">
        <v>451.44799999999998</v>
      </c>
      <c r="L21" s="58">
        <v>206.05600000000001</v>
      </c>
      <c r="M21" s="58">
        <v>301.20800000000003</v>
      </c>
      <c r="N21" s="76">
        <v>495</v>
      </c>
      <c r="O21" s="76">
        <v>340</v>
      </c>
      <c r="P21" s="76">
        <v>310</v>
      </c>
      <c r="Q21" s="76">
        <v>290</v>
      </c>
      <c r="R21" s="76">
        <v>280</v>
      </c>
      <c r="S21" s="636">
        <v>280</v>
      </c>
      <c r="U21" s="47"/>
    </row>
    <row r="22" spans="1:21" ht="12" x14ac:dyDescent="0.2">
      <c r="A22" s="8"/>
      <c r="B22" s="2" t="s">
        <v>51</v>
      </c>
      <c r="C22" s="10" t="s">
        <v>52</v>
      </c>
      <c r="D22" s="10"/>
      <c r="E22" s="11" t="s">
        <v>11</v>
      </c>
      <c r="G22" s="57" t="s">
        <v>53</v>
      </c>
      <c r="H22" s="58">
        <v>0</v>
      </c>
      <c r="I22" s="58">
        <v>0</v>
      </c>
      <c r="J22" s="58">
        <v>0</v>
      </c>
      <c r="K22" s="58">
        <v>0</v>
      </c>
      <c r="L22" s="58">
        <v>0</v>
      </c>
      <c r="M22" s="58">
        <v>0</v>
      </c>
      <c r="N22" s="76">
        <v>0</v>
      </c>
      <c r="O22" s="76">
        <v>0</v>
      </c>
      <c r="P22" s="76">
        <v>0</v>
      </c>
      <c r="Q22" s="76">
        <v>0</v>
      </c>
      <c r="R22" s="76">
        <v>0</v>
      </c>
      <c r="S22" s="636">
        <v>0</v>
      </c>
      <c r="U22" s="47"/>
    </row>
    <row r="23" spans="1:21" ht="12" x14ac:dyDescent="0.2">
      <c r="A23" s="8"/>
      <c r="B23" s="2" t="s">
        <v>54</v>
      </c>
      <c r="C23" s="10">
        <v>257</v>
      </c>
      <c r="D23" s="10"/>
      <c r="E23" s="11" t="s">
        <v>11</v>
      </c>
      <c r="G23" s="57" t="s">
        <v>55</v>
      </c>
      <c r="H23" s="58">
        <v>0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76">
        <v>0</v>
      </c>
      <c r="O23" s="76">
        <v>0</v>
      </c>
      <c r="P23" s="76">
        <v>0</v>
      </c>
      <c r="Q23" s="76">
        <v>0</v>
      </c>
      <c r="R23" s="76">
        <v>0</v>
      </c>
      <c r="S23" s="636">
        <v>0</v>
      </c>
      <c r="U23" s="47"/>
    </row>
    <row r="24" spans="1:21" ht="12" x14ac:dyDescent="0.2">
      <c r="A24" s="19"/>
      <c r="B24" s="2" t="s">
        <v>56</v>
      </c>
      <c r="C24" s="10" t="s">
        <v>57</v>
      </c>
      <c r="D24" s="10"/>
      <c r="E24" s="11" t="s">
        <v>11</v>
      </c>
      <c r="F24" s="19"/>
      <c r="G24" s="57" t="s">
        <v>58</v>
      </c>
      <c r="H24" s="58">
        <v>0</v>
      </c>
      <c r="I24" s="58">
        <v>0</v>
      </c>
      <c r="J24" s="58">
        <v>0</v>
      </c>
      <c r="K24" s="58">
        <v>0</v>
      </c>
      <c r="L24" s="58">
        <v>0</v>
      </c>
      <c r="M24" s="58">
        <v>0</v>
      </c>
      <c r="N24" s="76">
        <v>0</v>
      </c>
      <c r="O24" s="76">
        <v>0</v>
      </c>
      <c r="P24" s="76">
        <v>0</v>
      </c>
      <c r="Q24" s="76">
        <v>0</v>
      </c>
      <c r="R24" s="76">
        <v>0</v>
      </c>
      <c r="S24" s="636">
        <v>0</v>
      </c>
      <c r="U24" s="47"/>
    </row>
    <row r="25" spans="1:21" ht="12" x14ac:dyDescent="0.2">
      <c r="A25" s="19"/>
      <c r="B25" s="2" t="s">
        <v>59</v>
      </c>
      <c r="C25" s="10" t="s">
        <v>60</v>
      </c>
      <c r="D25" s="10"/>
      <c r="E25" s="11" t="s">
        <v>11</v>
      </c>
      <c r="F25" s="19"/>
      <c r="G25" s="57" t="s">
        <v>61</v>
      </c>
      <c r="H25" s="58">
        <v>0</v>
      </c>
      <c r="I25" s="58">
        <v>0</v>
      </c>
      <c r="J25" s="58">
        <v>0</v>
      </c>
      <c r="K25" s="58">
        <v>0</v>
      </c>
      <c r="L25" s="58">
        <v>0</v>
      </c>
      <c r="M25" s="58">
        <v>0</v>
      </c>
      <c r="N25" s="76">
        <v>0</v>
      </c>
      <c r="O25" s="76">
        <v>0</v>
      </c>
      <c r="P25" s="76">
        <v>0</v>
      </c>
      <c r="Q25" s="76">
        <v>0</v>
      </c>
      <c r="R25" s="76">
        <v>0</v>
      </c>
      <c r="S25" s="636">
        <v>0</v>
      </c>
      <c r="U25" s="47"/>
    </row>
    <row r="26" spans="1:21" ht="12" x14ac:dyDescent="0.2">
      <c r="A26" s="8"/>
      <c r="B26" s="2" t="s">
        <v>62</v>
      </c>
      <c r="C26" s="10">
        <v>28</v>
      </c>
      <c r="D26" s="10"/>
      <c r="E26" s="11" t="s">
        <v>11</v>
      </c>
      <c r="G26" s="57" t="s">
        <v>63</v>
      </c>
      <c r="H26" s="58">
        <v>0</v>
      </c>
      <c r="I26" s="58">
        <v>0</v>
      </c>
      <c r="J26" s="58">
        <v>0</v>
      </c>
      <c r="K26" s="58">
        <v>0</v>
      </c>
      <c r="L26" s="58">
        <v>0</v>
      </c>
      <c r="M26" s="58">
        <v>0</v>
      </c>
      <c r="N26" s="76">
        <v>0</v>
      </c>
      <c r="O26" s="76">
        <v>0</v>
      </c>
      <c r="P26" s="76">
        <v>0</v>
      </c>
      <c r="Q26" s="76">
        <v>0</v>
      </c>
      <c r="R26" s="76">
        <v>0</v>
      </c>
      <c r="S26" s="636">
        <v>0</v>
      </c>
      <c r="U26" s="47"/>
    </row>
    <row r="27" spans="1:21" ht="11.25" x14ac:dyDescent="0.2">
      <c r="A27" s="8"/>
      <c r="B27" s="2" t="s">
        <v>64</v>
      </c>
      <c r="C27" s="10">
        <v>29</v>
      </c>
      <c r="D27" s="10"/>
      <c r="E27" s="12"/>
      <c r="G27" s="57" t="s">
        <v>65</v>
      </c>
      <c r="H27" s="56">
        <f t="shared" ref="H27:S27" si="5">SUM(H28:H30)</f>
        <v>0</v>
      </c>
      <c r="I27" s="56">
        <f t="shared" si="5"/>
        <v>87.119</v>
      </c>
      <c r="J27" s="56">
        <f t="shared" si="5"/>
        <v>23.823000000000008</v>
      </c>
      <c r="K27" s="56">
        <f t="shared" si="5"/>
        <v>3.4480000000000004</v>
      </c>
      <c r="L27" s="56">
        <f t="shared" si="5"/>
        <v>261.262</v>
      </c>
      <c r="M27" s="56">
        <f t="shared" si="5"/>
        <v>144.834</v>
      </c>
      <c r="N27" s="77">
        <f t="shared" si="5"/>
        <v>60</v>
      </c>
      <c r="O27" s="77">
        <f t="shared" si="5"/>
        <v>150</v>
      </c>
      <c r="P27" s="77">
        <f t="shared" si="5"/>
        <v>142</v>
      </c>
      <c r="Q27" s="77">
        <f t="shared" si="5"/>
        <v>133</v>
      </c>
      <c r="R27" s="77">
        <f t="shared" si="5"/>
        <v>119</v>
      </c>
      <c r="S27" s="635">
        <f t="shared" si="5"/>
        <v>97</v>
      </c>
      <c r="U27" s="47"/>
    </row>
    <row r="28" spans="1:21" ht="12" x14ac:dyDescent="0.2">
      <c r="A28" s="8"/>
      <c r="B28" s="2" t="s">
        <v>66</v>
      </c>
      <c r="C28" s="8" t="s">
        <v>67</v>
      </c>
      <c r="D28" s="8"/>
      <c r="E28" s="11" t="s">
        <v>11</v>
      </c>
      <c r="G28" s="57" t="s">
        <v>68</v>
      </c>
      <c r="H28" s="58">
        <v>0</v>
      </c>
      <c r="I28" s="58">
        <v>87.119</v>
      </c>
      <c r="J28" s="58">
        <v>107.819</v>
      </c>
      <c r="K28" s="58">
        <v>108</v>
      </c>
      <c r="L28" s="58">
        <v>107.819</v>
      </c>
      <c r="M28" s="58">
        <v>107.819</v>
      </c>
      <c r="N28" s="76">
        <v>108</v>
      </c>
      <c r="O28" s="76">
        <v>108</v>
      </c>
      <c r="P28" s="76">
        <v>108</v>
      </c>
      <c r="Q28" s="76">
        <v>108</v>
      </c>
      <c r="R28" s="76">
        <v>108</v>
      </c>
      <c r="S28" s="636">
        <v>108</v>
      </c>
      <c r="U28" s="47"/>
    </row>
    <row r="29" spans="1:21" ht="12" x14ac:dyDescent="0.2">
      <c r="A29" s="8"/>
      <c r="B29" s="2" t="s">
        <v>69</v>
      </c>
      <c r="C29" s="10">
        <v>298</v>
      </c>
      <c r="D29" s="10"/>
      <c r="E29" s="11" t="s">
        <v>11</v>
      </c>
      <c r="G29" s="57" t="s">
        <v>70</v>
      </c>
      <c r="H29" s="58">
        <v>0</v>
      </c>
      <c r="I29" s="58">
        <v>0</v>
      </c>
      <c r="J29" s="58">
        <v>0</v>
      </c>
      <c r="K29" s="58">
        <v>-84</v>
      </c>
      <c r="L29" s="58">
        <v>-104.548</v>
      </c>
      <c r="M29" s="58">
        <v>153.44300000000001</v>
      </c>
      <c r="N29" s="76">
        <v>37</v>
      </c>
      <c r="O29" s="76">
        <v>-48</v>
      </c>
      <c r="P29" s="76">
        <v>42</v>
      </c>
      <c r="Q29" s="76">
        <v>34</v>
      </c>
      <c r="R29" s="76">
        <v>25</v>
      </c>
      <c r="S29" s="636">
        <v>11</v>
      </c>
      <c r="U29" s="47"/>
    </row>
    <row r="30" spans="1:21" ht="12" x14ac:dyDescent="0.2">
      <c r="A30" s="8"/>
      <c r="B30" s="2" t="s">
        <v>71</v>
      </c>
      <c r="C30" s="10">
        <v>299</v>
      </c>
      <c r="D30" s="10"/>
      <c r="E30" s="11" t="s">
        <v>72</v>
      </c>
      <c r="G30" s="57" t="s">
        <v>73</v>
      </c>
      <c r="H30" s="58">
        <v>0</v>
      </c>
      <c r="I30" s="58">
        <v>0</v>
      </c>
      <c r="J30" s="58">
        <v>-83.995999999999995</v>
      </c>
      <c r="K30" s="58">
        <v>-20.552</v>
      </c>
      <c r="L30" s="58">
        <v>257.99099999999999</v>
      </c>
      <c r="M30" s="58">
        <v>-116.428</v>
      </c>
      <c r="N30" s="76">
        <v>-85</v>
      </c>
      <c r="O30" s="76">
        <v>90</v>
      </c>
      <c r="P30" s="76">
        <v>-8</v>
      </c>
      <c r="Q30" s="76">
        <v>-9</v>
      </c>
      <c r="R30" s="76">
        <v>-14</v>
      </c>
      <c r="S30" s="636">
        <v>-22</v>
      </c>
      <c r="U30" s="47"/>
    </row>
    <row r="31" spans="1:21" ht="11.25" x14ac:dyDescent="0.2">
      <c r="A31" s="20"/>
      <c r="B31" s="2" t="s">
        <v>368</v>
      </c>
      <c r="C31" s="83" t="s">
        <v>369</v>
      </c>
      <c r="D31" s="21"/>
      <c r="E31" s="22"/>
      <c r="F31" s="20"/>
      <c r="G31" s="62" t="s">
        <v>74</v>
      </c>
      <c r="H31" s="63">
        <f t="shared" ref="H31:S31" si="6">H4-H18</f>
        <v>0</v>
      </c>
      <c r="I31" s="63">
        <f t="shared" si="6"/>
        <v>0</v>
      </c>
      <c r="J31" s="63">
        <f t="shared" si="6"/>
        <v>-1.0000000000331966E-3</v>
      </c>
      <c r="K31" s="63">
        <f t="shared" si="6"/>
        <v>-0.17699999999996407</v>
      </c>
      <c r="L31" s="63">
        <f t="shared" si="6"/>
        <v>0</v>
      </c>
      <c r="M31" s="63">
        <f t="shared" si="6"/>
        <v>0</v>
      </c>
      <c r="N31" s="85">
        <f t="shared" si="6"/>
        <v>0</v>
      </c>
      <c r="O31" s="85">
        <f t="shared" si="6"/>
        <v>0</v>
      </c>
      <c r="P31" s="85">
        <f t="shared" si="6"/>
        <v>0</v>
      </c>
      <c r="Q31" s="85">
        <f t="shared" si="6"/>
        <v>0</v>
      </c>
      <c r="R31" s="85">
        <f t="shared" si="6"/>
        <v>0</v>
      </c>
      <c r="S31" s="639">
        <f t="shared" si="6"/>
        <v>0</v>
      </c>
      <c r="U31" s="47"/>
    </row>
    <row r="32" spans="1:21" ht="11.25" x14ac:dyDescent="0.2">
      <c r="A32" s="8"/>
      <c r="B32" s="2"/>
      <c r="C32" s="10"/>
      <c r="D32" s="10"/>
      <c r="E32" s="9"/>
      <c r="G32" s="53" t="s">
        <v>75</v>
      </c>
      <c r="H32" s="64">
        <v>2011</v>
      </c>
      <c r="I32" s="64">
        <f t="shared" ref="I32:S32" si="7">H32+1</f>
        <v>2012</v>
      </c>
      <c r="J32" s="64">
        <f t="shared" si="7"/>
        <v>2013</v>
      </c>
      <c r="K32" s="64">
        <f t="shared" si="7"/>
        <v>2014</v>
      </c>
      <c r="L32" s="64">
        <f t="shared" si="7"/>
        <v>2015</v>
      </c>
      <c r="M32" s="64">
        <f t="shared" si="7"/>
        <v>2016</v>
      </c>
      <c r="N32" s="87">
        <f t="shared" si="7"/>
        <v>2017</v>
      </c>
      <c r="O32" s="87">
        <f t="shared" si="7"/>
        <v>2018</v>
      </c>
      <c r="P32" s="87">
        <f t="shared" si="7"/>
        <v>2019</v>
      </c>
      <c r="Q32" s="87">
        <f t="shared" si="7"/>
        <v>2020</v>
      </c>
      <c r="R32" s="87">
        <f t="shared" si="7"/>
        <v>2021</v>
      </c>
      <c r="S32" s="640">
        <f t="shared" si="7"/>
        <v>2022</v>
      </c>
      <c r="U32" s="47"/>
    </row>
    <row r="33" spans="1:21" ht="11.25" x14ac:dyDescent="0.2">
      <c r="A33" s="8"/>
      <c r="B33" s="2" t="s">
        <v>76</v>
      </c>
      <c r="C33" s="10">
        <v>3</v>
      </c>
      <c r="D33" s="10"/>
      <c r="E33" s="9"/>
      <c r="G33" s="55" t="s">
        <v>77</v>
      </c>
      <c r="H33" s="56">
        <f t="shared" ref="H33:S33" si="8">SUM(H34:H37)</f>
        <v>0</v>
      </c>
      <c r="I33" s="56">
        <f t="shared" si="8"/>
        <v>0</v>
      </c>
      <c r="J33" s="56">
        <f t="shared" si="8"/>
        <v>1353.327</v>
      </c>
      <c r="K33" s="56">
        <f t="shared" si="8"/>
        <v>1679.8530000000001</v>
      </c>
      <c r="L33" s="56">
        <f t="shared" si="8"/>
        <v>2347.3310000000001</v>
      </c>
      <c r="M33" s="56">
        <f t="shared" si="8"/>
        <v>1885.9949999999999</v>
      </c>
      <c r="N33" s="77">
        <f t="shared" si="8"/>
        <v>1903</v>
      </c>
      <c r="O33" s="77">
        <f t="shared" si="8"/>
        <v>1690</v>
      </c>
      <c r="P33" s="77">
        <f t="shared" si="8"/>
        <v>1800</v>
      </c>
      <c r="Q33" s="77">
        <f t="shared" si="8"/>
        <v>1800</v>
      </c>
      <c r="R33" s="77">
        <f t="shared" si="8"/>
        <v>1800</v>
      </c>
      <c r="S33" s="635">
        <f t="shared" si="8"/>
        <v>1800</v>
      </c>
      <c r="U33" s="47"/>
    </row>
    <row r="34" spans="1:21" ht="12" x14ac:dyDescent="0.2">
      <c r="A34" s="8"/>
      <c r="B34" s="2" t="s">
        <v>78</v>
      </c>
      <c r="C34" s="10">
        <v>30</v>
      </c>
      <c r="D34" s="10"/>
      <c r="E34" s="11" t="s">
        <v>11</v>
      </c>
      <c r="G34" s="57" t="s">
        <v>79</v>
      </c>
      <c r="H34" s="58">
        <v>0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76">
        <v>0</v>
      </c>
      <c r="O34" s="76">
        <v>0</v>
      </c>
      <c r="P34" s="76">
        <v>0</v>
      </c>
      <c r="Q34" s="76">
        <v>0</v>
      </c>
      <c r="R34" s="76">
        <v>0</v>
      </c>
      <c r="S34" s="636">
        <v>0</v>
      </c>
      <c r="U34" s="47"/>
    </row>
    <row r="35" spans="1:21" ht="12" x14ac:dyDescent="0.2">
      <c r="A35" s="8"/>
      <c r="B35" s="2" t="s">
        <v>80</v>
      </c>
      <c r="C35" s="10">
        <v>32</v>
      </c>
      <c r="D35" s="10"/>
      <c r="E35" s="11" t="s">
        <v>11</v>
      </c>
      <c r="G35" s="57" t="s">
        <v>81</v>
      </c>
      <c r="H35" s="58">
        <v>0</v>
      </c>
      <c r="I35" s="58">
        <v>0</v>
      </c>
      <c r="J35" s="58">
        <v>409.57</v>
      </c>
      <c r="K35" s="58">
        <v>709.9</v>
      </c>
      <c r="L35" s="58">
        <v>1018.159</v>
      </c>
      <c r="M35" s="58">
        <v>753.56399999999996</v>
      </c>
      <c r="N35" s="76">
        <v>532</v>
      </c>
      <c r="O35" s="76">
        <v>490</v>
      </c>
      <c r="P35" s="76">
        <v>600</v>
      </c>
      <c r="Q35" s="76">
        <v>600</v>
      </c>
      <c r="R35" s="76">
        <v>600</v>
      </c>
      <c r="S35" s="636">
        <v>600</v>
      </c>
      <c r="U35" s="47"/>
    </row>
    <row r="36" spans="1:21" ht="12" x14ac:dyDescent="0.2">
      <c r="A36" s="13"/>
      <c r="B36" s="2" t="s">
        <v>82</v>
      </c>
      <c r="C36" s="10">
        <v>35</v>
      </c>
      <c r="D36" s="10"/>
      <c r="E36" s="11" t="s">
        <v>11</v>
      </c>
      <c r="F36" s="13"/>
      <c r="G36" s="57" t="s">
        <v>83</v>
      </c>
      <c r="H36" s="58">
        <v>0</v>
      </c>
      <c r="I36" s="58">
        <v>0</v>
      </c>
      <c r="J36" s="58">
        <v>943.93</v>
      </c>
      <c r="K36" s="58">
        <v>969.95299999999997</v>
      </c>
      <c r="L36" s="58">
        <v>1329.172</v>
      </c>
      <c r="M36" s="58">
        <v>1132.431</v>
      </c>
      <c r="N36" s="76">
        <v>1371</v>
      </c>
      <c r="O36" s="76">
        <v>1200</v>
      </c>
      <c r="P36" s="76">
        <v>1200</v>
      </c>
      <c r="Q36" s="76">
        <v>1200</v>
      </c>
      <c r="R36" s="76">
        <v>1200</v>
      </c>
      <c r="S36" s="636">
        <v>1200</v>
      </c>
      <c r="U36" s="47"/>
    </row>
    <row r="37" spans="1:21" ht="12" x14ac:dyDescent="0.2">
      <c r="A37" s="8"/>
      <c r="B37" s="2" t="s">
        <v>84</v>
      </c>
      <c r="C37" s="10">
        <v>38</v>
      </c>
      <c r="D37" s="10"/>
      <c r="E37" s="11" t="s">
        <v>72</v>
      </c>
      <c r="G37" s="57" t="s">
        <v>85</v>
      </c>
      <c r="H37" s="58">
        <v>0</v>
      </c>
      <c r="I37" s="58">
        <v>0</v>
      </c>
      <c r="J37" s="58">
        <v>-0.17299999999999999</v>
      </c>
      <c r="K37" s="58">
        <v>0</v>
      </c>
      <c r="L37" s="58">
        <v>0</v>
      </c>
      <c r="M37" s="58">
        <v>0</v>
      </c>
      <c r="N37" s="76">
        <v>0</v>
      </c>
      <c r="O37" s="76">
        <v>0</v>
      </c>
      <c r="P37" s="76">
        <v>0</v>
      </c>
      <c r="Q37" s="76">
        <v>0</v>
      </c>
      <c r="R37" s="76">
        <v>0</v>
      </c>
      <c r="S37" s="636">
        <v>0</v>
      </c>
      <c r="U37" s="47"/>
    </row>
    <row r="38" spans="1:21" ht="11.25" x14ac:dyDescent="0.2">
      <c r="A38" s="8"/>
      <c r="B38" s="2" t="s">
        <v>86</v>
      </c>
      <c r="C38" s="10">
        <v>4</v>
      </c>
      <c r="D38" s="10"/>
      <c r="E38" s="23"/>
      <c r="G38" s="57" t="s">
        <v>87</v>
      </c>
      <c r="H38" s="56">
        <f t="shared" ref="H38:S38" si="9">H39+H40</f>
        <v>0</v>
      </c>
      <c r="I38" s="56">
        <f t="shared" si="9"/>
        <v>0</v>
      </c>
      <c r="J38" s="56">
        <f t="shared" si="9"/>
        <v>-61.670999999999999</v>
      </c>
      <c r="K38" s="56">
        <f t="shared" si="9"/>
        <v>0</v>
      </c>
      <c r="L38" s="56">
        <f t="shared" si="9"/>
        <v>0</v>
      </c>
      <c r="M38" s="56">
        <f t="shared" si="9"/>
        <v>0</v>
      </c>
      <c r="N38" s="77">
        <f t="shared" si="9"/>
        <v>0</v>
      </c>
      <c r="O38" s="77">
        <f t="shared" si="9"/>
        <v>0</v>
      </c>
      <c r="P38" s="77">
        <f t="shared" si="9"/>
        <v>0</v>
      </c>
      <c r="Q38" s="77">
        <f t="shared" si="9"/>
        <v>0</v>
      </c>
      <c r="R38" s="77">
        <f t="shared" si="9"/>
        <v>0</v>
      </c>
      <c r="S38" s="635">
        <f t="shared" si="9"/>
        <v>0</v>
      </c>
      <c r="U38" s="47"/>
    </row>
    <row r="39" spans="1:21" ht="12" x14ac:dyDescent="0.2">
      <c r="A39" s="8"/>
      <c r="B39" s="2" t="s">
        <v>88</v>
      </c>
      <c r="C39" s="10">
        <v>41</v>
      </c>
      <c r="D39" s="10"/>
      <c r="E39" s="11" t="s">
        <v>89</v>
      </c>
      <c r="G39" s="57" t="s">
        <v>90</v>
      </c>
      <c r="H39" s="58">
        <v>0</v>
      </c>
      <c r="I39" s="58">
        <v>0</v>
      </c>
      <c r="J39" s="58">
        <v>0</v>
      </c>
      <c r="K39" s="58">
        <v>0</v>
      </c>
      <c r="L39" s="58">
        <v>0</v>
      </c>
      <c r="M39" s="58">
        <v>0</v>
      </c>
      <c r="N39" s="76">
        <v>0</v>
      </c>
      <c r="O39" s="76">
        <v>0</v>
      </c>
      <c r="P39" s="76">
        <v>0</v>
      </c>
      <c r="Q39" s="76">
        <v>0</v>
      </c>
      <c r="R39" s="76">
        <v>0</v>
      </c>
      <c r="S39" s="636">
        <v>0</v>
      </c>
      <c r="U39" s="47"/>
    </row>
    <row r="40" spans="1:21" ht="12" x14ac:dyDescent="0.2">
      <c r="A40" s="8"/>
      <c r="B40" s="2" t="s">
        <v>91</v>
      </c>
      <c r="C40" s="10">
        <v>45</v>
      </c>
      <c r="D40" s="10"/>
      <c r="E40" s="11" t="s">
        <v>89</v>
      </c>
      <c r="G40" s="57" t="s">
        <v>92</v>
      </c>
      <c r="H40" s="58">
        <v>0</v>
      </c>
      <c r="I40" s="58">
        <v>0</v>
      </c>
      <c r="J40" s="58">
        <v>-61.670999999999999</v>
      </c>
      <c r="K40" s="58">
        <v>0</v>
      </c>
      <c r="L40" s="58">
        <v>0</v>
      </c>
      <c r="M40" s="58">
        <v>0</v>
      </c>
      <c r="N40" s="76">
        <v>0</v>
      </c>
      <c r="O40" s="76">
        <v>0</v>
      </c>
      <c r="P40" s="76">
        <v>0</v>
      </c>
      <c r="Q40" s="76">
        <v>0</v>
      </c>
      <c r="R40" s="76">
        <v>0</v>
      </c>
      <c r="S40" s="636">
        <v>0</v>
      </c>
      <c r="U40" s="47"/>
    </row>
    <row r="41" spans="1:21" ht="11.25" x14ac:dyDescent="0.2">
      <c r="A41" s="13"/>
      <c r="B41" s="2" t="s">
        <v>93</v>
      </c>
      <c r="C41" s="10" t="s">
        <v>94</v>
      </c>
      <c r="D41" s="10"/>
      <c r="E41" s="23"/>
      <c r="F41" s="13"/>
      <c r="G41" s="57" t="s">
        <v>95</v>
      </c>
      <c r="H41" s="56">
        <f t="shared" ref="H41:S41" si="10">SUM(H42:H45)</f>
        <v>0</v>
      </c>
      <c r="I41" s="56">
        <f t="shared" si="10"/>
        <v>0</v>
      </c>
      <c r="J41" s="56">
        <f t="shared" si="10"/>
        <v>-1375.5509999999999</v>
      </c>
      <c r="K41" s="56">
        <f t="shared" si="10"/>
        <v>-1700.405</v>
      </c>
      <c r="L41" s="56">
        <f t="shared" si="10"/>
        <v>-2089.8809999999999</v>
      </c>
      <c r="M41" s="56">
        <f t="shared" si="10"/>
        <v>-2003.028</v>
      </c>
      <c r="N41" s="56">
        <f t="shared" si="10"/>
        <v>-1988</v>
      </c>
      <c r="O41" s="56">
        <f t="shared" si="10"/>
        <v>-1601</v>
      </c>
      <c r="P41" s="56">
        <f t="shared" si="10"/>
        <v>-1809</v>
      </c>
      <c r="Q41" s="56">
        <f t="shared" si="10"/>
        <v>-1810</v>
      </c>
      <c r="R41" s="56">
        <f t="shared" si="10"/>
        <v>-1815</v>
      </c>
      <c r="S41" s="635">
        <f t="shared" si="10"/>
        <v>-1823</v>
      </c>
      <c r="U41" s="47"/>
    </row>
    <row r="42" spans="1:21" ht="12" x14ac:dyDescent="0.2">
      <c r="A42" s="8"/>
      <c r="B42" s="2" t="s">
        <v>96</v>
      </c>
      <c r="C42" s="10">
        <v>50</v>
      </c>
      <c r="D42" s="10"/>
      <c r="E42" s="11" t="s">
        <v>89</v>
      </c>
      <c r="G42" s="57" t="s">
        <v>97</v>
      </c>
      <c r="H42" s="58">
        <v>0</v>
      </c>
      <c r="I42" s="58">
        <v>0</v>
      </c>
      <c r="J42" s="58">
        <v>-718.32299999999998</v>
      </c>
      <c r="K42" s="58">
        <v>-962.29</v>
      </c>
      <c r="L42" s="58">
        <v>-1036.704</v>
      </c>
      <c r="M42" s="58">
        <v>-1037.943</v>
      </c>
      <c r="N42" s="76">
        <v>-1047</v>
      </c>
      <c r="O42" s="76">
        <v>-1052</v>
      </c>
      <c r="P42" s="76">
        <v>-1052</v>
      </c>
      <c r="Q42" s="76">
        <v>-1052</v>
      </c>
      <c r="R42" s="76">
        <v>-1052</v>
      </c>
      <c r="S42" s="636">
        <v>-1052</v>
      </c>
      <c r="U42" s="47"/>
    </row>
    <row r="43" spans="1:21" ht="12" x14ac:dyDescent="0.2">
      <c r="A43" s="8"/>
      <c r="B43" s="2" t="s">
        <v>98</v>
      </c>
      <c r="C43" s="10">
        <v>55</v>
      </c>
      <c r="D43" s="10"/>
      <c r="E43" s="11" t="s">
        <v>89</v>
      </c>
      <c r="G43" s="57" t="s">
        <v>99</v>
      </c>
      <c r="H43" s="58">
        <v>0</v>
      </c>
      <c r="I43" s="58">
        <v>0</v>
      </c>
      <c r="J43" s="58">
        <v>-611.93200000000002</v>
      </c>
      <c r="K43" s="58">
        <v>-683.88499999999999</v>
      </c>
      <c r="L43" s="58">
        <v>-1004.495</v>
      </c>
      <c r="M43" s="58">
        <v>-927.452</v>
      </c>
      <c r="N43" s="76">
        <v>-878</v>
      </c>
      <c r="O43" s="76">
        <v>-500</v>
      </c>
      <c r="P43" s="76">
        <v>-720</v>
      </c>
      <c r="Q43" s="76">
        <v>-730</v>
      </c>
      <c r="R43" s="76">
        <v>-740</v>
      </c>
      <c r="S43" s="636">
        <v>-750</v>
      </c>
      <c r="U43" s="47"/>
    </row>
    <row r="44" spans="1:21" ht="12" x14ac:dyDescent="0.2">
      <c r="A44" s="13"/>
      <c r="B44" s="2" t="s">
        <v>100</v>
      </c>
      <c r="C44" s="10">
        <v>60</v>
      </c>
      <c r="D44" s="10"/>
      <c r="E44" s="11" t="s">
        <v>89</v>
      </c>
      <c r="F44" s="13"/>
      <c r="G44" s="57" t="s">
        <v>101</v>
      </c>
      <c r="H44" s="58">
        <v>0</v>
      </c>
      <c r="I44" s="58">
        <v>0</v>
      </c>
      <c r="J44" s="58">
        <v>-3.8980000000000001</v>
      </c>
      <c r="K44" s="58">
        <v>-11.769</v>
      </c>
      <c r="L44" s="58">
        <v>-2.492</v>
      </c>
      <c r="M44" s="58">
        <v>0.53300000000000003</v>
      </c>
      <c r="N44" s="76">
        <v>-22</v>
      </c>
      <c r="O44" s="76">
        <v>1</v>
      </c>
      <c r="P44" s="76">
        <v>1</v>
      </c>
      <c r="Q44" s="76">
        <v>1</v>
      </c>
      <c r="R44" s="76">
        <v>1</v>
      </c>
      <c r="S44" s="636">
        <v>1</v>
      </c>
      <c r="U44" s="47"/>
    </row>
    <row r="45" spans="1:21" ht="12" x14ac:dyDescent="0.2">
      <c r="A45" s="8"/>
      <c r="B45" s="2" t="s">
        <v>102</v>
      </c>
      <c r="C45" s="10">
        <v>61</v>
      </c>
      <c r="D45" s="10"/>
      <c r="E45" s="11" t="s">
        <v>89</v>
      </c>
      <c r="G45" s="57" t="s">
        <v>103</v>
      </c>
      <c r="H45" s="58">
        <v>0</v>
      </c>
      <c r="I45" s="58">
        <v>0</v>
      </c>
      <c r="J45" s="58">
        <v>-41.398000000000003</v>
      </c>
      <c r="K45" s="58">
        <v>-42.460999999999999</v>
      </c>
      <c r="L45" s="58">
        <v>-46.19</v>
      </c>
      <c r="M45" s="58">
        <v>-38.165999999999997</v>
      </c>
      <c r="N45" s="76">
        <v>-41</v>
      </c>
      <c r="O45" s="76">
        <v>-50</v>
      </c>
      <c r="P45" s="76">
        <v>-38</v>
      </c>
      <c r="Q45" s="76">
        <v>-29</v>
      </c>
      <c r="R45" s="76">
        <v>-24</v>
      </c>
      <c r="S45" s="636">
        <v>-22</v>
      </c>
      <c r="U45" s="47"/>
    </row>
    <row r="46" spans="1:21" ht="11.25" x14ac:dyDescent="0.2">
      <c r="A46" s="8"/>
      <c r="B46" s="2" t="s">
        <v>104</v>
      </c>
      <c r="C46" s="10"/>
      <c r="D46" s="10"/>
      <c r="E46" s="9"/>
      <c r="G46" s="57" t="s">
        <v>105</v>
      </c>
      <c r="H46" s="56">
        <f t="shared" ref="H46:S46" si="11">H33+H38+H41</f>
        <v>0</v>
      </c>
      <c r="I46" s="56">
        <f t="shared" si="11"/>
        <v>0</v>
      </c>
      <c r="J46" s="56">
        <f t="shared" si="11"/>
        <v>-83.894999999999982</v>
      </c>
      <c r="K46" s="56">
        <f t="shared" si="11"/>
        <v>-20.551999999999907</v>
      </c>
      <c r="L46" s="56">
        <f t="shared" si="11"/>
        <v>257.45000000000027</v>
      </c>
      <c r="M46" s="56">
        <f t="shared" si="11"/>
        <v>-117.03300000000013</v>
      </c>
      <c r="N46" s="56">
        <f t="shared" si="11"/>
        <v>-85</v>
      </c>
      <c r="O46" s="56">
        <f t="shared" si="11"/>
        <v>89</v>
      </c>
      <c r="P46" s="56">
        <f t="shared" si="11"/>
        <v>-9</v>
      </c>
      <c r="Q46" s="56">
        <f t="shared" si="11"/>
        <v>-10</v>
      </c>
      <c r="R46" s="56">
        <f t="shared" si="11"/>
        <v>-15</v>
      </c>
      <c r="S46" s="635">
        <f t="shared" si="11"/>
        <v>-23</v>
      </c>
      <c r="U46" s="47"/>
    </row>
    <row r="47" spans="1:21" ht="12" x14ac:dyDescent="0.2">
      <c r="A47" s="8"/>
      <c r="B47" s="2" t="s">
        <v>106</v>
      </c>
      <c r="C47" s="10">
        <v>65</v>
      </c>
      <c r="D47" s="10"/>
      <c r="E47" s="11" t="s">
        <v>72</v>
      </c>
      <c r="G47" s="57" t="s">
        <v>107</v>
      </c>
      <c r="H47" s="58">
        <v>0</v>
      </c>
      <c r="I47" s="58">
        <v>0</v>
      </c>
      <c r="J47" s="58">
        <v>-0.10100000000000001</v>
      </c>
      <c r="K47" s="58">
        <v>0</v>
      </c>
      <c r="L47" s="58">
        <v>0.54200000000000004</v>
      </c>
      <c r="M47" s="58">
        <v>0.60499999999999998</v>
      </c>
      <c r="N47" s="58">
        <v>0</v>
      </c>
      <c r="O47" s="58">
        <v>1</v>
      </c>
      <c r="P47" s="58">
        <v>1</v>
      </c>
      <c r="Q47" s="58">
        <v>1</v>
      </c>
      <c r="R47" s="58">
        <v>1</v>
      </c>
      <c r="S47" s="636">
        <v>1</v>
      </c>
      <c r="U47" s="47"/>
    </row>
    <row r="48" spans="1:21" ht="11.25" x14ac:dyDescent="0.2">
      <c r="A48" s="8"/>
      <c r="B48" s="2" t="s">
        <v>108</v>
      </c>
      <c r="C48" s="10"/>
      <c r="D48" s="10"/>
      <c r="E48" s="9"/>
      <c r="G48" s="57" t="s">
        <v>109</v>
      </c>
      <c r="H48" s="56">
        <f t="shared" ref="H48:S48" si="12">H46+H47</f>
        <v>0</v>
      </c>
      <c r="I48" s="56">
        <f t="shared" si="12"/>
        <v>0</v>
      </c>
      <c r="J48" s="56">
        <f t="shared" si="12"/>
        <v>-83.995999999999981</v>
      </c>
      <c r="K48" s="56">
        <f t="shared" si="12"/>
        <v>-20.551999999999907</v>
      </c>
      <c r="L48" s="56">
        <f t="shared" si="12"/>
        <v>257.99200000000025</v>
      </c>
      <c r="M48" s="56">
        <f t="shared" si="12"/>
        <v>-116.42800000000013</v>
      </c>
      <c r="N48" s="56">
        <f t="shared" si="12"/>
        <v>-85</v>
      </c>
      <c r="O48" s="56">
        <f t="shared" si="12"/>
        <v>90</v>
      </c>
      <c r="P48" s="56">
        <f t="shared" si="12"/>
        <v>-8</v>
      </c>
      <c r="Q48" s="56">
        <f t="shared" si="12"/>
        <v>-9</v>
      </c>
      <c r="R48" s="56">
        <f t="shared" si="12"/>
        <v>-14</v>
      </c>
      <c r="S48" s="635">
        <f t="shared" si="12"/>
        <v>-22</v>
      </c>
      <c r="U48" s="47"/>
    </row>
    <row r="49" spans="1:21" ht="12" x14ac:dyDescent="0.2">
      <c r="A49" s="8"/>
      <c r="B49" s="2" t="s">
        <v>110</v>
      </c>
      <c r="C49" s="10">
        <v>68</v>
      </c>
      <c r="D49" s="10"/>
      <c r="E49" s="11" t="s">
        <v>89</v>
      </c>
      <c r="G49" s="57" t="s">
        <v>111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76">
        <v>0</v>
      </c>
      <c r="O49" s="76">
        <v>0</v>
      </c>
      <c r="P49" s="76">
        <v>0</v>
      </c>
      <c r="Q49" s="76">
        <v>0</v>
      </c>
      <c r="R49" s="76">
        <v>0</v>
      </c>
      <c r="S49" s="636">
        <v>0</v>
      </c>
      <c r="U49" s="47"/>
    </row>
    <row r="50" spans="1:21" ht="12" x14ac:dyDescent="0.2">
      <c r="A50" s="8"/>
      <c r="B50" s="2" t="s">
        <v>112</v>
      </c>
      <c r="C50" s="10">
        <v>69</v>
      </c>
      <c r="D50" s="10"/>
      <c r="E50" s="11" t="s">
        <v>11</v>
      </c>
      <c r="G50" s="57" t="s">
        <v>113</v>
      </c>
      <c r="H50" s="58">
        <v>0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76">
        <v>0</v>
      </c>
      <c r="O50" s="76">
        <v>0</v>
      </c>
      <c r="P50" s="76">
        <v>0</v>
      </c>
      <c r="Q50" s="76">
        <v>0</v>
      </c>
      <c r="R50" s="76">
        <v>0</v>
      </c>
      <c r="S50" s="636">
        <v>0</v>
      </c>
      <c r="U50" s="47"/>
    </row>
    <row r="51" spans="1:21" ht="11.25" x14ac:dyDescent="0.2">
      <c r="A51" s="8"/>
      <c r="B51" s="2" t="s">
        <v>114</v>
      </c>
      <c r="C51" s="10"/>
      <c r="D51" s="10"/>
      <c r="E51" s="9"/>
      <c r="G51" s="57" t="s">
        <v>115</v>
      </c>
      <c r="H51" s="56">
        <f t="shared" ref="H51:S51" si="13">H48+H49+H50</f>
        <v>0</v>
      </c>
      <c r="I51" s="56">
        <f t="shared" si="13"/>
        <v>0</v>
      </c>
      <c r="J51" s="56">
        <f t="shared" si="13"/>
        <v>-83.995999999999981</v>
      </c>
      <c r="K51" s="56">
        <f t="shared" si="13"/>
        <v>-20.551999999999907</v>
      </c>
      <c r="L51" s="56">
        <f t="shared" si="13"/>
        <v>257.99200000000025</v>
      </c>
      <c r="M51" s="56">
        <f t="shared" si="13"/>
        <v>-116.42800000000013</v>
      </c>
      <c r="N51" s="56">
        <f t="shared" si="13"/>
        <v>-85</v>
      </c>
      <c r="O51" s="56">
        <f t="shared" si="13"/>
        <v>90</v>
      </c>
      <c r="P51" s="56">
        <f t="shared" si="13"/>
        <v>-8</v>
      </c>
      <c r="Q51" s="56">
        <f t="shared" si="13"/>
        <v>-9</v>
      </c>
      <c r="R51" s="56">
        <f t="shared" si="13"/>
        <v>-14</v>
      </c>
      <c r="S51" s="635">
        <f t="shared" si="13"/>
        <v>-22</v>
      </c>
      <c r="U51" s="47"/>
    </row>
    <row r="52" spans="1:21" ht="11.25" x14ac:dyDescent="0.2">
      <c r="A52" s="24"/>
      <c r="B52" s="2" t="s">
        <v>370</v>
      </c>
      <c r="C52" s="83" t="s">
        <v>371</v>
      </c>
      <c r="D52" s="25"/>
      <c r="E52" s="26"/>
      <c r="F52" s="24"/>
      <c r="G52" s="62" t="s">
        <v>116</v>
      </c>
      <c r="H52" s="63">
        <f t="shared" ref="H52:S52" si="14">H30-H51</f>
        <v>0</v>
      </c>
      <c r="I52" s="63">
        <f t="shared" si="14"/>
        <v>0</v>
      </c>
      <c r="J52" s="63">
        <f t="shared" si="14"/>
        <v>0</v>
      </c>
      <c r="K52" s="63">
        <f t="shared" si="14"/>
        <v>-9.2370555648813024E-14</v>
      </c>
      <c r="L52" s="63">
        <f t="shared" si="14"/>
        <v>-1.0000000002605702E-3</v>
      </c>
      <c r="M52" s="63">
        <f t="shared" si="14"/>
        <v>1.2789769243681803E-13</v>
      </c>
      <c r="N52" s="85">
        <f t="shared" si="14"/>
        <v>0</v>
      </c>
      <c r="O52" s="85">
        <f t="shared" si="14"/>
        <v>0</v>
      </c>
      <c r="P52" s="85">
        <f t="shared" si="14"/>
        <v>0</v>
      </c>
      <c r="Q52" s="85">
        <f t="shared" si="14"/>
        <v>0</v>
      </c>
      <c r="R52" s="85">
        <f t="shared" si="14"/>
        <v>0</v>
      </c>
      <c r="S52" s="639">
        <f t="shared" si="14"/>
        <v>0</v>
      </c>
      <c r="U52" s="47"/>
    </row>
    <row r="53" spans="1:21" ht="11.25" x14ac:dyDescent="0.2">
      <c r="A53" s="8"/>
      <c r="B53" s="2"/>
      <c r="C53" s="10"/>
      <c r="D53" s="10"/>
      <c r="E53" s="9"/>
      <c r="G53" s="65" t="s">
        <v>117</v>
      </c>
      <c r="H53" s="48"/>
      <c r="I53" s="48"/>
      <c r="J53" s="48"/>
      <c r="K53" s="48"/>
      <c r="L53" s="48"/>
      <c r="M53" s="48"/>
      <c r="N53" s="4"/>
      <c r="O53" s="4"/>
      <c r="P53" s="4"/>
      <c r="Q53" s="4"/>
      <c r="R53" s="4"/>
      <c r="S53" s="641"/>
      <c r="U53" s="47"/>
    </row>
    <row r="54" spans="1:21" ht="12" x14ac:dyDescent="0.2">
      <c r="A54" s="8"/>
      <c r="B54" s="2"/>
      <c r="C54" s="10">
        <v>90</v>
      </c>
      <c r="D54" s="10"/>
      <c r="E54" s="11" t="s">
        <v>11</v>
      </c>
      <c r="G54" s="65" t="s">
        <v>118</v>
      </c>
      <c r="H54" s="58">
        <v>0</v>
      </c>
      <c r="I54" s="58">
        <v>0</v>
      </c>
      <c r="J54" s="76">
        <v>50</v>
      </c>
      <c r="K54" s="76">
        <v>56</v>
      </c>
      <c r="L54" s="76">
        <v>61</v>
      </c>
      <c r="M54" s="76">
        <v>69</v>
      </c>
      <c r="N54" s="76">
        <v>65</v>
      </c>
      <c r="O54" s="76">
        <v>65</v>
      </c>
      <c r="P54" s="76">
        <v>65</v>
      </c>
      <c r="Q54" s="76">
        <v>65</v>
      </c>
      <c r="R54" s="76">
        <v>65</v>
      </c>
      <c r="S54" s="642">
        <v>65</v>
      </c>
      <c r="U54" s="47"/>
    </row>
    <row r="55" spans="1:21" ht="12" x14ac:dyDescent="0.2">
      <c r="A55" s="8"/>
      <c r="B55" s="2"/>
      <c r="C55" s="10"/>
      <c r="D55" s="10"/>
      <c r="E55" s="11" t="s">
        <v>11</v>
      </c>
      <c r="G55" s="65" t="s">
        <v>119</v>
      </c>
      <c r="H55" s="58"/>
      <c r="I55" s="58"/>
      <c r="J55" s="58"/>
      <c r="K55" s="58"/>
      <c r="L55" s="66"/>
      <c r="M55" s="66"/>
      <c r="N55" s="88"/>
      <c r="O55" s="88"/>
      <c r="P55" s="88"/>
      <c r="Q55" s="88"/>
      <c r="R55" s="88"/>
      <c r="S55" s="643"/>
      <c r="U55" s="47"/>
    </row>
    <row r="56" spans="1:21" ht="11.25" x14ac:dyDescent="0.2">
      <c r="A56" s="8"/>
      <c r="B56" s="2"/>
      <c r="C56" s="10"/>
      <c r="D56" s="10"/>
      <c r="E56" s="9"/>
      <c r="G56" s="67"/>
      <c r="H56" s="48"/>
      <c r="I56" s="48"/>
      <c r="J56" s="48"/>
      <c r="K56" s="48"/>
      <c r="L56" s="48"/>
      <c r="M56" s="48"/>
      <c r="N56" s="4"/>
      <c r="O56" s="4"/>
      <c r="P56" s="4"/>
      <c r="Q56" s="4"/>
      <c r="R56" s="4"/>
      <c r="S56" s="48"/>
      <c r="U56" s="47"/>
    </row>
    <row r="57" spans="1:21" ht="11.25" x14ac:dyDescent="0.2">
      <c r="A57" s="8"/>
      <c r="B57" s="2"/>
      <c r="C57" s="10"/>
      <c r="D57" s="29" t="s">
        <v>120</v>
      </c>
      <c r="E57" s="30" t="s">
        <v>3</v>
      </c>
      <c r="F57" s="9"/>
      <c r="G57" s="53" t="s">
        <v>121</v>
      </c>
      <c r="H57" s="64">
        <f t="shared" ref="H57:S57" si="15">H32</f>
        <v>2011</v>
      </c>
      <c r="I57" s="64">
        <f t="shared" si="15"/>
        <v>2012</v>
      </c>
      <c r="J57" s="64">
        <f t="shared" si="15"/>
        <v>2013</v>
      </c>
      <c r="K57" s="64">
        <f t="shared" si="15"/>
        <v>2014</v>
      </c>
      <c r="L57" s="64">
        <f t="shared" si="15"/>
        <v>2015</v>
      </c>
      <c r="M57" s="64">
        <f t="shared" si="15"/>
        <v>2016</v>
      </c>
      <c r="N57" s="87">
        <f t="shared" si="15"/>
        <v>2017</v>
      </c>
      <c r="O57" s="87">
        <f t="shared" si="15"/>
        <v>2018</v>
      </c>
      <c r="P57" s="87">
        <f t="shared" si="15"/>
        <v>2019</v>
      </c>
      <c r="Q57" s="87">
        <f t="shared" si="15"/>
        <v>2020</v>
      </c>
      <c r="R57" s="87">
        <f t="shared" si="15"/>
        <v>2021</v>
      </c>
      <c r="S57" s="644">
        <f t="shared" si="15"/>
        <v>2022</v>
      </c>
      <c r="U57" s="47"/>
    </row>
    <row r="58" spans="1:21" ht="12" x14ac:dyDescent="0.2">
      <c r="A58" s="8"/>
      <c r="B58" s="31" t="s">
        <v>122</v>
      </c>
      <c r="C58" s="8" t="s">
        <v>123</v>
      </c>
      <c r="D58" s="32" t="s">
        <v>124</v>
      </c>
      <c r="E58" s="11" t="s">
        <v>89</v>
      </c>
      <c r="F58" s="12"/>
      <c r="G58" s="55" t="s">
        <v>125</v>
      </c>
      <c r="H58" s="58">
        <v>0</v>
      </c>
      <c r="I58" s="58">
        <v>0</v>
      </c>
      <c r="J58" s="58">
        <v>-8.8469999999999995</v>
      </c>
      <c r="K58" s="58">
        <v>-80.849999999999994</v>
      </c>
      <c r="L58" s="58">
        <v>-10.983000000000001</v>
      </c>
      <c r="M58" s="58">
        <v>-237.58699999999999</v>
      </c>
      <c r="N58" s="76">
        <v>-234</v>
      </c>
      <c r="O58" s="76">
        <v>0</v>
      </c>
      <c r="P58" s="76">
        <v>0</v>
      </c>
      <c r="Q58" s="76">
        <v>0</v>
      </c>
      <c r="R58" s="76">
        <v>0</v>
      </c>
      <c r="S58" s="645">
        <v>0</v>
      </c>
      <c r="U58" s="47"/>
    </row>
    <row r="59" spans="1:21" ht="12" x14ac:dyDescent="0.2">
      <c r="A59" s="8"/>
      <c r="B59" s="31" t="s">
        <v>126</v>
      </c>
      <c r="C59" s="33" t="s">
        <v>127</v>
      </c>
      <c r="D59" s="32" t="s">
        <v>128</v>
      </c>
      <c r="E59" s="11" t="s">
        <v>11</v>
      </c>
      <c r="F59" s="12"/>
      <c r="G59" s="68" t="s">
        <v>129</v>
      </c>
      <c r="H59" s="58">
        <v>0</v>
      </c>
      <c r="I59" s="58">
        <v>0</v>
      </c>
      <c r="J59" s="58">
        <v>0.377</v>
      </c>
      <c r="K59" s="58">
        <v>0</v>
      </c>
      <c r="L59" s="58">
        <v>0</v>
      </c>
      <c r="M59" s="58">
        <v>0</v>
      </c>
      <c r="N59" s="76">
        <v>0</v>
      </c>
      <c r="O59" s="76">
        <v>0</v>
      </c>
      <c r="P59" s="76">
        <v>0</v>
      </c>
      <c r="Q59" s="76">
        <v>0</v>
      </c>
      <c r="R59" s="76">
        <v>0</v>
      </c>
      <c r="S59" s="645">
        <v>0</v>
      </c>
      <c r="U59" s="47"/>
    </row>
    <row r="60" spans="1:21" ht="12" x14ac:dyDescent="0.2">
      <c r="A60" s="8"/>
      <c r="B60" s="31" t="s">
        <v>130</v>
      </c>
      <c r="C60" s="34" t="s">
        <v>372</v>
      </c>
      <c r="D60" s="32" t="s">
        <v>131</v>
      </c>
      <c r="E60" s="11" t="s">
        <v>11</v>
      </c>
      <c r="F60" s="12"/>
      <c r="G60" s="57" t="s">
        <v>132</v>
      </c>
      <c r="H60" s="58">
        <v>0</v>
      </c>
      <c r="I60" s="58">
        <v>0</v>
      </c>
      <c r="J60" s="58">
        <v>80</v>
      </c>
      <c r="K60" s="58">
        <v>0</v>
      </c>
      <c r="L60" s="58">
        <v>0</v>
      </c>
      <c r="M60" s="58">
        <v>0</v>
      </c>
      <c r="N60" s="76">
        <v>0</v>
      </c>
      <c r="O60" s="76">
        <v>0</v>
      </c>
      <c r="P60" s="76">
        <v>0</v>
      </c>
      <c r="Q60" s="76">
        <v>0</v>
      </c>
      <c r="R60" s="76">
        <v>0</v>
      </c>
      <c r="S60" s="645">
        <v>0</v>
      </c>
      <c r="U60" s="47"/>
    </row>
    <row r="61" spans="1:21" ht="12" x14ac:dyDescent="0.2">
      <c r="A61" s="8"/>
      <c r="B61" s="31" t="s">
        <v>133</v>
      </c>
      <c r="C61" s="34" t="s">
        <v>134</v>
      </c>
      <c r="D61" s="34" t="s">
        <v>135</v>
      </c>
      <c r="E61" s="11" t="s">
        <v>89</v>
      </c>
      <c r="F61" s="12"/>
      <c r="G61" s="57" t="s">
        <v>136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76">
        <v>0</v>
      </c>
      <c r="O61" s="76">
        <v>0</v>
      </c>
      <c r="P61" s="76">
        <v>0</v>
      </c>
      <c r="Q61" s="76">
        <v>0</v>
      </c>
      <c r="R61" s="76">
        <v>0</v>
      </c>
      <c r="S61" s="645">
        <v>0</v>
      </c>
      <c r="U61" s="47"/>
    </row>
    <row r="62" spans="1:21" ht="12" x14ac:dyDescent="0.2">
      <c r="A62" s="8"/>
      <c r="B62" s="31" t="s">
        <v>137</v>
      </c>
      <c r="C62" s="10">
        <v>253800</v>
      </c>
      <c r="D62" s="34" t="s">
        <v>131</v>
      </c>
      <c r="E62" s="11" t="s">
        <v>11</v>
      </c>
      <c r="F62" s="12"/>
      <c r="G62" s="57" t="s">
        <v>138</v>
      </c>
      <c r="H62" s="58">
        <v>0</v>
      </c>
      <c r="I62" s="58">
        <v>0</v>
      </c>
      <c r="J62" s="58">
        <v>0</v>
      </c>
      <c r="K62" s="58">
        <v>0</v>
      </c>
      <c r="L62" s="58">
        <v>0</v>
      </c>
      <c r="M62" s="58">
        <v>0</v>
      </c>
      <c r="N62" s="76">
        <v>0</v>
      </c>
      <c r="O62" s="76">
        <v>0</v>
      </c>
      <c r="P62" s="76">
        <v>0</v>
      </c>
      <c r="Q62" s="76">
        <v>0</v>
      </c>
      <c r="R62" s="76">
        <v>0</v>
      </c>
      <c r="S62" s="645">
        <v>0</v>
      </c>
      <c r="U62" s="47"/>
    </row>
    <row r="63" spans="1:21" ht="12" x14ac:dyDescent="0.2">
      <c r="A63" s="8"/>
      <c r="B63" s="31" t="s">
        <v>139</v>
      </c>
      <c r="C63" s="10">
        <v>150</v>
      </c>
      <c r="D63" s="34" t="s">
        <v>135</v>
      </c>
      <c r="E63" s="11" t="s">
        <v>89</v>
      </c>
      <c r="F63" s="12"/>
      <c r="G63" s="57" t="s">
        <v>140</v>
      </c>
      <c r="H63" s="58">
        <v>0</v>
      </c>
      <c r="I63" s="58">
        <v>0</v>
      </c>
      <c r="J63" s="58">
        <v>0</v>
      </c>
      <c r="K63" s="58">
        <v>0</v>
      </c>
      <c r="L63" s="58">
        <v>0</v>
      </c>
      <c r="M63" s="58">
        <v>0</v>
      </c>
      <c r="N63" s="76">
        <v>0</v>
      </c>
      <c r="O63" s="76">
        <v>0</v>
      </c>
      <c r="P63" s="76">
        <v>0</v>
      </c>
      <c r="Q63" s="76">
        <v>0</v>
      </c>
      <c r="R63" s="76">
        <v>0</v>
      </c>
      <c r="S63" s="645">
        <v>0</v>
      </c>
      <c r="U63" s="47"/>
    </row>
    <row r="64" spans="1:21" ht="12" x14ac:dyDescent="0.2">
      <c r="A64" s="8"/>
      <c r="B64" s="31" t="s">
        <v>141</v>
      </c>
      <c r="C64" s="34" t="s">
        <v>142</v>
      </c>
      <c r="D64" s="34" t="s">
        <v>131</v>
      </c>
      <c r="E64" s="11" t="s">
        <v>11</v>
      </c>
      <c r="F64" s="12"/>
      <c r="G64" s="57" t="s">
        <v>143</v>
      </c>
      <c r="H64" s="58">
        <v>0</v>
      </c>
      <c r="I64" s="58">
        <v>0</v>
      </c>
      <c r="J64" s="58">
        <v>0</v>
      </c>
      <c r="K64" s="58">
        <v>0</v>
      </c>
      <c r="L64" s="58">
        <v>0</v>
      </c>
      <c r="M64" s="58">
        <v>0</v>
      </c>
      <c r="N64" s="76">
        <v>0</v>
      </c>
      <c r="O64" s="76">
        <v>0</v>
      </c>
      <c r="P64" s="76">
        <v>0</v>
      </c>
      <c r="Q64" s="76">
        <v>0</v>
      </c>
      <c r="R64" s="76">
        <v>0</v>
      </c>
      <c r="S64" s="645">
        <v>0</v>
      </c>
      <c r="U64" s="47"/>
    </row>
    <row r="65" spans="1:21" ht="12" x14ac:dyDescent="0.2">
      <c r="A65" s="8"/>
      <c r="B65" s="31" t="s">
        <v>144</v>
      </c>
      <c r="C65" s="8" t="s">
        <v>373</v>
      </c>
      <c r="D65" s="34" t="s">
        <v>135</v>
      </c>
      <c r="E65" s="11" t="s">
        <v>89</v>
      </c>
      <c r="F65" s="12"/>
      <c r="G65" s="57" t="s">
        <v>145</v>
      </c>
      <c r="H65" s="58">
        <v>0</v>
      </c>
      <c r="I65" s="58">
        <v>0</v>
      </c>
      <c r="J65" s="58">
        <v>0</v>
      </c>
      <c r="K65" s="58">
        <v>0</v>
      </c>
      <c r="L65" s="58">
        <v>0</v>
      </c>
      <c r="M65" s="58">
        <v>0</v>
      </c>
      <c r="N65" s="76">
        <v>0</v>
      </c>
      <c r="O65" s="76">
        <v>0</v>
      </c>
      <c r="P65" s="76">
        <v>0</v>
      </c>
      <c r="Q65" s="76">
        <v>0</v>
      </c>
      <c r="R65" s="76">
        <v>0</v>
      </c>
      <c r="S65" s="645">
        <v>0</v>
      </c>
      <c r="U65" s="47"/>
    </row>
    <row r="66" spans="1:21" ht="12" x14ac:dyDescent="0.2">
      <c r="A66" s="8"/>
      <c r="B66" s="31" t="s">
        <v>146</v>
      </c>
      <c r="C66" s="8" t="s">
        <v>373</v>
      </c>
      <c r="D66" s="34" t="s">
        <v>131</v>
      </c>
      <c r="E66" s="11" t="s">
        <v>11</v>
      </c>
      <c r="F66" s="12"/>
      <c r="G66" s="57" t="s">
        <v>147</v>
      </c>
      <c r="H66" s="58">
        <v>0</v>
      </c>
      <c r="I66" s="58">
        <v>0</v>
      </c>
      <c r="J66" s="58">
        <v>0</v>
      </c>
      <c r="K66" s="58">
        <v>0</v>
      </c>
      <c r="L66" s="58">
        <v>0</v>
      </c>
      <c r="M66" s="58">
        <v>0</v>
      </c>
      <c r="N66" s="76">
        <v>0</v>
      </c>
      <c r="O66" s="76">
        <v>0</v>
      </c>
      <c r="P66" s="76">
        <v>0</v>
      </c>
      <c r="Q66" s="76">
        <v>0</v>
      </c>
      <c r="R66" s="76">
        <v>0</v>
      </c>
      <c r="S66" s="645">
        <v>0</v>
      </c>
      <c r="U66" s="47"/>
    </row>
    <row r="67" spans="1:21" ht="12" x14ac:dyDescent="0.2">
      <c r="A67" s="8"/>
      <c r="B67" s="31" t="s">
        <v>148</v>
      </c>
      <c r="C67" s="8" t="s">
        <v>149</v>
      </c>
      <c r="D67" s="34" t="s">
        <v>135</v>
      </c>
      <c r="E67" s="11" t="s">
        <v>89</v>
      </c>
      <c r="F67" s="12"/>
      <c r="G67" s="57" t="s">
        <v>150</v>
      </c>
      <c r="H67" s="58">
        <v>0</v>
      </c>
      <c r="I67" s="58">
        <v>0</v>
      </c>
      <c r="J67" s="58">
        <v>0</v>
      </c>
      <c r="K67" s="58">
        <v>0</v>
      </c>
      <c r="L67" s="58">
        <v>0</v>
      </c>
      <c r="M67" s="58">
        <v>0</v>
      </c>
      <c r="N67" s="76">
        <v>0</v>
      </c>
      <c r="O67" s="76">
        <v>0</v>
      </c>
      <c r="P67" s="76">
        <v>0</v>
      </c>
      <c r="Q67" s="76">
        <v>0</v>
      </c>
      <c r="R67" s="76">
        <v>0</v>
      </c>
      <c r="S67" s="645">
        <v>0</v>
      </c>
      <c r="U67" s="47"/>
    </row>
    <row r="68" spans="1:21" ht="12" x14ac:dyDescent="0.2">
      <c r="A68" s="8"/>
      <c r="B68" s="31" t="s">
        <v>151</v>
      </c>
      <c r="C68" s="8" t="s">
        <v>149</v>
      </c>
      <c r="D68" s="34" t="s">
        <v>131</v>
      </c>
      <c r="E68" s="11" t="s">
        <v>11</v>
      </c>
      <c r="F68" s="12"/>
      <c r="G68" s="57" t="s">
        <v>152</v>
      </c>
      <c r="H68" s="58">
        <v>0</v>
      </c>
      <c r="I68" s="58">
        <v>0</v>
      </c>
      <c r="J68" s="58">
        <v>0</v>
      </c>
      <c r="K68" s="58">
        <v>0</v>
      </c>
      <c r="L68" s="58">
        <v>0</v>
      </c>
      <c r="M68" s="58">
        <v>0</v>
      </c>
      <c r="N68" s="76">
        <v>0</v>
      </c>
      <c r="O68" s="76">
        <v>0</v>
      </c>
      <c r="P68" s="76">
        <v>0</v>
      </c>
      <c r="Q68" s="76">
        <v>0</v>
      </c>
      <c r="R68" s="76">
        <v>0</v>
      </c>
      <c r="S68" s="645">
        <v>0</v>
      </c>
      <c r="U68" s="47"/>
    </row>
    <row r="69" spans="1:21" ht="12" x14ac:dyDescent="0.2">
      <c r="A69" s="8"/>
      <c r="B69" s="31" t="s">
        <v>153</v>
      </c>
      <c r="C69" s="34" t="s">
        <v>142</v>
      </c>
      <c r="D69" s="34" t="s">
        <v>131</v>
      </c>
      <c r="E69" s="11" t="s">
        <v>11</v>
      </c>
      <c r="F69" s="12"/>
      <c r="G69" s="57" t="s">
        <v>154</v>
      </c>
      <c r="H69" s="58">
        <v>0</v>
      </c>
      <c r="I69" s="58">
        <v>0</v>
      </c>
      <c r="J69" s="58">
        <v>0</v>
      </c>
      <c r="K69" s="58">
        <v>0</v>
      </c>
      <c r="L69" s="58">
        <v>0</v>
      </c>
      <c r="M69" s="58">
        <v>0</v>
      </c>
      <c r="N69" s="76">
        <v>0</v>
      </c>
      <c r="O69" s="76">
        <v>0</v>
      </c>
      <c r="P69" s="76">
        <v>0</v>
      </c>
      <c r="Q69" s="76">
        <v>0</v>
      </c>
      <c r="R69" s="76">
        <v>0</v>
      </c>
      <c r="S69" s="645">
        <v>0</v>
      </c>
      <c r="U69" s="47"/>
    </row>
    <row r="70" spans="1:21" ht="12" x14ac:dyDescent="0.2">
      <c r="A70" s="8"/>
      <c r="B70" s="31" t="s">
        <v>155</v>
      </c>
      <c r="C70" s="35" t="s">
        <v>156</v>
      </c>
      <c r="D70" s="8"/>
      <c r="E70" s="11" t="s">
        <v>72</v>
      </c>
      <c r="F70" s="12"/>
      <c r="G70" s="57" t="s">
        <v>107</v>
      </c>
      <c r="H70" s="58">
        <v>0</v>
      </c>
      <c r="I70" s="58">
        <v>0.156</v>
      </c>
      <c r="J70" s="58">
        <v>3.1E-2</v>
      </c>
      <c r="K70" s="58">
        <v>0.318</v>
      </c>
      <c r="L70" s="58">
        <v>0.27800000000000002</v>
      </c>
      <c r="M70" s="58">
        <v>0.76300000000000001</v>
      </c>
      <c r="N70" s="76">
        <v>0</v>
      </c>
      <c r="O70" s="76">
        <v>0</v>
      </c>
      <c r="P70" s="76">
        <v>0</v>
      </c>
      <c r="Q70" s="76">
        <v>0</v>
      </c>
      <c r="R70" s="76">
        <v>0</v>
      </c>
      <c r="S70" s="645">
        <v>0</v>
      </c>
      <c r="U70" s="47"/>
    </row>
    <row r="71" spans="1:21" ht="11.25" x14ac:dyDescent="0.2">
      <c r="A71" s="8"/>
      <c r="B71" s="31" t="s">
        <v>157</v>
      </c>
      <c r="C71" s="10"/>
      <c r="D71" s="8"/>
      <c r="E71" s="12"/>
      <c r="F71" s="12"/>
      <c r="G71" s="69" t="s">
        <v>158</v>
      </c>
      <c r="H71" s="56">
        <f t="shared" ref="H71:S71" si="16">SUM(H58:H70)</f>
        <v>0</v>
      </c>
      <c r="I71" s="56">
        <f t="shared" si="16"/>
        <v>0.156</v>
      </c>
      <c r="J71" s="56">
        <f t="shared" si="16"/>
        <v>71.561000000000007</v>
      </c>
      <c r="K71" s="56">
        <f t="shared" si="16"/>
        <v>-80.531999999999996</v>
      </c>
      <c r="L71" s="56">
        <f t="shared" si="16"/>
        <v>-10.705</v>
      </c>
      <c r="M71" s="56">
        <f t="shared" si="16"/>
        <v>-236.82399999999998</v>
      </c>
      <c r="N71" s="77">
        <f t="shared" si="16"/>
        <v>-234</v>
      </c>
      <c r="O71" s="77">
        <f t="shared" si="16"/>
        <v>0</v>
      </c>
      <c r="P71" s="77">
        <f t="shared" si="16"/>
        <v>0</v>
      </c>
      <c r="Q71" s="77">
        <f t="shared" si="16"/>
        <v>0</v>
      </c>
      <c r="R71" s="77">
        <f t="shared" si="16"/>
        <v>0</v>
      </c>
      <c r="S71" s="646">
        <f t="shared" si="16"/>
        <v>0</v>
      </c>
      <c r="U71" s="47"/>
    </row>
    <row r="72" spans="1:21" ht="11.25" x14ac:dyDescent="0.2">
      <c r="A72" s="8"/>
      <c r="B72" s="2"/>
      <c r="C72" s="10"/>
      <c r="D72" s="8"/>
      <c r="E72" s="9"/>
      <c r="G72" s="67"/>
      <c r="H72" s="48"/>
      <c r="I72" s="48"/>
      <c r="J72" s="48"/>
      <c r="K72" s="48"/>
      <c r="L72" s="48"/>
      <c r="M72" s="48"/>
      <c r="N72" s="4"/>
      <c r="O72" s="4"/>
      <c r="P72" s="4"/>
      <c r="Q72" s="4"/>
      <c r="R72" s="4"/>
      <c r="S72" s="48"/>
      <c r="U72" s="47"/>
    </row>
    <row r="73" spans="1:21" ht="11.25" x14ac:dyDescent="0.2">
      <c r="A73" s="8"/>
      <c r="B73" s="2"/>
      <c r="C73" s="10"/>
      <c r="D73" s="29" t="s">
        <v>120</v>
      </c>
      <c r="E73" s="30" t="s">
        <v>3</v>
      </c>
      <c r="F73" s="9"/>
      <c r="G73" s="53" t="s">
        <v>159</v>
      </c>
      <c r="H73" s="64">
        <f t="shared" ref="H73:S73" si="17">H57</f>
        <v>2011</v>
      </c>
      <c r="I73" s="64">
        <f t="shared" si="17"/>
        <v>2012</v>
      </c>
      <c r="J73" s="64">
        <f t="shared" si="17"/>
        <v>2013</v>
      </c>
      <c r="K73" s="64">
        <f t="shared" si="17"/>
        <v>2014</v>
      </c>
      <c r="L73" s="64">
        <f t="shared" si="17"/>
        <v>2015</v>
      </c>
      <c r="M73" s="64">
        <f t="shared" si="17"/>
        <v>2016</v>
      </c>
      <c r="N73" s="87">
        <f t="shared" si="17"/>
        <v>2017</v>
      </c>
      <c r="O73" s="87">
        <f t="shared" si="17"/>
        <v>2018</v>
      </c>
      <c r="P73" s="87">
        <f t="shared" si="17"/>
        <v>2019</v>
      </c>
      <c r="Q73" s="87">
        <f t="shared" si="17"/>
        <v>2020</v>
      </c>
      <c r="R73" s="87">
        <f t="shared" si="17"/>
        <v>2021</v>
      </c>
      <c r="S73" s="64">
        <f t="shared" si="17"/>
        <v>2022</v>
      </c>
      <c r="U73" s="47"/>
    </row>
    <row r="74" spans="1:21" ht="12" x14ac:dyDescent="0.2">
      <c r="A74" s="8"/>
      <c r="B74" s="2" t="s">
        <v>160</v>
      </c>
      <c r="C74" s="34" t="s">
        <v>161</v>
      </c>
      <c r="D74" s="34" t="s">
        <v>128</v>
      </c>
      <c r="E74" s="11" t="s">
        <v>11</v>
      </c>
      <c r="G74" s="55" t="s">
        <v>162</v>
      </c>
      <c r="H74" s="58">
        <v>0</v>
      </c>
      <c r="I74" s="58">
        <v>0</v>
      </c>
      <c r="J74" s="58">
        <v>0</v>
      </c>
      <c r="K74" s="58">
        <v>0</v>
      </c>
      <c r="L74" s="58">
        <v>0</v>
      </c>
      <c r="M74" s="58">
        <v>0</v>
      </c>
      <c r="N74" s="76">
        <v>0</v>
      </c>
      <c r="O74" s="76">
        <v>0</v>
      </c>
      <c r="P74" s="76">
        <v>0</v>
      </c>
      <c r="Q74" s="76">
        <v>0</v>
      </c>
      <c r="R74" s="76">
        <v>0</v>
      </c>
      <c r="S74" s="58">
        <v>0</v>
      </c>
      <c r="U74" s="47"/>
    </row>
    <row r="75" spans="1:21" ht="12" x14ac:dyDescent="0.2">
      <c r="A75" s="8"/>
      <c r="B75" s="2" t="s">
        <v>163</v>
      </c>
      <c r="C75" s="34" t="s">
        <v>161</v>
      </c>
      <c r="D75" s="34" t="s">
        <v>124</v>
      </c>
      <c r="E75" s="11" t="s">
        <v>89</v>
      </c>
      <c r="F75" s="12"/>
      <c r="G75" s="57" t="s">
        <v>164</v>
      </c>
      <c r="H75" s="58">
        <v>0</v>
      </c>
      <c r="I75" s="58">
        <v>0</v>
      </c>
      <c r="J75" s="58">
        <v>0</v>
      </c>
      <c r="K75" s="58">
        <v>0</v>
      </c>
      <c r="L75" s="58">
        <v>0</v>
      </c>
      <c r="M75" s="58">
        <v>0</v>
      </c>
      <c r="N75" s="76">
        <v>0</v>
      </c>
      <c r="O75" s="76">
        <v>0</v>
      </c>
      <c r="P75" s="76">
        <v>0</v>
      </c>
      <c r="Q75" s="76">
        <v>0</v>
      </c>
      <c r="R75" s="76">
        <v>0</v>
      </c>
      <c r="S75" s="58">
        <v>0</v>
      </c>
      <c r="U75" s="47"/>
    </row>
    <row r="76" spans="1:21" ht="12" x14ac:dyDescent="0.2">
      <c r="A76" s="8"/>
      <c r="B76" s="2" t="s">
        <v>165</v>
      </c>
      <c r="C76" s="34" t="s">
        <v>166</v>
      </c>
      <c r="D76" s="34" t="s">
        <v>131</v>
      </c>
      <c r="E76" s="11" t="s">
        <v>11</v>
      </c>
      <c r="G76" s="57" t="s">
        <v>167</v>
      </c>
      <c r="H76" s="58">
        <v>0</v>
      </c>
      <c r="I76" s="58">
        <v>0</v>
      </c>
      <c r="J76" s="58">
        <v>0</v>
      </c>
      <c r="K76" s="58">
        <v>0</v>
      </c>
      <c r="L76" s="58">
        <v>0</v>
      </c>
      <c r="M76" s="58">
        <v>0</v>
      </c>
      <c r="N76" s="76">
        <v>0</v>
      </c>
      <c r="O76" s="76">
        <v>0</v>
      </c>
      <c r="P76" s="76">
        <v>0</v>
      </c>
      <c r="Q76" s="76">
        <v>0</v>
      </c>
      <c r="R76" s="76">
        <v>0</v>
      </c>
      <c r="S76" s="58">
        <v>0</v>
      </c>
      <c r="U76" s="47"/>
    </row>
    <row r="77" spans="1:21" ht="12" x14ac:dyDescent="0.2">
      <c r="A77" s="8"/>
      <c r="B77" s="2" t="s">
        <v>168</v>
      </c>
      <c r="C77" s="34" t="s">
        <v>166</v>
      </c>
      <c r="D77" s="34" t="s">
        <v>135</v>
      </c>
      <c r="E77" s="11" t="s">
        <v>89</v>
      </c>
      <c r="F77" s="12"/>
      <c r="G77" s="57" t="s">
        <v>169</v>
      </c>
      <c r="H77" s="58">
        <v>0</v>
      </c>
      <c r="I77" s="58">
        <v>0</v>
      </c>
      <c r="J77" s="58">
        <v>0</v>
      </c>
      <c r="K77" s="58">
        <v>0</v>
      </c>
      <c r="L77" s="58">
        <v>0</v>
      </c>
      <c r="M77" s="58">
        <v>0</v>
      </c>
      <c r="N77" s="76">
        <v>0</v>
      </c>
      <c r="O77" s="76">
        <v>0</v>
      </c>
      <c r="P77" s="76">
        <v>0</v>
      </c>
      <c r="Q77" s="76">
        <v>0</v>
      </c>
      <c r="R77" s="76">
        <v>0</v>
      </c>
      <c r="S77" s="58">
        <v>0</v>
      </c>
      <c r="U77" s="47"/>
    </row>
    <row r="78" spans="1:21" ht="12" x14ac:dyDescent="0.2">
      <c r="A78" s="8"/>
      <c r="B78" s="2" t="s">
        <v>170</v>
      </c>
      <c r="C78" s="34" t="s">
        <v>171</v>
      </c>
      <c r="D78" s="34" t="s">
        <v>135</v>
      </c>
      <c r="E78" s="11" t="s">
        <v>89</v>
      </c>
      <c r="F78" s="12"/>
      <c r="G78" s="57" t="s">
        <v>172</v>
      </c>
      <c r="H78" s="58">
        <v>0</v>
      </c>
      <c r="I78" s="58">
        <v>0</v>
      </c>
      <c r="J78" s="58">
        <v>0</v>
      </c>
      <c r="K78" s="58">
        <v>0</v>
      </c>
      <c r="L78" s="58">
        <v>0</v>
      </c>
      <c r="M78" s="58">
        <v>0</v>
      </c>
      <c r="N78" s="76">
        <v>0</v>
      </c>
      <c r="O78" s="76">
        <v>0</v>
      </c>
      <c r="P78" s="76">
        <v>0</v>
      </c>
      <c r="Q78" s="76">
        <v>0</v>
      </c>
      <c r="R78" s="76">
        <v>0</v>
      </c>
      <c r="S78" s="58">
        <v>0</v>
      </c>
      <c r="U78" s="47"/>
    </row>
    <row r="79" spans="1:21" ht="12" x14ac:dyDescent="0.2">
      <c r="A79" s="8"/>
      <c r="B79" s="2" t="s">
        <v>173</v>
      </c>
      <c r="C79" s="34" t="s">
        <v>174</v>
      </c>
      <c r="D79" s="34" t="s">
        <v>135</v>
      </c>
      <c r="E79" s="11" t="s">
        <v>89</v>
      </c>
      <c r="F79" s="12"/>
      <c r="G79" s="57" t="s">
        <v>175</v>
      </c>
      <c r="H79" s="58">
        <v>0</v>
      </c>
      <c r="I79" s="58">
        <v>0</v>
      </c>
      <c r="J79" s="58">
        <v>-0.10100000000000001</v>
      </c>
      <c r="K79" s="58">
        <v>0</v>
      </c>
      <c r="L79" s="58">
        <v>-5.0999999999999997E-2</v>
      </c>
      <c r="M79" s="58">
        <v>0</v>
      </c>
      <c r="N79" s="76">
        <v>0</v>
      </c>
      <c r="O79" s="76">
        <v>0</v>
      </c>
      <c r="P79" s="76">
        <v>0</v>
      </c>
      <c r="Q79" s="76">
        <v>0</v>
      </c>
      <c r="R79" s="76">
        <v>0</v>
      </c>
      <c r="S79" s="58">
        <v>0</v>
      </c>
      <c r="U79" s="47"/>
    </row>
    <row r="80" spans="1:21" ht="12" x14ac:dyDescent="0.2">
      <c r="A80" s="8"/>
      <c r="B80" s="2" t="s">
        <v>176</v>
      </c>
      <c r="C80" s="34" t="s">
        <v>177</v>
      </c>
      <c r="D80" s="34" t="s">
        <v>135</v>
      </c>
      <c r="E80" s="11" t="s">
        <v>89</v>
      </c>
      <c r="F80" s="12"/>
      <c r="G80" s="57" t="s">
        <v>178</v>
      </c>
      <c r="H80" s="58">
        <v>0</v>
      </c>
      <c r="I80" s="58">
        <v>0</v>
      </c>
      <c r="J80" s="58">
        <v>0</v>
      </c>
      <c r="K80" s="58">
        <v>0</v>
      </c>
      <c r="L80" s="58">
        <v>0</v>
      </c>
      <c r="M80" s="58">
        <v>0</v>
      </c>
      <c r="N80" s="76">
        <v>0</v>
      </c>
      <c r="O80" s="76">
        <v>0</v>
      </c>
      <c r="P80" s="76">
        <v>0</v>
      </c>
      <c r="Q80" s="76">
        <v>0</v>
      </c>
      <c r="R80" s="76">
        <v>0</v>
      </c>
      <c r="S80" s="58">
        <v>0</v>
      </c>
      <c r="U80" s="47"/>
    </row>
    <row r="81" spans="1:21" ht="12" x14ac:dyDescent="0.2">
      <c r="A81" s="8"/>
      <c r="B81" s="2" t="s">
        <v>179</v>
      </c>
      <c r="C81" s="34" t="s">
        <v>52</v>
      </c>
      <c r="D81" s="34" t="s">
        <v>135</v>
      </c>
      <c r="E81" s="11" t="s">
        <v>89</v>
      </c>
      <c r="F81" s="12"/>
      <c r="G81" s="57" t="s">
        <v>180</v>
      </c>
      <c r="H81" s="58">
        <v>0</v>
      </c>
      <c r="I81" s="58">
        <v>0</v>
      </c>
      <c r="J81" s="58">
        <v>0</v>
      </c>
      <c r="K81" s="58">
        <v>0</v>
      </c>
      <c r="L81" s="58">
        <v>0</v>
      </c>
      <c r="M81" s="58">
        <v>0</v>
      </c>
      <c r="N81" s="76">
        <v>0</v>
      </c>
      <c r="O81" s="76">
        <v>0</v>
      </c>
      <c r="P81" s="76">
        <v>0</v>
      </c>
      <c r="Q81" s="76">
        <v>0</v>
      </c>
      <c r="R81" s="76">
        <v>0</v>
      </c>
      <c r="S81" s="58">
        <v>0</v>
      </c>
      <c r="U81" s="47"/>
    </row>
    <row r="82" spans="1:21" ht="12" x14ac:dyDescent="0.2">
      <c r="A82" s="8"/>
      <c r="B82" s="2" t="s">
        <v>181</v>
      </c>
      <c r="C82" s="34" t="s">
        <v>182</v>
      </c>
      <c r="D82" s="34" t="s">
        <v>131</v>
      </c>
      <c r="E82" s="11" t="s">
        <v>11</v>
      </c>
      <c r="G82" s="57" t="s">
        <v>183</v>
      </c>
      <c r="H82" s="58">
        <v>0</v>
      </c>
      <c r="I82" s="58">
        <v>0</v>
      </c>
      <c r="J82" s="58">
        <v>0</v>
      </c>
      <c r="K82" s="58">
        <v>0</v>
      </c>
      <c r="L82" s="58">
        <v>0</v>
      </c>
      <c r="M82" s="58">
        <v>0</v>
      </c>
      <c r="N82" s="76">
        <v>0</v>
      </c>
      <c r="O82" s="76">
        <v>0</v>
      </c>
      <c r="P82" s="76">
        <v>0</v>
      </c>
      <c r="Q82" s="76">
        <v>0</v>
      </c>
      <c r="R82" s="76">
        <v>0</v>
      </c>
      <c r="S82" s="58">
        <v>0</v>
      </c>
      <c r="U82" s="47"/>
    </row>
    <row r="83" spans="1:21" ht="12" x14ac:dyDescent="0.2">
      <c r="A83" s="8"/>
      <c r="B83" s="2" t="s">
        <v>184</v>
      </c>
      <c r="C83" s="34" t="s">
        <v>182</v>
      </c>
      <c r="D83" s="34" t="s">
        <v>135</v>
      </c>
      <c r="E83" s="11" t="s">
        <v>89</v>
      </c>
      <c r="F83" s="12"/>
      <c r="G83" s="57" t="s">
        <v>374</v>
      </c>
      <c r="H83" s="58">
        <v>0</v>
      </c>
      <c r="I83" s="58">
        <v>0</v>
      </c>
      <c r="J83" s="58">
        <v>0</v>
      </c>
      <c r="K83" s="58">
        <v>0</v>
      </c>
      <c r="L83" s="58">
        <v>0</v>
      </c>
      <c r="M83" s="58">
        <v>0</v>
      </c>
      <c r="N83" s="76">
        <v>0</v>
      </c>
      <c r="O83" s="76">
        <v>0</v>
      </c>
      <c r="P83" s="76">
        <v>0</v>
      </c>
      <c r="Q83" s="76">
        <v>0</v>
      </c>
      <c r="R83" s="76">
        <v>0</v>
      </c>
      <c r="S83" s="58">
        <v>0</v>
      </c>
      <c r="U83" s="47"/>
    </row>
    <row r="84" spans="1:21" ht="12" x14ac:dyDescent="0.2">
      <c r="A84" s="8"/>
      <c r="B84" s="2" t="s">
        <v>185</v>
      </c>
      <c r="C84" s="34" t="s">
        <v>375</v>
      </c>
      <c r="D84" s="34" t="s">
        <v>135</v>
      </c>
      <c r="E84" s="11" t="s">
        <v>89</v>
      </c>
      <c r="F84" s="12"/>
      <c r="G84" s="57" t="s">
        <v>376</v>
      </c>
      <c r="H84" s="58">
        <v>0</v>
      </c>
      <c r="I84" s="58">
        <v>0</v>
      </c>
      <c r="J84" s="58">
        <v>0</v>
      </c>
      <c r="K84" s="58">
        <v>0</v>
      </c>
      <c r="L84" s="58">
        <v>0</v>
      </c>
      <c r="M84" s="58">
        <v>0</v>
      </c>
      <c r="N84" s="76">
        <v>0</v>
      </c>
      <c r="O84" s="76">
        <v>0</v>
      </c>
      <c r="P84" s="76">
        <v>0</v>
      </c>
      <c r="Q84" s="76">
        <v>0</v>
      </c>
      <c r="R84" s="76">
        <v>0</v>
      </c>
      <c r="S84" s="58">
        <v>0</v>
      </c>
      <c r="U84" s="47"/>
    </row>
    <row r="85" spans="1:21" ht="12" x14ac:dyDescent="0.2">
      <c r="A85" s="8"/>
      <c r="B85" s="2" t="s">
        <v>186</v>
      </c>
      <c r="C85" s="36">
        <v>68</v>
      </c>
      <c r="D85" s="34" t="s">
        <v>135</v>
      </c>
      <c r="E85" s="11" t="s">
        <v>89</v>
      </c>
      <c r="F85" s="12"/>
      <c r="G85" s="70" t="s">
        <v>111</v>
      </c>
      <c r="H85" s="58">
        <v>0</v>
      </c>
      <c r="I85" s="58">
        <v>0</v>
      </c>
      <c r="J85" s="58">
        <v>0</v>
      </c>
      <c r="K85" s="58">
        <v>0</v>
      </c>
      <c r="L85" s="58">
        <v>0</v>
      </c>
      <c r="M85" s="58">
        <v>0</v>
      </c>
      <c r="N85" s="76">
        <v>0</v>
      </c>
      <c r="O85" s="76">
        <v>0</v>
      </c>
      <c r="P85" s="76">
        <v>0</v>
      </c>
      <c r="Q85" s="76">
        <v>0</v>
      </c>
      <c r="R85" s="76">
        <v>0</v>
      </c>
      <c r="S85" s="58">
        <v>0</v>
      </c>
      <c r="U85" s="47"/>
    </row>
    <row r="86" spans="1:21" ht="11.25" x14ac:dyDescent="0.2">
      <c r="A86" s="8"/>
      <c r="B86" s="2" t="s">
        <v>377</v>
      </c>
      <c r="C86" s="10"/>
      <c r="D86" s="10"/>
      <c r="E86" s="9"/>
      <c r="G86" s="70" t="s">
        <v>158</v>
      </c>
      <c r="H86" s="56">
        <f t="shared" ref="H86:S86" si="18">SUM(H74:H85)</f>
        <v>0</v>
      </c>
      <c r="I86" s="56">
        <f t="shared" si="18"/>
        <v>0</v>
      </c>
      <c r="J86" s="56">
        <f t="shared" si="18"/>
        <v>-0.10100000000000001</v>
      </c>
      <c r="K86" s="56">
        <f t="shared" si="18"/>
        <v>0</v>
      </c>
      <c r="L86" s="56">
        <f t="shared" si="18"/>
        <v>-5.0999999999999997E-2</v>
      </c>
      <c r="M86" s="56">
        <f t="shared" si="18"/>
        <v>0</v>
      </c>
      <c r="N86" s="56">
        <f t="shared" si="18"/>
        <v>0</v>
      </c>
      <c r="O86" s="56">
        <f t="shared" si="18"/>
        <v>0</v>
      </c>
      <c r="P86" s="56">
        <f t="shared" si="18"/>
        <v>0</v>
      </c>
      <c r="Q86" s="56">
        <f t="shared" si="18"/>
        <v>0</v>
      </c>
      <c r="R86" s="56">
        <f t="shared" si="18"/>
        <v>0</v>
      </c>
      <c r="S86" s="56">
        <f t="shared" si="18"/>
        <v>0</v>
      </c>
      <c r="U86" s="47"/>
    </row>
    <row r="87" spans="1:21" s="4" customFormat="1" ht="11.25" x14ac:dyDescent="0.2">
      <c r="A87" s="8"/>
      <c r="B87" s="2" t="s">
        <v>378</v>
      </c>
      <c r="C87" s="10"/>
      <c r="D87" s="10"/>
      <c r="E87" s="9"/>
      <c r="F87" s="8"/>
      <c r="G87" s="89" t="s">
        <v>379</v>
      </c>
      <c r="H87" s="98"/>
      <c r="I87" s="85">
        <f t="shared" ref="I87:S87" si="19">(I14+I15)-(H14+H15-I58-I59+I45)</f>
        <v>87.119</v>
      </c>
      <c r="J87" s="85">
        <f t="shared" si="19"/>
        <v>20.526000000000003</v>
      </c>
      <c r="K87" s="85">
        <f t="shared" si="19"/>
        <v>0</v>
      </c>
      <c r="L87" s="85">
        <f t="shared" si="19"/>
        <v>0</v>
      </c>
      <c r="M87" s="85">
        <f t="shared" si="19"/>
        <v>0</v>
      </c>
      <c r="N87" s="85">
        <f t="shared" si="19"/>
        <v>-0.31999999999999318</v>
      </c>
      <c r="O87" s="85">
        <f t="shared" si="19"/>
        <v>0</v>
      </c>
      <c r="P87" s="85">
        <f t="shared" si="19"/>
        <v>0</v>
      </c>
      <c r="Q87" s="85">
        <f t="shared" si="19"/>
        <v>0</v>
      </c>
      <c r="R87" s="85">
        <f t="shared" si="19"/>
        <v>0</v>
      </c>
      <c r="S87" s="85">
        <f t="shared" si="19"/>
        <v>0</v>
      </c>
    </row>
    <row r="88" spans="1:21" s="4" customFormat="1" ht="11.25" x14ac:dyDescent="0.2">
      <c r="A88" s="8"/>
      <c r="B88" s="2" t="s">
        <v>380</v>
      </c>
      <c r="C88" s="10"/>
      <c r="D88" s="10"/>
      <c r="E88" s="9"/>
      <c r="F88" s="8"/>
      <c r="G88" s="89" t="s">
        <v>381</v>
      </c>
      <c r="H88" s="98"/>
      <c r="I88" s="85">
        <f>I24-(H24+(I74+I76)+(I75+I77)+(I78))</f>
        <v>0</v>
      </c>
      <c r="J88" s="85">
        <f>J24-(I24+(J74+J76)+(J75+J77)+(J78))</f>
        <v>0</v>
      </c>
      <c r="K88" s="85">
        <f>K24-(J24+(K74+K76)+(K75+K77)+(K78))</f>
        <v>0</v>
      </c>
      <c r="L88" s="85">
        <f>L24-(K24+(L74+L76)+(L75+L77)+(L78))</f>
        <v>0</v>
      </c>
      <c r="M88" s="85">
        <f>M24-(L24+(M74+M76)+(M75+M77)+(M78))</f>
        <v>0</v>
      </c>
      <c r="N88" s="85">
        <f t="shared" ref="N88:S88" si="20">N24-(M24+(N74+N76)+(N75+N77)+(N78))</f>
        <v>0</v>
      </c>
      <c r="O88" s="85">
        <f t="shared" si="20"/>
        <v>0</v>
      </c>
      <c r="P88" s="85">
        <f t="shared" si="20"/>
        <v>0</v>
      </c>
      <c r="Q88" s="85">
        <f t="shared" si="20"/>
        <v>0</v>
      </c>
      <c r="R88" s="85">
        <f t="shared" si="20"/>
        <v>0</v>
      </c>
      <c r="S88" s="85">
        <f t="shared" si="20"/>
        <v>0</v>
      </c>
    </row>
    <row r="89" spans="1:21" s="4" customFormat="1" ht="11.25" x14ac:dyDescent="0.2">
      <c r="A89" s="8"/>
      <c r="B89" s="2" t="s">
        <v>382</v>
      </c>
      <c r="C89" s="10"/>
      <c r="D89" s="10"/>
      <c r="E89" s="9"/>
      <c r="F89" s="8"/>
      <c r="G89" s="89" t="s">
        <v>383</v>
      </c>
      <c r="H89" s="98"/>
      <c r="I89" s="85">
        <f t="shared" ref="I89:S89" si="21">I28-(H28+(I82+I83))</f>
        <v>87.119</v>
      </c>
      <c r="J89" s="85">
        <f t="shared" si="21"/>
        <v>20.700000000000003</v>
      </c>
      <c r="K89" s="85">
        <f t="shared" si="21"/>
        <v>0.18099999999999739</v>
      </c>
      <c r="L89" s="85">
        <f t="shared" si="21"/>
        <v>-0.18099999999999739</v>
      </c>
      <c r="M89" s="85">
        <f t="shared" si="21"/>
        <v>0</v>
      </c>
      <c r="N89" s="85">
        <f t="shared" si="21"/>
        <v>0.18099999999999739</v>
      </c>
      <c r="O89" s="85">
        <f t="shared" si="21"/>
        <v>0</v>
      </c>
      <c r="P89" s="85">
        <f t="shared" si="21"/>
        <v>0</v>
      </c>
      <c r="Q89" s="85">
        <f t="shared" si="21"/>
        <v>0</v>
      </c>
      <c r="R89" s="85">
        <f t="shared" si="21"/>
        <v>0</v>
      </c>
      <c r="S89" s="85">
        <f t="shared" si="21"/>
        <v>0</v>
      </c>
    </row>
    <row r="90" spans="1:21" s="4" customFormat="1" ht="11.25" x14ac:dyDescent="0.2">
      <c r="A90" s="8"/>
      <c r="B90" s="2" t="s">
        <v>384</v>
      </c>
      <c r="C90" s="10"/>
      <c r="D90" s="10"/>
      <c r="E90" s="9"/>
      <c r="F90" s="8"/>
      <c r="G90" s="89" t="s">
        <v>385</v>
      </c>
      <c r="H90" s="98"/>
      <c r="I90" s="85">
        <f t="shared" ref="I90:S90" si="22">I29-(H29+H30)-I84</f>
        <v>0</v>
      </c>
      <c r="J90" s="85">
        <f t="shared" si="22"/>
        <v>0</v>
      </c>
      <c r="K90" s="85">
        <f t="shared" si="22"/>
        <v>-4.0000000000048885E-3</v>
      </c>
      <c r="L90" s="85">
        <f t="shared" si="22"/>
        <v>3.9999999999906777E-3</v>
      </c>
      <c r="M90" s="85">
        <f t="shared" si="22"/>
        <v>2.8421709430404007E-14</v>
      </c>
      <c r="N90" s="85">
        <f t="shared" si="22"/>
        <v>-1.5000000000014779E-2</v>
      </c>
      <c r="O90" s="85">
        <f t="shared" si="22"/>
        <v>0</v>
      </c>
      <c r="P90" s="85">
        <f t="shared" si="22"/>
        <v>0</v>
      </c>
      <c r="Q90" s="85">
        <f t="shared" si="22"/>
        <v>0</v>
      </c>
      <c r="R90" s="85">
        <f t="shared" si="22"/>
        <v>0</v>
      </c>
      <c r="S90" s="85">
        <f t="shared" si="22"/>
        <v>0</v>
      </c>
    </row>
    <row r="91" spans="1:21" s="4" customFormat="1" ht="11.25" x14ac:dyDescent="0.2">
      <c r="A91" s="8"/>
      <c r="B91" s="2"/>
      <c r="C91" s="10"/>
      <c r="D91" s="10"/>
      <c r="E91" s="9"/>
      <c r="F91" s="8"/>
      <c r="G91" s="28"/>
      <c r="L91" s="93">
        <f>L90-L87</f>
        <v>3.9999999999906777E-3</v>
      </c>
    </row>
    <row r="92" spans="1:21" s="4" customFormat="1" ht="11.25" x14ac:dyDescent="0.2">
      <c r="A92" s="13" t="s">
        <v>0</v>
      </c>
      <c r="B92" s="2"/>
      <c r="C92" s="10"/>
      <c r="D92" s="753" t="s">
        <v>187</v>
      </c>
      <c r="E92" s="754"/>
      <c r="F92" s="8"/>
      <c r="G92" s="94" t="s">
        <v>386</v>
      </c>
      <c r="H92" s="87">
        <f>H73</f>
        <v>2011</v>
      </c>
      <c r="I92" s="87">
        <f t="shared" ref="I92:S92" si="23">I73</f>
        <v>2012</v>
      </c>
      <c r="J92" s="87">
        <f t="shared" si="23"/>
        <v>2013</v>
      </c>
      <c r="K92" s="87">
        <f t="shared" si="23"/>
        <v>2014</v>
      </c>
      <c r="L92" s="87">
        <f t="shared" si="23"/>
        <v>2015</v>
      </c>
      <c r="M92" s="87">
        <f t="shared" si="23"/>
        <v>2016</v>
      </c>
      <c r="N92" s="87">
        <f t="shared" si="23"/>
        <v>2017</v>
      </c>
      <c r="O92" s="87">
        <f t="shared" si="23"/>
        <v>2018</v>
      </c>
      <c r="P92" s="87">
        <f t="shared" si="23"/>
        <v>2019</v>
      </c>
      <c r="Q92" s="87">
        <f t="shared" si="23"/>
        <v>2020</v>
      </c>
      <c r="R92" s="87">
        <f t="shared" si="23"/>
        <v>2021</v>
      </c>
      <c r="S92" s="87">
        <f t="shared" si="23"/>
        <v>2022</v>
      </c>
    </row>
    <row r="93" spans="1:21" s="4" customFormat="1" ht="11.25" x14ac:dyDescent="0.2">
      <c r="A93" s="8"/>
      <c r="B93" s="2" t="s">
        <v>387</v>
      </c>
      <c r="C93" s="10" t="s">
        <v>388</v>
      </c>
      <c r="D93" s="10"/>
      <c r="E93" s="9"/>
      <c r="F93" s="8"/>
      <c r="G93" s="95" t="s">
        <v>389</v>
      </c>
      <c r="H93" s="96">
        <f>H5+H11+H12+H13</f>
        <v>0</v>
      </c>
      <c r="I93" s="96">
        <f>I5+I11+I12+I13</f>
        <v>0</v>
      </c>
      <c r="J93" s="96">
        <f t="shared" ref="J93:S93" si="24">J5+J11+J12+J13</f>
        <v>198.15199999999999</v>
      </c>
      <c r="K93" s="96">
        <f t="shared" si="24"/>
        <v>341.613</v>
      </c>
      <c r="L93" s="96">
        <f t="shared" si="24"/>
        <v>389.41900000000004</v>
      </c>
      <c r="M93" s="96">
        <f t="shared" si="24"/>
        <v>168.72200000000001</v>
      </c>
      <c r="N93" s="96">
        <f t="shared" si="24"/>
        <v>85</v>
      </c>
      <c r="O93" s="96">
        <f t="shared" si="24"/>
        <v>70</v>
      </c>
      <c r="P93" s="96">
        <f t="shared" si="24"/>
        <v>70</v>
      </c>
      <c r="Q93" s="96">
        <f t="shared" si="24"/>
        <v>70</v>
      </c>
      <c r="R93" s="96">
        <f t="shared" si="24"/>
        <v>70</v>
      </c>
      <c r="S93" s="96">
        <f t="shared" si="24"/>
        <v>70</v>
      </c>
    </row>
    <row r="94" spans="1:21" s="4" customFormat="1" ht="11.25" x14ac:dyDescent="0.2">
      <c r="A94" s="8"/>
      <c r="B94" s="2" t="s">
        <v>390</v>
      </c>
      <c r="C94" s="10"/>
      <c r="D94" s="10"/>
      <c r="E94" s="9"/>
      <c r="F94" s="8"/>
      <c r="G94" s="97" t="s">
        <v>391</v>
      </c>
      <c r="H94" s="98"/>
      <c r="I94" s="96">
        <f>I93-H93</f>
        <v>0</v>
      </c>
      <c r="J94" s="96">
        <f t="shared" ref="J94:S94" si="25">J93-I93</f>
        <v>198.15199999999999</v>
      </c>
      <c r="K94" s="96">
        <f t="shared" si="25"/>
        <v>143.46100000000001</v>
      </c>
      <c r="L94" s="96">
        <f t="shared" si="25"/>
        <v>47.80600000000004</v>
      </c>
      <c r="M94" s="96">
        <f t="shared" si="25"/>
        <v>-220.69700000000003</v>
      </c>
      <c r="N94" s="96">
        <f t="shared" si="25"/>
        <v>-83.722000000000008</v>
      </c>
      <c r="O94" s="96">
        <f t="shared" si="25"/>
        <v>-15</v>
      </c>
      <c r="P94" s="96">
        <f t="shared" si="25"/>
        <v>0</v>
      </c>
      <c r="Q94" s="96">
        <f t="shared" si="25"/>
        <v>0</v>
      </c>
      <c r="R94" s="96">
        <f t="shared" si="25"/>
        <v>0</v>
      </c>
      <c r="S94" s="96">
        <f t="shared" si="25"/>
        <v>0</v>
      </c>
    </row>
    <row r="95" spans="1:21" s="4" customFormat="1" ht="11.25" x14ac:dyDescent="0.2">
      <c r="A95" s="8"/>
      <c r="B95" s="2" t="s">
        <v>392</v>
      </c>
      <c r="C95" s="10" t="s">
        <v>42</v>
      </c>
      <c r="D95" s="10"/>
      <c r="E95" s="9"/>
      <c r="F95" s="8"/>
      <c r="G95" s="95" t="s">
        <v>393</v>
      </c>
      <c r="H95" s="96">
        <f>H19</f>
        <v>0</v>
      </c>
      <c r="I95" s="96">
        <f t="shared" ref="I95:S95" si="26">I19</f>
        <v>0</v>
      </c>
      <c r="J95" s="96">
        <f t="shared" si="26"/>
        <v>249.047</v>
      </c>
      <c r="K95" s="96">
        <f t="shared" si="26"/>
        <v>451.44799999999998</v>
      </c>
      <c r="L95" s="96">
        <f t="shared" si="26"/>
        <v>206.05600000000001</v>
      </c>
      <c r="M95" s="96">
        <f t="shared" si="26"/>
        <v>301.20800000000003</v>
      </c>
      <c r="N95" s="96">
        <f>N19</f>
        <v>495</v>
      </c>
      <c r="O95" s="96">
        <f t="shared" si="26"/>
        <v>340</v>
      </c>
      <c r="P95" s="96">
        <f t="shared" si="26"/>
        <v>310</v>
      </c>
      <c r="Q95" s="96">
        <f t="shared" si="26"/>
        <v>290</v>
      </c>
      <c r="R95" s="96">
        <f t="shared" si="26"/>
        <v>280</v>
      </c>
      <c r="S95" s="96">
        <f t="shared" si="26"/>
        <v>280</v>
      </c>
    </row>
    <row r="96" spans="1:21" s="4" customFormat="1" ht="11.25" x14ac:dyDescent="0.2">
      <c r="A96" s="8"/>
      <c r="B96" s="2" t="s">
        <v>394</v>
      </c>
      <c r="C96" s="10"/>
      <c r="D96" s="10"/>
      <c r="E96" s="9"/>
      <c r="F96" s="8"/>
      <c r="G96" s="97" t="s">
        <v>391</v>
      </c>
      <c r="H96" s="98"/>
      <c r="I96" s="96">
        <f>I95-H95</f>
        <v>0</v>
      </c>
      <c r="J96" s="96">
        <f t="shared" ref="J96:S96" si="27">J95-I95</f>
        <v>249.047</v>
      </c>
      <c r="K96" s="96">
        <f t="shared" si="27"/>
        <v>202.40099999999998</v>
      </c>
      <c r="L96" s="96">
        <f t="shared" si="27"/>
        <v>-245.39199999999997</v>
      </c>
      <c r="M96" s="96">
        <f t="shared" si="27"/>
        <v>95.152000000000015</v>
      </c>
      <c r="N96" s="96">
        <f t="shared" si="27"/>
        <v>193.79199999999997</v>
      </c>
      <c r="O96" s="96">
        <f t="shared" si="27"/>
        <v>-155</v>
      </c>
      <c r="P96" s="96">
        <f t="shared" si="27"/>
        <v>-30</v>
      </c>
      <c r="Q96" s="96">
        <f t="shared" si="27"/>
        <v>-20</v>
      </c>
      <c r="R96" s="96">
        <f t="shared" si="27"/>
        <v>-10</v>
      </c>
      <c r="S96" s="96">
        <f t="shared" si="27"/>
        <v>0</v>
      </c>
    </row>
    <row r="97" spans="1:19" s="40" customFormat="1" ht="11.25" x14ac:dyDescent="0.2">
      <c r="A97" s="29" t="s">
        <v>395</v>
      </c>
      <c r="B97" s="2" t="s">
        <v>188</v>
      </c>
      <c r="C97" s="10" t="s">
        <v>396</v>
      </c>
      <c r="D97" s="99"/>
      <c r="E97" s="30"/>
      <c r="F97" s="29"/>
      <c r="G97" s="100" t="s">
        <v>386</v>
      </c>
      <c r="H97" s="101"/>
      <c r="I97" s="102">
        <f>I94-I96</f>
        <v>0</v>
      </c>
      <c r="J97" s="102">
        <f t="shared" ref="J97:S97" si="28">J94-J96</f>
        <v>-50.89500000000001</v>
      </c>
      <c r="K97" s="102">
        <f t="shared" si="28"/>
        <v>-58.939999999999969</v>
      </c>
      <c r="L97" s="102">
        <f t="shared" si="28"/>
        <v>293.19799999999998</v>
      </c>
      <c r="M97" s="102">
        <f t="shared" si="28"/>
        <v>-315.84900000000005</v>
      </c>
      <c r="N97" s="102">
        <f t="shared" si="28"/>
        <v>-277.51400000000001</v>
      </c>
      <c r="O97" s="102">
        <f t="shared" si="28"/>
        <v>140</v>
      </c>
      <c r="P97" s="102">
        <f t="shared" si="28"/>
        <v>30</v>
      </c>
      <c r="Q97" s="102">
        <f t="shared" si="28"/>
        <v>20</v>
      </c>
      <c r="R97" s="102">
        <f t="shared" si="28"/>
        <v>10</v>
      </c>
      <c r="S97" s="102">
        <f t="shared" si="28"/>
        <v>0</v>
      </c>
    </row>
    <row r="98" spans="1:19" s="4" customFormat="1" ht="11.25" x14ac:dyDescent="0.2">
      <c r="A98" s="8"/>
      <c r="B98" s="2"/>
      <c r="C98" s="10"/>
      <c r="D98" s="10"/>
      <c r="E98" s="9"/>
      <c r="F98" s="8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</row>
    <row r="99" spans="1:19" s="4" customFormat="1" ht="11.25" x14ac:dyDescent="0.2">
      <c r="A99" s="8"/>
      <c r="B99" s="2" t="s">
        <v>397</v>
      </c>
      <c r="C99" s="10" t="s">
        <v>398</v>
      </c>
      <c r="D99" s="10"/>
      <c r="E99" s="9"/>
      <c r="F99" s="8"/>
      <c r="G99" s="95" t="s">
        <v>399</v>
      </c>
      <c r="H99" s="96">
        <f>H4-H93</f>
        <v>0</v>
      </c>
      <c r="I99" s="96">
        <f t="shared" ref="I99:S99" si="29">I4-I93</f>
        <v>87.119</v>
      </c>
      <c r="J99" s="96">
        <f t="shared" si="29"/>
        <v>74.716999999999985</v>
      </c>
      <c r="K99" s="96">
        <f t="shared" si="29"/>
        <v>113.10599999999999</v>
      </c>
      <c r="L99" s="96">
        <f t="shared" si="29"/>
        <v>77.899000000000001</v>
      </c>
      <c r="M99" s="96">
        <f t="shared" si="29"/>
        <v>277.32000000000005</v>
      </c>
      <c r="N99" s="96">
        <f t="shared" si="29"/>
        <v>470</v>
      </c>
      <c r="O99" s="96">
        <f t="shared" si="29"/>
        <v>420</v>
      </c>
      <c r="P99" s="96">
        <f t="shared" si="29"/>
        <v>382</v>
      </c>
      <c r="Q99" s="96">
        <f t="shared" si="29"/>
        <v>353</v>
      </c>
      <c r="R99" s="96">
        <f t="shared" si="29"/>
        <v>329</v>
      </c>
      <c r="S99" s="96">
        <f t="shared" si="29"/>
        <v>307</v>
      </c>
    </row>
    <row r="100" spans="1:19" s="4" customFormat="1" ht="11.25" x14ac:dyDescent="0.2">
      <c r="A100" s="8"/>
      <c r="B100" s="2" t="s">
        <v>400</v>
      </c>
      <c r="C100" s="10"/>
      <c r="D100" s="10"/>
      <c r="E100" s="9"/>
      <c r="F100" s="8"/>
      <c r="G100" s="97" t="s">
        <v>391</v>
      </c>
      <c r="H100" s="98"/>
      <c r="I100" s="96">
        <f>I99-H99</f>
        <v>87.119</v>
      </c>
      <c r="J100" s="96">
        <f t="shared" ref="J100:S100" si="30">J99-I99</f>
        <v>-12.402000000000015</v>
      </c>
      <c r="K100" s="96">
        <f t="shared" si="30"/>
        <v>38.38900000000001</v>
      </c>
      <c r="L100" s="96">
        <f t="shared" si="30"/>
        <v>-35.206999999999994</v>
      </c>
      <c r="M100" s="96">
        <f t="shared" si="30"/>
        <v>199.42100000000005</v>
      </c>
      <c r="N100" s="96">
        <f t="shared" si="30"/>
        <v>192.67999999999995</v>
      </c>
      <c r="O100" s="96">
        <f t="shared" si="30"/>
        <v>-50</v>
      </c>
      <c r="P100" s="96">
        <f t="shared" si="30"/>
        <v>-38</v>
      </c>
      <c r="Q100" s="96">
        <f t="shared" si="30"/>
        <v>-29</v>
      </c>
      <c r="R100" s="96">
        <f t="shared" si="30"/>
        <v>-24</v>
      </c>
      <c r="S100" s="96">
        <f t="shared" si="30"/>
        <v>-22</v>
      </c>
    </row>
    <row r="101" spans="1:19" s="4" customFormat="1" ht="11.25" x14ac:dyDescent="0.2">
      <c r="A101" s="8"/>
      <c r="B101" s="2" t="s">
        <v>401</v>
      </c>
      <c r="C101" s="10" t="s">
        <v>64</v>
      </c>
      <c r="D101" s="10"/>
      <c r="E101" s="9"/>
      <c r="F101" s="8"/>
      <c r="G101" s="95" t="s">
        <v>402</v>
      </c>
      <c r="H101" s="96">
        <f>H27</f>
        <v>0</v>
      </c>
      <c r="I101" s="96">
        <f t="shared" ref="I101:S101" si="31">I27</f>
        <v>87.119</v>
      </c>
      <c r="J101" s="96">
        <f t="shared" si="31"/>
        <v>23.823000000000008</v>
      </c>
      <c r="K101" s="96">
        <f t="shared" si="31"/>
        <v>3.4480000000000004</v>
      </c>
      <c r="L101" s="96">
        <f t="shared" si="31"/>
        <v>261.262</v>
      </c>
      <c r="M101" s="96">
        <f t="shared" si="31"/>
        <v>144.834</v>
      </c>
      <c r="N101" s="96">
        <f t="shared" si="31"/>
        <v>60</v>
      </c>
      <c r="O101" s="96">
        <f t="shared" si="31"/>
        <v>150</v>
      </c>
      <c r="P101" s="96">
        <f t="shared" si="31"/>
        <v>142</v>
      </c>
      <c r="Q101" s="96">
        <f t="shared" si="31"/>
        <v>133</v>
      </c>
      <c r="R101" s="96">
        <f t="shared" si="31"/>
        <v>119</v>
      </c>
      <c r="S101" s="96">
        <f t="shared" si="31"/>
        <v>97</v>
      </c>
    </row>
    <row r="102" spans="1:19" s="4" customFormat="1" ht="11.25" x14ac:dyDescent="0.2">
      <c r="A102" s="8"/>
      <c r="B102" s="2" t="s">
        <v>403</v>
      </c>
      <c r="C102" s="10"/>
      <c r="D102" s="10"/>
      <c r="E102" s="9"/>
      <c r="F102" s="8"/>
      <c r="G102" s="97" t="s">
        <v>391</v>
      </c>
      <c r="H102" s="98"/>
      <c r="I102" s="96">
        <f>I101-H101</f>
        <v>87.119</v>
      </c>
      <c r="J102" s="96">
        <f t="shared" ref="J102:S102" si="32">J101-I101</f>
        <v>-63.295999999999992</v>
      </c>
      <c r="K102" s="96">
        <f t="shared" si="32"/>
        <v>-20.375000000000007</v>
      </c>
      <c r="L102" s="96">
        <f t="shared" si="32"/>
        <v>257.81400000000002</v>
      </c>
      <c r="M102" s="96">
        <f t="shared" si="32"/>
        <v>-116.428</v>
      </c>
      <c r="N102" s="96">
        <f t="shared" si="32"/>
        <v>-84.834000000000003</v>
      </c>
      <c r="O102" s="96">
        <f t="shared" si="32"/>
        <v>90</v>
      </c>
      <c r="P102" s="96">
        <f t="shared" si="32"/>
        <v>-8</v>
      </c>
      <c r="Q102" s="96">
        <f t="shared" si="32"/>
        <v>-9</v>
      </c>
      <c r="R102" s="96">
        <f t="shared" si="32"/>
        <v>-14</v>
      </c>
      <c r="S102" s="96">
        <f t="shared" si="32"/>
        <v>-22</v>
      </c>
    </row>
    <row r="103" spans="1:19" s="40" customFormat="1" ht="11.25" x14ac:dyDescent="0.2">
      <c r="A103" s="29" t="s">
        <v>404</v>
      </c>
      <c r="B103" s="2" t="s">
        <v>189</v>
      </c>
      <c r="C103" s="10" t="s">
        <v>405</v>
      </c>
      <c r="D103" s="10"/>
      <c r="E103" s="9"/>
      <c r="F103" s="8"/>
      <c r="G103" s="100" t="s">
        <v>406</v>
      </c>
      <c r="H103" s="101"/>
      <c r="I103" s="102">
        <f>I102-I100</f>
        <v>0</v>
      </c>
      <c r="J103" s="102">
        <f t="shared" ref="J103:S103" si="33">J102-J100</f>
        <v>-50.893999999999977</v>
      </c>
      <c r="K103" s="102">
        <f t="shared" si="33"/>
        <v>-58.764000000000017</v>
      </c>
      <c r="L103" s="102">
        <f t="shared" si="33"/>
        <v>293.02100000000002</v>
      </c>
      <c r="M103" s="102">
        <f t="shared" si="33"/>
        <v>-315.84900000000005</v>
      </c>
      <c r="N103" s="102">
        <f t="shared" si="33"/>
        <v>-277.51399999999995</v>
      </c>
      <c r="O103" s="102">
        <f t="shared" si="33"/>
        <v>140</v>
      </c>
      <c r="P103" s="102">
        <f t="shared" si="33"/>
        <v>30</v>
      </c>
      <c r="Q103" s="102">
        <f t="shared" si="33"/>
        <v>20</v>
      </c>
      <c r="R103" s="102">
        <f t="shared" si="33"/>
        <v>10</v>
      </c>
      <c r="S103" s="102">
        <f t="shared" si="33"/>
        <v>0</v>
      </c>
    </row>
    <row r="104" spans="1:19" s="4" customFormat="1" ht="11.25" x14ac:dyDescent="0.2">
      <c r="A104" s="8"/>
      <c r="B104" s="2"/>
      <c r="C104" s="10"/>
      <c r="D104" s="10"/>
      <c r="E104" s="9"/>
      <c r="F104" s="8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</row>
    <row r="105" spans="1:19" s="4" customFormat="1" ht="11.25" x14ac:dyDescent="0.2">
      <c r="A105" s="13"/>
      <c r="B105" s="2"/>
      <c r="C105" s="10"/>
      <c r="D105" s="10"/>
      <c r="E105" s="9"/>
      <c r="F105" s="8"/>
      <c r="G105" s="94" t="s">
        <v>407</v>
      </c>
      <c r="H105" s="87">
        <f t="shared" ref="H105:S105" si="34">H32</f>
        <v>2011</v>
      </c>
      <c r="I105" s="87">
        <f t="shared" si="34"/>
        <v>2012</v>
      </c>
      <c r="J105" s="87">
        <f t="shared" si="34"/>
        <v>2013</v>
      </c>
      <c r="K105" s="87">
        <f t="shared" si="34"/>
        <v>2014</v>
      </c>
      <c r="L105" s="87">
        <f t="shared" si="34"/>
        <v>2015</v>
      </c>
      <c r="M105" s="87">
        <f t="shared" si="34"/>
        <v>2016</v>
      </c>
      <c r="N105" s="87">
        <f t="shared" si="34"/>
        <v>2017</v>
      </c>
      <c r="O105" s="87">
        <f t="shared" si="34"/>
        <v>2018</v>
      </c>
      <c r="P105" s="87">
        <f t="shared" si="34"/>
        <v>2019</v>
      </c>
      <c r="Q105" s="87">
        <f t="shared" si="34"/>
        <v>2020</v>
      </c>
      <c r="R105" s="87">
        <f t="shared" si="34"/>
        <v>2021</v>
      </c>
      <c r="S105" s="87">
        <f t="shared" si="34"/>
        <v>2022</v>
      </c>
    </row>
    <row r="106" spans="1:19" s="40" customFormat="1" ht="11.25" x14ac:dyDescent="0.2">
      <c r="A106" s="29" t="s">
        <v>408</v>
      </c>
      <c r="B106" s="2" t="s">
        <v>192</v>
      </c>
      <c r="C106" s="29" t="s">
        <v>409</v>
      </c>
      <c r="D106" s="10"/>
      <c r="E106" s="9"/>
      <c r="F106" s="8"/>
      <c r="G106" s="103" t="s">
        <v>407</v>
      </c>
      <c r="H106" s="101" t="s">
        <v>358</v>
      </c>
      <c r="I106" s="104">
        <f t="shared" ref="I106:N106" si="35">(I48-I45+I50)+(I58+I59)+(I82+I83+I84+I85)-(I85-I49)</f>
        <v>0</v>
      </c>
      <c r="J106" s="104">
        <f t="shared" si="35"/>
        <v>-51.067999999999977</v>
      </c>
      <c r="K106" s="104">
        <f t="shared" si="35"/>
        <v>-58.940999999999903</v>
      </c>
      <c r="L106" s="104">
        <f t="shared" si="35"/>
        <v>293.19900000000024</v>
      </c>
      <c r="M106" s="104">
        <f t="shared" si="35"/>
        <v>-315.8490000000001</v>
      </c>
      <c r="N106" s="104">
        <f t="shared" si="35"/>
        <v>-278</v>
      </c>
      <c r="O106" s="104">
        <f>(O48-O45+O50)+(O58+O59)+(O82+O83+O84+O85)-(O85-O49)</f>
        <v>140</v>
      </c>
      <c r="P106" s="104">
        <f>(P48-P45+P50)+(P58+P59)+(P82+P83+P84+P85)-(P85-P49)</f>
        <v>30</v>
      </c>
      <c r="Q106" s="104">
        <f>(Q48-Q45+Q50)+(Q58+Q59)+(Q82+Q83+Q84+Q85)-(Q85-Q49)</f>
        <v>20</v>
      </c>
      <c r="R106" s="104">
        <f>(R48-R45+R50)+(R58+R59)+(R82+R83+R84+R85)-(R85-R49)</f>
        <v>10</v>
      </c>
      <c r="S106" s="104">
        <f>(S48-S45+S50)+(S58+S59)+(S82+S83+S84+S85)-(S85-S49)</f>
        <v>0</v>
      </c>
    </row>
    <row r="107" spans="1:19" s="40" customFormat="1" ht="11.25" x14ac:dyDescent="0.2">
      <c r="A107" s="29" t="s">
        <v>410</v>
      </c>
      <c r="B107" s="2" t="s">
        <v>194</v>
      </c>
      <c r="C107" s="29" t="s">
        <v>411</v>
      </c>
      <c r="D107" s="10"/>
      <c r="E107" s="9"/>
      <c r="F107" s="8"/>
      <c r="G107" s="89" t="s">
        <v>412</v>
      </c>
      <c r="H107" s="101" t="s">
        <v>358</v>
      </c>
      <c r="I107" s="85">
        <f>I97-I106</f>
        <v>0</v>
      </c>
      <c r="J107" s="85">
        <f t="shared" ref="J107:S107" si="36">J97-J106</f>
        <v>0.17299999999996629</v>
      </c>
      <c r="K107" s="85">
        <f t="shared" si="36"/>
        <v>9.9999999993372057E-4</v>
      </c>
      <c r="L107" s="85">
        <f t="shared" si="36"/>
        <v>-1.0000000002605702E-3</v>
      </c>
      <c r="M107" s="85">
        <f t="shared" si="36"/>
        <v>0</v>
      </c>
      <c r="N107" s="85">
        <f t="shared" si="36"/>
        <v>0.48599999999999</v>
      </c>
      <c r="O107" s="85">
        <f t="shared" si="36"/>
        <v>0</v>
      </c>
      <c r="P107" s="85">
        <f t="shared" si="36"/>
        <v>0</v>
      </c>
      <c r="Q107" s="85">
        <f t="shared" si="36"/>
        <v>0</v>
      </c>
      <c r="R107" s="85">
        <f t="shared" si="36"/>
        <v>0</v>
      </c>
      <c r="S107" s="85">
        <f t="shared" si="36"/>
        <v>0</v>
      </c>
    </row>
    <row r="108" spans="1:19" s="40" customFormat="1" ht="11.25" x14ac:dyDescent="0.2">
      <c r="A108" s="29"/>
      <c r="B108" s="2"/>
      <c r="C108" s="29"/>
      <c r="D108" s="10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</row>
    <row r="109" spans="1:19" s="40" customFormat="1" ht="11.25" x14ac:dyDescent="0.2">
      <c r="A109" s="29"/>
      <c r="B109" s="2"/>
      <c r="C109" s="29"/>
      <c r="D109" s="10"/>
      <c r="E109" s="9"/>
      <c r="F109" s="8"/>
      <c r="G109" s="94" t="s">
        <v>413</v>
      </c>
      <c r="H109" s="87">
        <f>H105</f>
        <v>2011</v>
      </c>
      <c r="I109" s="87">
        <f t="shared" ref="I109:S109" si="37">I105</f>
        <v>2012</v>
      </c>
      <c r="J109" s="87">
        <f t="shared" si="37"/>
        <v>2013</v>
      </c>
      <c r="K109" s="87">
        <f t="shared" si="37"/>
        <v>2014</v>
      </c>
      <c r="L109" s="87">
        <f t="shared" si="37"/>
        <v>2015</v>
      </c>
      <c r="M109" s="87">
        <f t="shared" si="37"/>
        <v>2016</v>
      </c>
      <c r="N109" s="87">
        <f t="shared" si="37"/>
        <v>2017</v>
      </c>
      <c r="O109" s="87">
        <f t="shared" si="37"/>
        <v>2018</v>
      </c>
      <c r="P109" s="87">
        <f t="shared" si="37"/>
        <v>2019</v>
      </c>
      <c r="Q109" s="87">
        <f t="shared" si="37"/>
        <v>2020</v>
      </c>
      <c r="R109" s="87">
        <f t="shared" si="37"/>
        <v>2021</v>
      </c>
      <c r="S109" s="87">
        <f t="shared" si="37"/>
        <v>2022</v>
      </c>
    </row>
    <row r="110" spans="1:19" s="4" customFormat="1" ht="11.25" x14ac:dyDescent="0.2">
      <c r="A110" s="8" t="s">
        <v>414</v>
      </c>
      <c r="B110" s="2" t="s">
        <v>415</v>
      </c>
      <c r="C110" s="34" t="s">
        <v>190</v>
      </c>
      <c r="D110" s="10"/>
      <c r="E110" s="9"/>
      <c r="F110" s="8"/>
      <c r="G110" s="103" t="s">
        <v>191</v>
      </c>
      <c r="H110" s="105">
        <f t="shared" ref="H110:S110" si="38">H33+H38+H41-H45</f>
        <v>0</v>
      </c>
      <c r="I110" s="77">
        <f t="shared" si="38"/>
        <v>0</v>
      </c>
      <c r="J110" s="77">
        <f t="shared" si="38"/>
        <v>-42.496999999999979</v>
      </c>
      <c r="K110" s="77">
        <f t="shared" si="38"/>
        <v>21.909000000000091</v>
      </c>
      <c r="L110" s="77">
        <f t="shared" si="38"/>
        <v>303.64000000000027</v>
      </c>
      <c r="M110" s="77">
        <f t="shared" si="38"/>
        <v>-78.867000000000132</v>
      </c>
      <c r="N110" s="77">
        <f t="shared" si="38"/>
        <v>-44</v>
      </c>
      <c r="O110" s="77">
        <f t="shared" si="38"/>
        <v>139</v>
      </c>
      <c r="P110" s="77">
        <f t="shared" si="38"/>
        <v>29</v>
      </c>
      <c r="Q110" s="77">
        <f t="shared" si="38"/>
        <v>19</v>
      </c>
      <c r="R110" s="77">
        <f t="shared" si="38"/>
        <v>9</v>
      </c>
      <c r="S110" s="77">
        <f t="shared" si="38"/>
        <v>-1</v>
      </c>
    </row>
    <row r="111" spans="1:19" s="4" customFormat="1" ht="11.25" x14ac:dyDescent="0.2">
      <c r="A111" s="8" t="s">
        <v>416</v>
      </c>
      <c r="B111" s="2" t="s">
        <v>197</v>
      </c>
      <c r="C111" s="8" t="s">
        <v>417</v>
      </c>
      <c r="D111" s="10"/>
      <c r="E111" s="106">
        <v>0</v>
      </c>
      <c r="F111" s="8"/>
      <c r="G111" s="46" t="s">
        <v>193</v>
      </c>
      <c r="H111" s="107" t="e">
        <f t="shared" ref="H111:S111" si="39">H110/H33</f>
        <v>#DIV/0!</v>
      </c>
      <c r="I111" s="108" t="e">
        <f t="shared" si="39"/>
        <v>#DIV/0!</v>
      </c>
      <c r="J111" s="108">
        <f t="shared" si="39"/>
        <v>-3.1401871092500172E-2</v>
      </c>
      <c r="K111" s="108">
        <f t="shared" si="39"/>
        <v>1.3042212622175923E-2</v>
      </c>
      <c r="L111" s="108">
        <f t="shared" si="39"/>
        <v>0.12935542537460643</v>
      </c>
      <c r="M111" s="108">
        <f t="shared" si="39"/>
        <v>-4.181718403283155E-2</v>
      </c>
      <c r="N111" s="108">
        <f t="shared" si="39"/>
        <v>-2.3121387283236993E-2</v>
      </c>
      <c r="O111" s="108">
        <f t="shared" si="39"/>
        <v>8.224852071005917E-2</v>
      </c>
      <c r="P111" s="108">
        <f t="shared" si="39"/>
        <v>1.6111111111111111E-2</v>
      </c>
      <c r="Q111" s="108">
        <f t="shared" si="39"/>
        <v>1.0555555555555556E-2</v>
      </c>
      <c r="R111" s="108">
        <f t="shared" si="39"/>
        <v>5.0000000000000001E-3</v>
      </c>
      <c r="S111" s="108">
        <f t="shared" si="39"/>
        <v>-5.5555555555555556E-4</v>
      </c>
    </row>
    <row r="112" spans="1:19" s="4" customFormat="1" ht="11.25" x14ac:dyDescent="0.2">
      <c r="A112" s="8" t="s">
        <v>418</v>
      </c>
      <c r="B112" s="2" t="s">
        <v>200</v>
      </c>
      <c r="C112" s="34" t="s">
        <v>195</v>
      </c>
      <c r="D112" s="10"/>
      <c r="E112" s="109"/>
      <c r="F112" s="8"/>
      <c r="G112" s="110" t="s">
        <v>196</v>
      </c>
      <c r="H112" s="111" t="e">
        <f t="shared" ref="H112:S112" si="40">-H33/(H38+H41)</f>
        <v>#DIV/0!</v>
      </c>
      <c r="I112" s="111" t="e">
        <f t="shared" si="40"/>
        <v>#DIV/0!</v>
      </c>
      <c r="J112" s="111">
        <f t="shared" si="40"/>
        <v>0.94162697203354806</v>
      </c>
      <c r="K112" s="111">
        <f t="shared" si="40"/>
        <v>0.98791346767387778</v>
      </c>
      <c r="L112" s="111">
        <f t="shared" si="40"/>
        <v>1.1231888322827952</v>
      </c>
      <c r="M112" s="111">
        <f t="shared" si="40"/>
        <v>0.94157196005248045</v>
      </c>
      <c r="N112" s="111">
        <f t="shared" si="40"/>
        <v>0.95724346076458755</v>
      </c>
      <c r="O112" s="111">
        <f t="shared" si="40"/>
        <v>1.0555902560899437</v>
      </c>
      <c r="P112" s="111">
        <f t="shared" si="40"/>
        <v>0.99502487562189057</v>
      </c>
      <c r="Q112" s="111">
        <f t="shared" si="40"/>
        <v>0.99447513812154698</v>
      </c>
      <c r="R112" s="111">
        <f t="shared" si="40"/>
        <v>0.99173553719008267</v>
      </c>
      <c r="S112" s="111">
        <f t="shared" si="40"/>
        <v>0.98738343390016459</v>
      </c>
    </row>
    <row r="113" spans="1:19" s="4" customFormat="1" ht="11.25" x14ac:dyDescent="0.2">
      <c r="A113" s="8" t="s">
        <v>419</v>
      </c>
      <c r="B113" s="2" t="s">
        <v>420</v>
      </c>
      <c r="C113" s="8" t="s">
        <v>198</v>
      </c>
      <c r="D113" s="10"/>
      <c r="E113" s="109"/>
      <c r="F113" s="8"/>
      <c r="G113" s="103" t="s">
        <v>199</v>
      </c>
      <c r="H113" s="105">
        <f t="shared" ref="H113:S113" si="41">H46</f>
        <v>0</v>
      </c>
      <c r="I113" s="105">
        <f t="shared" si="41"/>
        <v>0</v>
      </c>
      <c r="J113" s="105">
        <f t="shared" si="41"/>
        <v>-83.894999999999982</v>
      </c>
      <c r="K113" s="105">
        <f t="shared" si="41"/>
        <v>-20.551999999999907</v>
      </c>
      <c r="L113" s="105">
        <f t="shared" si="41"/>
        <v>257.45000000000027</v>
      </c>
      <c r="M113" s="105">
        <f t="shared" si="41"/>
        <v>-117.03300000000013</v>
      </c>
      <c r="N113" s="105">
        <f t="shared" si="41"/>
        <v>-85</v>
      </c>
      <c r="O113" s="105">
        <f t="shared" si="41"/>
        <v>89</v>
      </c>
      <c r="P113" s="105">
        <f t="shared" si="41"/>
        <v>-9</v>
      </c>
      <c r="Q113" s="105">
        <f t="shared" si="41"/>
        <v>-10</v>
      </c>
      <c r="R113" s="105">
        <f t="shared" si="41"/>
        <v>-15</v>
      </c>
      <c r="S113" s="105">
        <f t="shared" si="41"/>
        <v>-23</v>
      </c>
    </row>
    <row r="114" spans="1:19" s="4" customFormat="1" ht="11.25" x14ac:dyDescent="0.2">
      <c r="A114" s="8" t="s">
        <v>421</v>
      </c>
      <c r="B114" s="2" t="s">
        <v>422</v>
      </c>
      <c r="C114" s="8" t="s">
        <v>201</v>
      </c>
      <c r="D114" s="106">
        <v>-0.3</v>
      </c>
      <c r="E114" s="106">
        <v>0</v>
      </c>
      <c r="F114" s="8"/>
      <c r="G114" s="110" t="s">
        <v>202</v>
      </c>
      <c r="H114" s="112" t="e">
        <f t="shared" ref="H114:S114" si="42">H46/H33</f>
        <v>#DIV/0!</v>
      </c>
      <c r="I114" s="113" t="e">
        <f t="shared" si="42"/>
        <v>#DIV/0!</v>
      </c>
      <c r="J114" s="113">
        <f t="shared" si="42"/>
        <v>-6.1991669419142588E-2</v>
      </c>
      <c r="K114" s="113">
        <f t="shared" si="42"/>
        <v>-1.2234403843669599E-2</v>
      </c>
      <c r="L114" s="113">
        <f t="shared" si="42"/>
        <v>0.10967775741895806</v>
      </c>
      <c r="M114" s="113">
        <f t="shared" si="42"/>
        <v>-6.2053717003491597E-2</v>
      </c>
      <c r="N114" s="113">
        <f t="shared" si="42"/>
        <v>-4.4666316342616919E-2</v>
      </c>
      <c r="O114" s="113">
        <f t="shared" si="42"/>
        <v>5.2662721893491124E-2</v>
      </c>
      <c r="P114" s="113">
        <f t="shared" si="42"/>
        <v>-5.0000000000000001E-3</v>
      </c>
      <c r="Q114" s="113">
        <f t="shared" si="42"/>
        <v>-5.5555555555555558E-3</v>
      </c>
      <c r="R114" s="113">
        <f t="shared" si="42"/>
        <v>-8.3333333333333332E-3</v>
      </c>
      <c r="S114" s="113">
        <f t="shared" si="42"/>
        <v>-1.2777777777777779E-2</v>
      </c>
    </row>
    <row r="115" spans="1:19" s="4" customFormat="1" ht="11.25" x14ac:dyDescent="0.2">
      <c r="A115" s="8" t="s">
        <v>423</v>
      </c>
      <c r="B115" s="2" t="s">
        <v>424</v>
      </c>
      <c r="C115" s="8" t="s">
        <v>204</v>
      </c>
      <c r="D115" s="10"/>
      <c r="E115" s="109"/>
      <c r="F115" s="8"/>
      <c r="G115" s="46" t="s">
        <v>205</v>
      </c>
      <c r="H115" s="105">
        <f t="shared" ref="H115:S115" si="43">H29+H30</f>
        <v>0</v>
      </c>
      <c r="I115" s="105">
        <f t="shared" si="43"/>
        <v>0</v>
      </c>
      <c r="J115" s="105">
        <f t="shared" si="43"/>
        <v>-83.995999999999995</v>
      </c>
      <c r="K115" s="105">
        <f t="shared" si="43"/>
        <v>-104.55199999999999</v>
      </c>
      <c r="L115" s="105">
        <f t="shared" si="43"/>
        <v>153.44299999999998</v>
      </c>
      <c r="M115" s="105">
        <f t="shared" si="43"/>
        <v>37.015000000000015</v>
      </c>
      <c r="N115" s="105">
        <f t="shared" si="43"/>
        <v>-48</v>
      </c>
      <c r="O115" s="105">
        <f t="shared" si="43"/>
        <v>42</v>
      </c>
      <c r="P115" s="105">
        <f t="shared" si="43"/>
        <v>34</v>
      </c>
      <c r="Q115" s="105">
        <f t="shared" si="43"/>
        <v>25</v>
      </c>
      <c r="R115" s="105">
        <f t="shared" si="43"/>
        <v>11</v>
      </c>
      <c r="S115" s="105">
        <f t="shared" si="43"/>
        <v>-11</v>
      </c>
    </row>
    <row r="116" spans="1:19" s="4" customFormat="1" ht="11.25" x14ac:dyDescent="0.2">
      <c r="A116" s="8"/>
      <c r="B116" s="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</row>
    <row r="117" spans="1:19" s="4" customFormat="1" ht="11.25" x14ac:dyDescent="0.2">
      <c r="A117" s="8"/>
      <c r="B117" s="2"/>
      <c r="C117" s="10"/>
      <c r="D117" s="10"/>
      <c r="E117" s="8"/>
      <c r="F117" s="8"/>
      <c r="G117" s="94" t="s">
        <v>206</v>
      </c>
      <c r="H117" s="87">
        <f t="shared" ref="H117:S117" si="44">H105</f>
        <v>2011</v>
      </c>
      <c r="I117" s="87">
        <f t="shared" si="44"/>
        <v>2012</v>
      </c>
      <c r="J117" s="87">
        <f t="shared" si="44"/>
        <v>2013</v>
      </c>
      <c r="K117" s="87">
        <f t="shared" si="44"/>
        <v>2014</v>
      </c>
      <c r="L117" s="87">
        <f t="shared" si="44"/>
        <v>2015</v>
      </c>
      <c r="M117" s="87">
        <f t="shared" si="44"/>
        <v>2016</v>
      </c>
      <c r="N117" s="87">
        <f t="shared" si="44"/>
        <v>2017</v>
      </c>
      <c r="O117" s="87">
        <f t="shared" si="44"/>
        <v>2018</v>
      </c>
      <c r="P117" s="87">
        <f t="shared" si="44"/>
        <v>2019</v>
      </c>
      <c r="Q117" s="87">
        <f t="shared" si="44"/>
        <v>2020</v>
      </c>
      <c r="R117" s="87">
        <f t="shared" si="44"/>
        <v>2021</v>
      </c>
      <c r="S117" s="87">
        <f t="shared" si="44"/>
        <v>2022</v>
      </c>
    </row>
    <row r="118" spans="1:19" s="4" customFormat="1" ht="11.25" x14ac:dyDescent="0.2">
      <c r="A118" s="34" t="s">
        <v>425</v>
      </c>
      <c r="B118" s="2" t="s">
        <v>426</v>
      </c>
      <c r="C118" s="10" t="s">
        <v>208</v>
      </c>
      <c r="D118" s="10"/>
      <c r="E118" s="109"/>
      <c r="F118" s="37"/>
      <c r="G118" s="103" t="s">
        <v>209</v>
      </c>
      <c r="H118" s="105">
        <f t="shared" ref="H118:S118" si="45">H6+H12</f>
        <v>0</v>
      </c>
      <c r="I118" s="77">
        <f t="shared" si="45"/>
        <v>0</v>
      </c>
      <c r="J118" s="77">
        <f t="shared" si="45"/>
        <v>133.09899999999999</v>
      </c>
      <c r="K118" s="77">
        <f t="shared" si="45"/>
        <v>132.459</v>
      </c>
      <c r="L118" s="77">
        <f t="shared" si="45"/>
        <v>311.476</v>
      </c>
      <c r="M118" s="77">
        <f t="shared" si="45"/>
        <v>11.973000000000001</v>
      </c>
      <c r="N118" s="77">
        <f t="shared" si="45"/>
        <v>12</v>
      </c>
      <c r="O118" s="77">
        <f t="shared" si="45"/>
        <v>10</v>
      </c>
      <c r="P118" s="77">
        <f t="shared" si="45"/>
        <v>10</v>
      </c>
      <c r="Q118" s="77">
        <f t="shared" si="45"/>
        <v>10</v>
      </c>
      <c r="R118" s="77">
        <f t="shared" si="45"/>
        <v>10</v>
      </c>
      <c r="S118" s="77">
        <f t="shared" si="45"/>
        <v>10</v>
      </c>
    </row>
    <row r="119" spans="1:19" s="4" customFormat="1" ht="11.25" x14ac:dyDescent="0.2">
      <c r="A119" s="8" t="s">
        <v>427</v>
      </c>
      <c r="B119" s="2" t="s">
        <v>428</v>
      </c>
      <c r="C119" s="8" t="s">
        <v>42</v>
      </c>
      <c r="D119" s="10"/>
      <c r="E119" s="109"/>
      <c r="F119" s="37"/>
      <c r="G119" s="110" t="s">
        <v>211</v>
      </c>
      <c r="H119" s="105">
        <f t="shared" ref="H119:S119" si="46">H19</f>
        <v>0</v>
      </c>
      <c r="I119" s="105">
        <f t="shared" si="46"/>
        <v>0</v>
      </c>
      <c r="J119" s="105">
        <f t="shared" si="46"/>
        <v>249.047</v>
      </c>
      <c r="K119" s="105">
        <f t="shared" si="46"/>
        <v>451.44799999999998</v>
      </c>
      <c r="L119" s="105">
        <f t="shared" si="46"/>
        <v>206.05600000000001</v>
      </c>
      <c r="M119" s="105">
        <f t="shared" si="46"/>
        <v>301.20800000000003</v>
      </c>
      <c r="N119" s="105">
        <f t="shared" si="46"/>
        <v>495</v>
      </c>
      <c r="O119" s="105">
        <f t="shared" si="46"/>
        <v>340</v>
      </c>
      <c r="P119" s="105">
        <f t="shared" si="46"/>
        <v>310</v>
      </c>
      <c r="Q119" s="105">
        <f t="shared" si="46"/>
        <v>290</v>
      </c>
      <c r="R119" s="105">
        <f t="shared" si="46"/>
        <v>280</v>
      </c>
      <c r="S119" s="105">
        <f t="shared" si="46"/>
        <v>280</v>
      </c>
    </row>
    <row r="120" spans="1:19" s="4" customFormat="1" ht="11.25" x14ac:dyDescent="0.2">
      <c r="A120" s="8" t="s">
        <v>429</v>
      </c>
      <c r="B120" s="2" t="s">
        <v>203</v>
      </c>
      <c r="C120" s="8" t="s">
        <v>430</v>
      </c>
      <c r="D120" s="10"/>
      <c r="E120" s="109"/>
      <c r="F120" s="37"/>
      <c r="G120" s="110" t="s">
        <v>212</v>
      </c>
      <c r="H120" s="105">
        <f t="shared" ref="H120:S120" si="47">H119-H118</f>
        <v>0</v>
      </c>
      <c r="I120" s="77">
        <f t="shared" si="47"/>
        <v>0</v>
      </c>
      <c r="J120" s="77">
        <f t="shared" si="47"/>
        <v>115.94800000000001</v>
      </c>
      <c r="K120" s="77">
        <f t="shared" si="47"/>
        <v>318.98899999999998</v>
      </c>
      <c r="L120" s="77">
        <f t="shared" si="47"/>
        <v>-105.41999999999999</v>
      </c>
      <c r="M120" s="77">
        <f>M119-M118</f>
        <v>289.23500000000001</v>
      </c>
      <c r="N120" s="77">
        <f t="shared" si="47"/>
        <v>483</v>
      </c>
      <c r="O120" s="77">
        <f t="shared" si="47"/>
        <v>330</v>
      </c>
      <c r="P120" s="77">
        <f t="shared" si="47"/>
        <v>300</v>
      </c>
      <c r="Q120" s="77">
        <f t="shared" si="47"/>
        <v>280</v>
      </c>
      <c r="R120" s="77">
        <f t="shared" si="47"/>
        <v>270</v>
      </c>
      <c r="S120" s="77">
        <f t="shared" si="47"/>
        <v>270</v>
      </c>
    </row>
    <row r="121" spans="1:19" s="4" customFormat="1" ht="11.25" x14ac:dyDescent="0.2">
      <c r="A121" s="34" t="s">
        <v>431</v>
      </c>
      <c r="B121" s="2" t="s">
        <v>207</v>
      </c>
      <c r="C121" s="8" t="s">
        <v>432</v>
      </c>
      <c r="D121" s="10"/>
      <c r="E121" s="106">
        <v>0.4</v>
      </c>
      <c r="F121" s="114" t="s">
        <v>433</v>
      </c>
      <c r="G121" s="46" t="s">
        <v>213</v>
      </c>
      <c r="H121" s="115" t="e">
        <f t="shared" ref="H121:S121" si="48">H120/H33</f>
        <v>#DIV/0!</v>
      </c>
      <c r="I121" s="108" t="e">
        <f t="shared" si="48"/>
        <v>#DIV/0!</v>
      </c>
      <c r="J121" s="108">
        <f t="shared" si="48"/>
        <v>8.5676263016994422E-2</v>
      </c>
      <c r="K121" s="108">
        <f t="shared" si="48"/>
        <v>0.18989102022617452</v>
      </c>
      <c r="L121" s="108">
        <f t="shared" si="48"/>
        <v>-4.4910581422049123E-2</v>
      </c>
      <c r="M121" s="108">
        <f t="shared" si="48"/>
        <v>0.15335936733660482</v>
      </c>
      <c r="N121" s="108">
        <f t="shared" si="48"/>
        <v>0.25380977404098792</v>
      </c>
      <c r="O121" s="108">
        <f t="shared" si="48"/>
        <v>0.19526627218934911</v>
      </c>
      <c r="P121" s="108">
        <f t="shared" si="48"/>
        <v>0.16666666666666666</v>
      </c>
      <c r="Q121" s="108">
        <f t="shared" si="48"/>
        <v>0.15555555555555556</v>
      </c>
      <c r="R121" s="108">
        <f t="shared" si="48"/>
        <v>0.15</v>
      </c>
      <c r="S121" s="108">
        <f t="shared" si="48"/>
        <v>0.15</v>
      </c>
    </row>
    <row r="122" spans="1:19" s="4" customFormat="1" ht="11.25" x14ac:dyDescent="0.2">
      <c r="A122" s="8" t="s">
        <v>434</v>
      </c>
      <c r="B122" s="2" t="s">
        <v>210</v>
      </c>
      <c r="C122" s="8" t="s">
        <v>435</v>
      </c>
      <c r="D122" s="116">
        <v>0</v>
      </c>
      <c r="E122" s="116">
        <v>5</v>
      </c>
      <c r="F122" s="37"/>
      <c r="G122" s="100" t="s">
        <v>215</v>
      </c>
      <c r="H122" s="111" t="e">
        <f t="shared" ref="H122:S122" si="49">H120/H110</f>
        <v>#DIV/0!</v>
      </c>
      <c r="I122" s="111" t="e">
        <f t="shared" si="49"/>
        <v>#DIV/0!</v>
      </c>
      <c r="J122" s="111">
        <f t="shared" si="49"/>
        <v>-2.728380826881899</v>
      </c>
      <c r="K122" s="111">
        <f t="shared" si="49"/>
        <v>14.559724314208712</v>
      </c>
      <c r="L122" s="111">
        <f t="shared" si="49"/>
        <v>-0.34718745883282798</v>
      </c>
      <c r="M122" s="111">
        <f>M120/M110</f>
        <v>-3.6673767228371754</v>
      </c>
      <c r="N122" s="111">
        <f t="shared" si="49"/>
        <v>-10.977272727272727</v>
      </c>
      <c r="O122" s="111">
        <f t="shared" si="49"/>
        <v>2.3741007194244603</v>
      </c>
      <c r="P122" s="111">
        <f t="shared" si="49"/>
        <v>10.344827586206897</v>
      </c>
      <c r="Q122" s="111">
        <f t="shared" si="49"/>
        <v>14.736842105263158</v>
      </c>
      <c r="R122" s="111">
        <f t="shared" si="49"/>
        <v>30</v>
      </c>
      <c r="S122" s="111">
        <f t="shared" si="49"/>
        <v>-270</v>
      </c>
    </row>
    <row r="123" spans="1:19" s="4" customFormat="1" ht="11.25" x14ac:dyDescent="0.2">
      <c r="A123" s="8" t="s">
        <v>436</v>
      </c>
      <c r="B123" s="2" t="s">
        <v>437</v>
      </c>
      <c r="C123" s="8" t="s">
        <v>217</v>
      </c>
      <c r="D123" s="10"/>
      <c r="E123" s="109"/>
      <c r="F123" s="37"/>
      <c r="G123" s="110" t="s">
        <v>218</v>
      </c>
      <c r="H123" s="105">
        <f t="shared" ref="H123:S123" si="50">-(H75+H77+H78+H79+H80+H81)</f>
        <v>0</v>
      </c>
      <c r="I123" s="105">
        <f t="shared" si="50"/>
        <v>0</v>
      </c>
      <c r="J123" s="105">
        <f t="shared" si="50"/>
        <v>0.10100000000000001</v>
      </c>
      <c r="K123" s="105">
        <f t="shared" si="50"/>
        <v>0</v>
      </c>
      <c r="L123" s="105">
        <f t="shared" si="50"/>
        <v>5.0999999999999997E-2</v>
      </c>
      <c r="M123" s="105">
        <f t="shared" si="50"/>
        <v>0</v>
      </c>
      <c r="N123" s="105">
        <f t="shared" si="50"/>
        <v>0</v>
      </c>
      <c r="O123" s="105">
        <f t="shared" si="50"/>
        <v>0</v>
      </c>
      <c r="P123" s="105">
        <f t="shared" si="50"/>
        <v>0</v>
      </c>
      <c r="Q123" s="105">
        <f t="shared" si="50"/>
        <v>0</v>
      </c>
      <c r="R123" s="105">
        <f t="shared" si="50"/>
        <v>0</v>
      </c>
      <c r="S123" s="105">
        <f t="shared" si="50"/>
        <v>0</v>
      </c>
    </row>
    <row r="124" spans="1:19" s="4" customFormat="1" ht="11.25" x14ac:dyDescent="0.2">
      <c r="A124" s="8" t="s">
        <v>438</v>
      </c>
      <c r="B124" s="2" t="s">
        <v>439</v>
      </c>
      <c r="C124" s="8" t="s">
        <v>440</v>
      </c>
      <c r="D124" s="10"/>
      <c r="E124" s="116">
        <v>1.2</v>
      </c>
      <c r="F124" s="114" t="s">
        <v>433</v>
      </c>
      <c r="G124" s="110" t="s">
        <v>220</v>
      </c>
      <c r="H124" s="117" t="e">
        <f t="shared" ref="H124:S124" si="51">H110/H123</f>
        <v>#DIV/0!</v>
      </c>
      <c r="I124" s="111" t="e">
        <f t="shared" si="51"/>
        <v>#DIV/0!</v>
      </c>
      <c r="J124" s="111">
        <f t="shared" si="51"/>
        <v>-420.76237623762353</v>
      </c>
      <c r="K124" s="111" t="e">
        <f t="shared" si="51"/>
        <v>#DIV/0!</v>
      </c>
      <c r="L124" s="111">
        <f t="shared" si="51"/>
        <v>5953.7254901960841</v>
      </c>
      <c r="M124" s="111" t="e">
        <f t="shared" si="51"/>
        <v>#DIV/0!</v>
      </c>
      <c r="N124" s="111" t="e">
        <f t="shared" si="51"/>
        <v>#DIV/0!</v>
      </c>
      <c r="O124" s="111" t="e">
        <f t="shared" si="51"/>
        <v>#DIV/0!</v>
      </c>
      <c r="P124" s="111" t="e">
        <f t="shared" si="51"/>
        <v>#DIV/0!</v>
      </c>
      <c r="Q124" s="111" t="e">
        <f t="shared" si="51"/>
        <v>#DIV/0!</v>
      </c>
      <c r="R124" s="111" t="e">
        <f t="shared" si="51"/>
        <v>#DIV/0!</v>
      </c>
      <c r="S124" s="111" t="e">
        <f t="shared" si="51"/>
        <v>#DIV/0!</v>
      </c>
    </row>
    <row r="125" spans="1:19" s="4" customFormat="1" ht="11.25" x14ac:dyDescent="0.2">
      <c r="A125" s="38" t="s">
        <v>441</v>
      </c>
      <c r="B125" s="2" t="s">
        <v>442</v>
      </c>
      <c r="C125" s="8" t="s">
        <v>222</v>
      </c>
      <c r="D125" s="10"/>
      <c r="E125" s="116">
        <v>0</v>
      </c>
      <c r="F125" s="37"/>
      <c r="G125" s="103" t="s">
        <v>223</v>
      </c>
      <c r="H125" s="105">
        <f t="shared" ref="H125:S125" si="52">H5-H20</f>
        <v>0</v>
      </c>
      <c r="I125" s="105">
        <f t="shared" si="52"/>
        <v>0</v>
      </c>
      <c r="J125" s="105">
        <f t="shared" si="52"/>
        <v>-50.89500000000001</v>
      </c>
      <c r="K125" s="105">
        <f t="shared" si="52"/>
        <v>-109.83499999999998</v>
      </c>
      <c r="L125" s="105">
        <f t="shared" si="52"/>
        <v>183.36300000000003</v>
      </c>
      <c r="M125" s="105">
        <f t="shared" si="52"/>
        <v>-132.48600000000002</v>
      </c>
      <c r="N125" s="105">
        <f t="shared" si="52"/>
        <v>85</v>
      </c>
      <c r="O125" s="105">
        <f t="shared" si="52"/>
        <v>70</v>
      </c>
      <c r="P125" s="105">
        <f t="shared" si="52"/>
        <v>70</v>
      </c>
      <c r="Q125" s="105">
        <f t="shared" si="52"/>
        <v>70</v>
      </c>
      <c r="R125" s="105">
        <f t="shared" si="52"/>
        <v>70</v>
      </c>
      <c r="S125" s="105">
        <f t="shared" si="52"/>
        <v>70</v>
      </c>
    </row>
    <row r="126" spans="1:19" s="4" customFormat="1" ht="11.25" x14ac:dyDescent="0.2">
      <c r="A126" s="34" t="s">
        <v>443</v>
      </c>
      <c r="B126" s="2" t="s">
        <v>444</v>
      </c>
      <c r="C126" s="8" t="s">
        <v>225</v>
      </c>
      <c r="D126" s="10"/>
      <c r="E126" s="116">
        <v>1</v>
      </c>
      <c r="F126" s="114" t="s">
        <v>433</v>
      </c>
      <c r="G126" s="110" t="s">
        <v>226</v>
      </c>
      <c r="H126" s="117" t="e">
        <f t="shared" ref="H126:S126" si="53">H5/H20</f>
        <v>#DIV/0!</v>
      </c>
      <c r="I126" s="117" t="e">
        <f t="shared" si="53"/>
        <v>#DIV/0!</v>
      </c>
      <c r="J126" s="117">
        <f t="shared" si="53"/>
        <v>0.79564098342883061</v>
      </c>
      <c r="K126" s="117">
        <f t="shared" si="53"/>
        <v>0.75670509117329132</v>
      </c>
      <c r="L126" s="117">
        <f t="shared" si="53"/>
        <v>1.8898697441472223</v>
      </c>
      <c r="M126" s="117">
        <f t="shared" si="53"/>
        <v>0.56015112480412199</v>
      </c>
      <c r="N126" s="117" t="e">
        <f t="shared" si="53"/>
        <v>#DIV/0!</v>
      </c>
      <c r="O126" s="117" t="e">
        <f t="shared" si="53"/>
        <v>#DIV/0!</v>
      </c>
      <c r="P126" s="117" t="e">
        <f t="shared" si="53"/>
        <v>#DIV/0!</v>
      </c>
      <c r="Q126" s="117" t="e">
        <f t="shared" si="53"/>
        <v>#DIV/0!</v>
      </c>
      <c r="R126" s="117" t="e">
        <f t="shared" si="53"/>
        <v>#DIV/0!</v>
      </c>
      <c r="S126" s="117" t="e">
        <f t="shared" si="53"/>
        <v>#DIV/0!</v>
      </c>
    </row>
    <row r="127" spans="1:19" s="4" customFormat="1" ht="11.25" x14ac:dyDescent="0.2">
      <c r="A127" s="34" t="s">
        <v>445</v>
      </c>
      <c r="B127" s="2" t="s">
        <v>214</v>
      </c>
      <c r="C127" s="34" t="s">
        <v>228</v>
      </c>
      <c r="D127" s="10"/>
      <c r="E127" s="116">
        <v>1</v>
      </c>
      <c r="F127" s="37"/>
      <c r="G127" s="46" t="s">
        <v>229</v>
      </c>
      <c r="H127" s="117" t="e">
        <f t="shared" ref="H127:S127" si="54">-H6/((H38+H41-H45+H47)/12)</f>
        <v>#DIV/0!</v>
      </c>
      <c r="I127" s="117" t="e">
        <f t="shared" si="54"/>
        <v>#DIV/0!</v>
      </c>
      <c r="J127" s="117">
        <f t="shared" si="54"/>
        <v>1.1441789494421259</v>
      </c>
      <c r="K127" s="117">
        <f t="shared" si="54"/>
        <v>0.95872236939245237</v>
      </c>
      <c r="L127" s="117">
        <f t="shared" si="54"/>
        <v>1.8293878713691463</v>
      </c>
      <c r="M127" s="117">
        <f t="shared" si="54"/>
        <v>7.3145214704593134E-2</v>
      </c>
      <c r="N127" s="117">
        <f t="shared" si="54"/>
        <v>7.3959938366718034E-2</v>
      </c>
      <c r="O127" s="117">
        <f t="shared" si="54"/>
        <v>7.7419354838709681E-2</v>
      </c>
      <c r="P127" s="117">
        <f t="shared" si="54"/>
        <v>6.7796610169491525E-2</v>
      </c>
      <c r="Q127" s="117">
        <f t="shared" si="54"/>
        <v>6.741573033707865E-2</v>
      </c>
      <c r="R127" s="117">
        <f t="shared" si="54"/>
        <v>6.7039106145251395E-2</v>
      </c>
      <c r="S127" s="117">
        <f t="shared" si="54"/>
        <v>6.6666666666666666E-2</v>
      </c>
    </row>
    <row r="128" spans="1:19" s="4" customFormat="1" ht="11.25" x14ac:dyDescent="0.2">
      <c r="A128" s="34"/>
      <c r="B128" s="2"/>
      <c r="C128" s="34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</row>
    <row r="129" spans="1:20" s="4" customFormat="1" ht="11.25" x14ac:dyDescent="0.2">
      <c r="A129" s="8"/>
      <c r="B129" s="2"/>
      <c r="C129" s="8"/>
      <c r="D129" s="10"/>
      <c r="E129" s="9"/>
      <c r="F129" s="37"/>
      <c r="G129" s="94" t="s">
        <v>230</v>
      </c>
      <c r="H129" s="87">
        <f t="shared" ref="H129:S129" si="55">H117</f>
        <v>2011</v>
      </c>
      <c r="I129" s="87">
        <f t="shared" si="55"/>
        <v>2012</v>
      </c>
      <c r="J129" s="87">
        <f t="shared" si="55"/>
        <v>2013</v>
      </c>
      <c r="K129" s="87">
        <f t="shared" si="55"/>
        <v>2014</v>
      </c>
      <c r="L129" s="87">
        <f t="shared" si="55"/>
        <v>2015</v>
      </c>
      <c r="M129" s="87">
        <f t="shared" si="55"/>
        <v>2016</v>
      </c>
      <c r="N129" s="87">
        <f t="shared" si="55"/>
        <v>2017</v>
      </c>
      <c r="O129" s="87">
        <f t="shared" si="55"/>
        <v>2018</v>
      </c>
      <c r="P129" s="87">
        <f t="shared" si="55"/>
        <v>2019</v>
      </c>
      <c r="Q129" s="87">
        <f t="shared" si="55"/>
        <v>2020</v>
      </c>
      <c r="R129" s="87">
        <f t="shared" si="55"/>
        <v>2021</v>
      </c>
      <c r="S129" s="87">
        <f t="shared" si="55"/>
        <v>2022</v>
      </c>
    </row>
    <row r="130" spans="1:20" s="4" customFormat="1" ht="11.25" x14ac:dyDescent="0.2">
      <c r="A130" s="34" t="s">
        <v>446</v>
      </c>
      <c r="B130" s="2" t="s">
        <v>216</v>
      </c>
      <c r="C130" s="34" t="s">
        <v>232</v>
      </c>
      <c r="D130" s="10"/>
      <c r="E130" s="106">
        <v>0.6</v>
      </c>
      <c r="F130" s="37"/>
      <c r="G130" s="103" t="s">
        <v>233</v>
      </c>
      <c r="H130" s="115" t="e">
        <f t="shared" ref="H130:S130" si="56">H17/H4</f>
        <v>#DIV/0!</v>
      </c>
      <c r="I130" s="115">
        <f t="shared" si="56"/>
        <v>0</v>
      </c>
      <c r="J130" s="115">
        <f t="shared" si="56"/>
        <v>0</v>
      </c>
      <c r="K130" s="115">
        <f t="shared" si="56"/>
        <v>0</v>
      </c>
      <c r="L130" s="115">
        <f t="shared" si="56"/>
        <v>0</v>
      </c>
      <c r="M130" s="115">
        <f t="shared" si="56"/>
        <v>0</v>
      </c>
      <c r="N130" s="115">
        <f t="shared" si="56"/>
        <v>0</v>
      </c>
      <c r="O130" s="115">
        <f t="shared" si="56"/>
        <v>0</v>
      </c>
      <c r="P130" s="115">
        <f t="shared" si="56"/>
        <v>0</v>
      </c>
      <c r="Q130" s="115">
        <f t="shared" si="56"/>
        <v>0</v>
      </c>
      <c r="R130" s="115">
        <f t="shared" si="56"/>
        <v>0</v>
      </c>
      <c r="S130" s="115">
        <f t="shared" si="56"/>
        <v>0</v>
      </c>
    </row>
    <row r="131" spans="1:20" s="4" customFormat="1" ht="11.25" x14ac:dyDescent="0.2">
      <c r="A131" s="34" t="s">
        <v>447</v>
      </c>
      <c r="B131" s="2" t="s">
        <v>219</v>
      </c>
      <c r="C131" s="34" t="s">
        <v>235</v>
      </c>
      <c r="D131" s="10"/>
      <c r="E131" s="106">
        <v>0.4</v>
      </c>
      <c r="F131" s="37"/>
      <c r="G131" s="46" t="s">
        <v>236</v>
      </c>
      <c r="H131" s="115" t="e">
        <f t="shared" ref="H131:S131" si="57">H27/H17</f>
        <v>#DIV/0!</v>
      </c>
      <c r="I131" s="115" t="e">
        <f t="shared" si="57"/>
        <v>#DIV/0!</v>
      </c>
      <c r="J131" s="115" t="e">
        <f t="shared" si="57"/>
        <v>#DIV/0!</v>
      </c>
      <c r="K131" s="115" t="e">
        <f t="shared" si="57"/>
        <v>#DIV/0!</v>
      </c>
      <c r="L131" s="115" t="e">
        <f t="shared" si="57"/>
        <v>#DIV/0!</v>
      </c>
      <c r="M131" s="115" t="e">
        <f t="shared" si="57"/>
        <v>#DIV/0!</v>
      </c>
      <c r="N131" s="115" t="e">
        <f t="shared" si="57"/>
        <v>#DIV/0!</v>
      </c>
      <c r="O131" s="115" t="e">
        <f t="shared" si="57"/>
        <v>#DIV/0!</v>
      </c>
      <c r="P131" s="115" t="e">
        <f t="shared" si="57"/>
        <v>#DIV/0!</v>
      </c>
      <c r="Q131" s="115" t="e">
        <f t="shared" si="57"/>
        <v>#DIV/0!</v>
      </c>
      <c r="R131" s="115" t="e">
        <f t="shared" si="57"/>
        <v>#DIV/0!</v>
      </c>
      <c r="S131" s="115" t="e">
        <f t="shared" si="57"/>
        <v>#DIV/0!</v>
      </c>
    </row>
    <row r="132" spans="1:20" s="4" customFormat="1" ht="11.25" x14ac:dyDescent="0.2">
      <c r="A132" s="34"/>
      <c r="B132" s="2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</row>
    <row r="133" spans="1:20" s="4" customFormat="1" ht="11.25" x14ac:dyDescent="0.2">
      <c r="A133" s="8"/>
      <c r="B133" s="2"/>
      <c r="C133" s="8"/>
      <c r="D133" s="10"/>
      <c r="E133" s="9"/>
      <c r="F133" s="37"/>
      <c r="G133" s="94" t="s">
        <v>237</v>
      </c>
      <c r="H133" s="87">
        <f t="shared" ref="H133:S133" si="58">H117</f>
        <v>2011</v>
      </c>
      <c r="I133" s="87">
        <f t="shared" si="58"/>
        <v>2012</v>
      </c>
      <c r="J133" s="87">
        <f t="shared" si="58"/>
        <v>2013</v>
      </c>
      <c r="K133" s="87">
        <f t="shared" si="58"/>
        <v>2014</v>
      </c>
      <c r="L133" s="87">
        <f t="shared" si="58"/>
        <v>2015</v>
      </c>
      <c r="M133" s="87">
        <f t="shared" si="58"/>
        <v>2016</v>
      </c>
      <c r="N133" s="87">
        <f t="shared" si="58"/>
        <v>2017</v>
      </c>
      <c r="O133" s="87">
        <f t="shared" si="58"/>
        <v>2018</v>
      </c>
      <c r="P133" s="87">
        <f t="shared" si="58"/>
        <v>2019</v>
      </c>
      <c r="Q133" s="87">
        <f t="shared" si="58"/>
        <v>2020</v>
      </c>
      <c r="R133" s="87">
        <f t="shared" si="58"/>
        <v>2021</v>
      </c>
      <c r="S133" s="87">
        <f t="shared" si="58"/>
        <v>2022</v>
      </c>
    </row>
    <row r="134" spans="1:20" s="4" customFormat="1" ht="11.25" x14ac:dyDescent="0.2">
      <c r="A134" s="34" t="s">
        <v>448</v>
      </c>
      <c r="B134" s="2" t="s">
        <v>221</v>
      </c>
      <c r="C134" s="39" t="s">
        <v>239</v>
      </c>
      <c r="D134" s="10"/>
      <c r="E134" s="109"/>
      <c r="F134" s="37"/>
      <c r="G134" s="110" t="s">
        <v>240</v>
      </c>
      <c r="H134" s="118" t="e">
        <f t="shared" ref="H134:S134" si="59">H10/H4</f>
        <v>#DIV/0!</v>
      </c>
      <c r="I134" s="118">
        <f t="shared" si="59"/>
        <v>1</v>
      </c>
      <c r="J134" s="118">
        <f t="shared" si="59"/>
        <v>0.27382003818682227</v>
      </c>
      <c r="K134" s="118">
        <f t="shared" si="59"/>
        <v>0.24873823174312046</v>
      </c>
      <c r="L134" s="118">
        <f t="shared" si="59"/>
        <v>0.16669377169293714</v>
      </c>
      <c r="M134" s="118">
        <f t="shared" si="59"/>
        <v>0.62173517292093561</v>
      </c>
      <c r="N134" s="118">
        <f t="shared" si="59"/>
        <v>0.84684684684684686</v>
      </c>
      <c r="O134" s="118">
        <f t="shared" si="59"/>
        <v>0.8571428571428571</v>
      </c>
      <c r="P134" s="118">
        <f t="shared" si="59"/>
        <v>0.84513274336283184</v>
      </c>
      <c r="Q134" s="118">
        <f t="shared" si="59"/>
        <v>0.83451536643026003</v>
      </c>
      <c r="R134" s="118">
        <f t="shared" si="59"/>
        <v>0.82456140350877194</v>
      </c>
      <c r="S134" s="118">
        <f t="shared" si="59"/>
        <v>0.81432360742705567</v>
      </c>
    </row>
    <row r="135" spans="1:20" s="4" customFormat="1" ht="11.25" x14ac:dyDescent="0.2">
      <c r="A135" s="34" t="s">
        <v>449</v>
      </c>
      <c r="B135" s="2" t="s">
        <v>224</v>
      </c>
      <c r="C135" s="39" t="s">
        <v>242</v>
      </c>
      <c r="D135" s="10"/>
      <c r="E135" s="109"/>
      <c r="F135" s="37"/>
      <c r="G135" s="110" t="s">
        <v>243</v>
      </c>
      <c r="H135" s="118" t="e">
        <f t="shared" ref="H135:S135" si="60">-(H58)/H15</f>
        <v>#DIV/0!</v>
      </c>
      <c r="I135" s="118">
        <f t="shared" si="60"/>
        <v>0</v>
      </c>
      <c r="J135" s="118">
        <f t="shared" si="60"/>
        <v>0.11840678828111406</v>
      </c>
      <c r="K135" s="118">
        <f t="shared" si="60"/>
        <v>0.71481619012253994</v>
      </c>
      <c r="L135" s="118">
        <f t="shared" si="60"/>
        <v>0.14099025661433395</v>
      </c>
      <c r="M135" s="118">
        <f t="shared" si="60"/>
        <v>0.85672508293667959</v>
      </c>
      <c r="N135" s="118">
        <f t="shared" si="60"/>
        <v>0.49787234042553191</v>
      </c>
      <c r="O135" s="118">
        <f t="shared" si="60"/>
        <v>0</v>
      </c>
      <c r="P135" s="118">
        <f t="shared" si="60"/>
        <v>0</v>
      </c>
      <c r="Q135" s="118">
        <f t="shared" si="60"/>
        <v>0</v>
      </c>
      <c r="R135" s="118">
        <f t="shared" si="60"/>
        <v>0</v>
      </c>
      <c r="S135" s="118">
        <f t="shared" si="60"/>
        <v>0</v>
      </c>
    </row>
    <row r="136" spans="1:20" s="4" customFormat="1" ht="11.25" x14ac:dyDescent="0.2">
      <c r="A136" s="34" t="s">
        <v>450</v>
      </c>
      <c r="B136" s="2" t="s">
        <v>227</v>
      </c>
      <c r="C136" s="8" t="s">
        <v>245</v>
      </c>
      <c r="D136" s="10"/>
      <c r="E136" s="109"/>
      <c r="F136" s="37"/>
      <c r="G136" s="103" t="s">
        <v>246</v>
      </c>
      <c r="H136" s="111" t="e">
        <f t="shared" ref="H136:S136" si="61">H33/H4</f>
        <v>#DIV/0!</v>
      </c>
      <c r="I136" s="111">
        <f t="shared" si="61"/>
        <v>0</v>
      </c>
      <c r="J136" s="111">
        <f t="shared" si="61"/>
        <v>4.9596216499492431</v>
      </c>
      <c r="K136" s="111">
        <f t="shared" si="61"/>
        <v>3.6942661291918748</v>
      </c>
      <c r="L136" s="111">
        <f t="shared" si="61"/>
        <v>5.0229843489871993</v>
      </c>
      <c r="M136" s="111">
        <f t="shared" si="61"/>
        <v>4.2282901610162265</v>
      </c>
      <c r="N136" s="111">
        <f t="shared" si="61"/>
        <v>3.4288288288288289</v>
      </c>
      <c r="O136" s="111">
        <f t="shared" si="61"/>
        <v>3.4489795918367347</v>
      </c>
      <c r="P136" s="111">
        <f t="shared" si="61"/>
        <v>3.9823008849557522</v>
      </c>
      <c r="Q136" s="111">
        <f t="shared" si="61"/>
        <v>4.2553191489361701</v>
      </c>
      <c r="R136" s="111">
        <f t="shared" si="61"/>
        <v>4.511278195488722</v>
      </c>
      <c r="S136" s="111">
        <f t="shared" si="61"/>
        <v>4.7745358090185679</v>
      </c>
    </row>
    <row r="137" spans="1:20" s="4" customFormat="1" ht="11.25" x14ac:dyDescent="0.2">
      <c r="A137" s="34" t="s">
        <v>451</v>
      </c>
      <c r="B137" s="2" t="s">
        <v>231</v>
      </c>
      <c r="C137" s="39" t="s">
        <v>248</v>
      </c>
      <c r="D137" s="10"/>
      <c r="E137" s="109"/>
      <c r="F137" s="37"/>
      <c r="G137" s="46" t="s">
        <v>249</v>
      </c>
      <c r="H137" s="111" t="e">
        <f t="shared" ref="H137:S137" si="62">H33/H15</f>
        <v>#DIV/0!</v>
      </c>
      <c r="I137" s="111">
        <f t="shared" si="62"/>
        <v>0</v>
      </c>
      <c r="J137" s="111">
        <f t="shared" si="62"/>
        <v>18.112705274569375</v>
      </c>
      <c r="K137" s="111">
        <f t="shared" si="62"/>
        <v>14.85202376531749</v>
      </c>
      <c r="L137" s="111">
        <f t="shared" si="62"/>
        <v>30.133005558479571</v>
      </c>
      <c r="M137" s="111">
        <f t="shared" si="62"/>
        <v>6.800789701427953</v>
      </c>
      <c r="N137" s="111">
        <f t="shared" si="62"/>
        <v>4.048936170212766</v>
      </c>
      <c r="O137" s="111">
        <f t="shared" si="62"/>
        <v>4.0238095238095237</v>
      </c>
      <c r="P137" s="111">
        <f t="shared" si="62"/>
        <v>4.7120418848167542</v>
      </c>
      <c r="Q137" s="111">
        <f t="shared" si="62"/>
        <v>5.0991501416430598</v>
      </c>
      <c r="R137" s="111">
        <f t="shared" si="62"/>
        <v>5.4711246200607899</v>
      </c>
      <c r="S137" s="111">
        <f t="shared" si="62"/>
        <v>5.8631921824104234</v>
      </c>
    </row>
    <row r="138" spans="1:20" s="4" customFormat="1" ht="11.25" x14ac:dyDescent="0.2">
      <c r="A138" s="8" t="s">
        <v>452</v>
      </c>
      <c r="B138" s="2" t="s">
        <v>234</v>
      </c>
      <c r="C138" s="39" t="s">
        <v>251</v>
      </c>
      <c r="D138" s="106">
        <v>0.5</v>
      </c>
      <c r="E138" s="106">
        <f>1/3</f>
        <v>0.33333333333333331</v>
      </c>
      <c r="F138" s="114" t="s">
        <v>433</v>
      </c>
      <c r="G138" s="100" t="s">
        <v>252</v>
      </c>
      <c r="H138" s="118" t="e">
        <f t="shared" ref="H138:S138" si="63">H27/H4</f>
        <v>#DIV/0!</v>
      </c>
      <c r="I138" s="118">
        <f t="shared" si="63"/>
        <v>1</v>
      </c>
      <c r="J138" s="118">
        <f t="shared" si="63"/>
        <v>8.7305630174186188E-2</v>
      </c>
      <c r="K138" s="118">
        <f t="shared" si="63"/>
        <v>7.5827049232602998E-3</v>
      </c>
      <c r="L138" s="118">
        <f t="shared" si="63"/>
        <v>0.55906684527452399</v>
      </c>
      <c r="M138" s="118">
        <f t="shared" si="63"/>
        <v>0.32470933230502957</v>
      </c>
      <c r="N138" s="118">
        <f t="shared" si="63"/>
        <v>0.10810810810810811</v>
      </c>
      <c r="O138" s="118">
        <f t="shared" si="63"/>
        <v>0.30612244897959184</v>
      </c>
      <c r="P138" s="118">
        <f t="shared" si="63"/>
        <v>0.31415929203539822</v>
      </c>
      <c r="Q138" s="118">
        <f t="shared" si="63"/>
        <v>0.31442080378250592</v>
      </c>
      <c r="R138" s="118">
        <f t="shared" si="63"/>
        <v>0.2982456140350877</v>
      </c>
      <c r="S138" s="118">
        <f t="shared" si="63"/>
        <v>0.2572944297082228</v>
      </c>
    </row>
    <row r="139" spans="1:20" s="4" customFormat="1" ht="11.25" x14ac:dyDescent="0.2">
      <c r="A139" s="8"/>
      <c r="B139" s="2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</row>
    <row r="140" spans="1:20" s="4" customFormat="1" ht="11.25" x14ac:dyDescent="0.2">
      <c r="A140" s="40"/>
      <c r="B140" s="2"/>
      <c r="C140" s="2"/>
      <c r="D140" s="41"/>
      <c r="E140" s="42"/>
      <c r="F140" s="37"/>
      <c r="G140" s="94" t="s">
        <v>253</v>
      </c>
      <c r="H140" s="87">
        <f t="shared" ref="H140:S140" si="64">H133</f>
        <v>2011</v>
      </c>
      <c r="I140" s="87">
        <f t="shared" si="64"/>
        <v>2012</v>
      </c>
      <c r="J140" s="87">
        <f t="shared" si="64"/>
        <v>2013</v>
      </c>
      <c r="K140" s="87">
        <f t="shared" si="64"/>
        <v>2014</v>
      </c>
      <c r="L140" s="87">
        <f t="shared" si="64"/>
        <v>2015</v>
      </c>
      <c r="M140" s="87">
        <f t="shared" si="64"/>
        <v>2016</v>
      </c>
      <c r="N140" s="87">
        <f t="shared" si="64"/>
        <v>2017</v>
      </c>
      <c r="O140" s="87">
        <f t="shared" si="64"/>
        <v>2018</v>
      </c>
      <c r="P140" s="87">
        <f t="shared" si="64"/>
        <v>2019</v>
      </c>
      <c r="Q140" s="87">
        <f t="shared" si="64"/>
        <v>2020</v>
      </c>
      <c r="R140" s="87">
        <f t="shared" si="64"/>
        <v>2021</v>
      </c>
      <c r="S140" s="87">
        <f t="shared" si="64"/>
        <v>2022</v>
      </c>
    </row>
    <row r="141" spans="1:20" s="4" customFormat="1" ht="11.25" x14ac:dyDescent="0.2">
      <c r="A141" s="8" t="s">
        <v>453</v>
      </c>
      <c r="B141" s="2" t="s">
        <v>238</v>
      </c>
      <c r="C141" s="8" t="s">
        <v>255</v>
      </c>
      <c r="D141" s="43"/>
      <c r="E141" s="106">
        <v>0.05</v>
      </c>
      <c r="F141" s="8"/>
      <c r="G141" s="103" t="s">
        <v>256</v>
      </c>
      <c r="H141" s="108" t="e">
        <f t="shared" ref="H141:S141" si="65">H35/H33</f>
        <v>#DIV/0!</v>
      </c>
      <c r="I141" s="108" t="e">
        <f t="shared" si="65"/>
        <v>#DIV/0!</v>
      </c>
      <c r="J141" s="108">
        <f t="shared" si="65"/>
        <v>0.30263934732699488</v>
      </c>
      <c r="K141" s="108">
        <f t="shared" si="65"/>
        <v>0.42259650100336155</v>
      </c>
      <c r="L141" s="108">
        <f t="shared" si="65"/>
        <v>0.4337517802133572</v>
      </c>
      <c r="M141" s="108">
        <f t="shared" si="65"/>
        <v>0.39955779310125428</v>
      </c>
      <c r="N141" s="108">
        <f t="shared" si="65"/>
        <v>0.27955859169732</v>
      </c>
      <c r="O141" s="108">
        <f t="shared" si="65"/>
        <v>0.28994082840236685</v>
      </c>
      <c r="P141" s="108">
        <f t="shared" si="65"/>
        <v>0.33333333333333331</v>
      </c>
      <c r="Q141" s="108">
        <f t="shared" si="65"/>
        <v>0.33333333333333331</v>
      </c>
      <c r="R141" s="108">
        <f t="shared" si="65"/>
        <v>0.33333333333333331</v>
      </c>
      <c r="S141" s="108">
        <f t="shared" si="65"/>
        <v>0.33333333333333331</v>
      </c>
    </row>
    <row r="142" spans="1:20" s="4" customFormat="1" ht="11.25" x14ac:dyDescent="0.2">
      <c r="A142" s="8" t="s">
        <v>454</v>
      </c>
      <c r="B142" s="2" t="s">
        <v>241</v>
      </c>
      <c r="C142" s="8" t="s">
        <v>258</v>
      </c>
      <c r="D142" s="10"/>
      <c r="E142" s="106">
        <v>0.95</v>
      </c>
      <c r="F142" s="8"/>
      <c r="G142" s="110" t="s">
        <v>259</v>
      </c>
      <c r="H142" s="118" t="e">
        <f t="shared" ref="H142:S142" si="66">(H36+H34)/H33</f>
        <v>#DIV/0!</v>
      </c>
      <c r="I142" s="118" t="e">
        <f t="shared" si="66"/>
        <v>#DIV/0!</v>
      </c>
      <c r="J142" s="118">
        <f t="shared" si="66"/>
        <v>0.69748848578355416</v>
      </c>
      <c r="K142" s="118">
        <f t="shared" si="66"/>
        <v>0.57740349899663834</v>
      </c>
      <c r="L142" s="118">
        <f t="shared" si="66"/>
        <v>0.56624821978664275</v>
      </c>
      <c r="M142" s="118">
        <f t="shared" si="66"/>
        <v>0.60044220689874583</v>
      </c>
      <c r="N142" s="118">
        <f t="shared" si="66"/>
        <v>0.72044140830268</v>
      </c>
      <c r="O142" s="118">
        <f t="shared" si="66"/>
        <v>0.7100591715976331</v>
      </c>
      <c r="P142" s="118">
        <f t="shared" si="66"/>
        <v>0.66666666666666663</v>
      </c>
      <c r="Q142" s="118">
        <f t="shared" si="66"/>
        <v>0.66666666666666663</v>
      </c>
      <c r="R142" s="118">
        <f t="shared" si="66"/>
        <v>0.66666666666666663</v>
      </c>
      <c r="S142" s="118">
        <f t="shared" si="66"/>
        <v>0.66666666666666663</v>
      </c>
    </row>
    <row r="143" spans="1:20" s="4" customFormat="1" ht="11.25" x14ac:dyDescent="0.2">
      <c r="A143" s="8" t="s">
        <v>455</v>
      </c>
      <c r="B143" s="2" t="s">
        <v>244</v>
      </c>
      <c r="C143" s="8" t="s">
        <v>261</v>
      </c>
      <c r="D143" s="10"/>
      <c r="E143" s="106">
        <v>0.95</v>
      </c>
      <c r="F143" s="8"/>
      <c r="G143" s="46" t="s">
        <v>262</v>
      </c>
      <c r="H143" s="108" t="e">
        <f t="shared" ref="H143:S143" si="67">H38/(H38+H41)</f>
        <v>#DIV/0!</v>
      </c>
      <c r="I143" s="108" t="e">
        <f t="shared" si="67"/>
        <v>#DIV/0!</v>
      </c>
      <c r="J143" s="108">
        <f t="shared" si="67"/>
        <v>4.2909863611884591E-2</v>
      </c>
      <c r="K143" s="108">
        <f t="shared" si="67"/>
        <v>0</v>
      </c>
      <c r="L143" s="108">
        <f t="shared" si="67"/>
        <v>0</v>
      </c>
      <c r="M143" s="108">
        <f t="shared" si="67"/>
        <v>0</v>
      </c>
      <c r="N143" s="108">
        <f t="shared" si="67"/>
        <v>0</v>
      </c>
      <c r="O143" s="108">
        <f t="shared" si="67"/>
        <v>0</v>
      </c>
      <c r="P143" s="108">
        <f t="shared" si="67"/>
        <v>0</v>
      </c>
      <c r="Q143" s="108">
        <f t="shared" si="67"/>
        <v>0</v>
      </c>
      <c r="R143" s="108">
        <f t="shared" si="67"/>
        <v>0</v>
      </c>
      <c r="S143" s="108">
        <f t="shared" si="67"/>
        <v>0</v>
      </c>
    </row>
    <row r="144" spans="1:20" s="4" customFormat="1" ht="11.25" x14ac:dyDescent="0.2">
      <c r="A144" s="8"/>
      <c r="B144" s="2"/>
      <c r="C144" s="8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</row>
    <row r="145" spans="1:19" s="4" customFormat="1" ht="11.25" x14ac:dyDescent="0.2">
      <c r="A145" s="40"/>
      <c r="B145" s="2"/>
      <c r="C145" s="119"/>
      <c r="D145" s="41"/>
      <c r="E145" s="42"/>
      <c r="F145" s="37"/>
      <c r="G145" s="94"/>
      <c r="H145" s="87">
        <f>H140</f>
        <v>2011</v>
      </c>
      <c r="I145" s="87">
        <f t="shared" ref="I145:S145" si="68">I140</f>
        <v>2012</v>
      </c>
      <c r="J145" s="87">
        <f t="shared" si="68"/>
        <v>2013</v>
      </c>
      <c r="K145" s="87">
        <f t="shared" si="68"/>
        <v>2014</v>
      </c>
      <c r="L145" s="87">
        <f t="shared" si="68"/>
        <v>2015</v>
      </c>
      <c r="M145" s="87">
        <f t="shared" si="68"/>
        <v>2016</v>
      </c>
      <c r="N145" s="87">
        <f t="shared" si="68"/>
        <v>2017</v>
      </c>
      <c r="O145" s="87">
        <f t="shared" si="68"/>
        <v>2018</v>
      </c>
      <c r="P145" s="87">
        <f t="shared" si="68"/>
        <v>2019</v>
      </c>
      <c r="Q145" s="87">
        <f t="shared" si="68"/>
        <v>2020</v>
      </c>
      <c r="R145" s="87">
        <f t="shared" si="68"/>
        <v>2021</v>
      </c>
      <c r="S145" s="87">
        <f t="shared" si="68"/>
        <v>2022</v>
      </c>
    </row>
    <row r="146" spans="1:19" s="4" customFormat="1" ht="11.25" x14ac:dyDescent="0.2">
      <c r="A146" s="4" t="s">
        <v>456</v>
      </c>
      <c r="B146" s="2" t="s">
        <v>247</v>
      </c>
      <c r="C146" s="8" t="s">
        <v>264</v>
      </c>
      <c r="D146" s="120">
        <v>0.5</v>
      </c>
      <c r="E146" s="121" t="s">
        <v>265</v>
      </c>
      <c r="G146" s="103" t="s">
        <v>266</v>
      </c>
      <c r="H146" s="111" t="e">
        <f t="shared" ref="H146:S146" si="69">IF(H141&lt;$D$146,$E$146,H35/H4)</f>
        <v>#DIV/0!</v>
      </c>
      <c r="I146" s="111" t="e">
        <f t="shared" si="69"/>
        <v>#DIV/0!</v>
      </c>
      <c r="J146" s="111" t="str">
        <f t="shared" si="69"/>
        <v>N/A</v>
      </c>
      <c r="K146" s="111" t="str">
        <f t="shared" si="69"/>
        <v>N/A</v>
      </c>
      <c r="L146" s="111" t="str">
        <f t="shared" si="69"/>
        <v>N/A</v>
      </c>
      <c r="M146" s="111" t="str">
        <f t="shared" si="69"/>
        <v>N/A</v>
      </c>
      <c r="N146" s="111" t="str">
        <f t="shared" si="69"/>
        <v>N/A</v>
      </c>
      <c r="O146" s="111" t="str">
        <f t="shared" si="69"/>
        <v>N/A</v>
      </c>
      <c r="P146" s="111" t="str">
        <f t="shared" si="69"/>
        <v>N/A</v>
      </c>
      <c r="Q146" s="111" t="str">
        <f t="shared" si="69"/>
        <v>N/A</v>
      </c>
      <c r="R146" s="111" t="str">
        <f t="shared" si="69"/>
        <v>N/A</v>
      </c>
      <c r="S146" s="111" t="str">
        <f t="shared" si="69"/>
        <v>N/A</v>
      </c>
    </row>
    <row r="147" spans="1:19" s="4" customFormat="1" ht="11.25" x14ac:dyDescent="0.2">
      <c r="A147" s="4" t="s">
        <v>457</v>
      </c>
      <c r="B147" s="2" t="s">
        <v>250</v>
      </c>
      <c r="C147" s="8" t="s">
        <v>267</v>
      </c>
      <c r="D147" s="120">
        <v>0.5</v>
      </c>
      <c r="E147" s="121" t="s">
        <v>265</v>
      </c>
      <c r="G147" s="110" t="s">
        <v>268</v>
      </c>
      <c r="H147" s="111" t="e">
        <f t="shared" ref="H147:S147" si="70">IF(H141&lt;$D$147,$E$147,H35/H15)</f>
        <v>#DIV/0!</v>
      </c>
      <c r="I147" s="111" t="e">
        <f t="shared" si="70"/>
        <v>#DIV/0!</v>
      </c>
      <c r="J147" s="111" t="str">
        <f t="shared" si="70"/>
        <v>N/A</v>
      </c>
      <c r="K147" s="111" t="str">
        <f t="shared" si="70"/>
        <v>N/A</v>
      </c>
      <c r="L147" s="111" t="str">
        <f t="shared" si="70"/>
        <v>N/A</v>
      </c>
      <c r="M147" s="111" t="str">
        <f t="shared" si="70"/>
        <v>N/A</v>
      </c>
      <c r="N147" s="111" t="str">
        <f t="shared" si="70"/>
        <v>N/A</v>
      </c>
      <c r="O147" s="111" t="str">
        <f t="shared" si="70"/>
        <v>N/A</v>
      </c>
      <c r="P147" s="111" t="str">
        <f t="shared" si="70"/>
        <v>N/A</v>
      </c>
      <c r="Q147" s="111" t="str">
        <f t="shared" si="70"/>
        <v>N/A</v>
      </c>
      <c r="R147" s="111" t="str">
        <f t="shared" si="70"/>
        <v>N/A</v>
      </c>
      <c r="S147" s="111" t="str">
        <f t="shared" si="70"/>
        <v>N/A</v>
      </c>
    </row>
    <row r="148" spans="1:19" s="4" customFormat="1" ht="11.25" x14ac:dyDescent="0.2">
      <c r="A148" s="4" t="s">
        <v>458</v>
      </c>
      <c r="B148" s="2" t="s">
        <v>254</v>
      </c>
      <c r="C148" s="8" t="s">
        <v>201</v>
      </c>
      <c r="D148" s="120">
        <v>0.5</v>
      </c>
      <c r="E148" s="121" t="s">
        <v>265</v>
      </c>
      <c r="G148" s="103" t="s">
        <v>269</v>
      </c>
      <c r="H148" s="118" t="e">
        <f t="shared" ref="H148:S148" si="71">IF(H141&lt;$D$148,$E$148,H46/H33)</f>
        <v>#DIV/0!</v>
      </c>
      <c r="I148" s="118" t="e">
        <f t="shared" si="71"/>
        <v>#DIV/0!</v>
      </c>
      <c r="J148" s="118" t="str">
        <f t="shared" si="71"/>
        <v>N/A</v>
      </c>
      <c r="K148" s="118" t="str">
        <f t="shared" si="71"/>
        <v>N/A</v>
      </c>
      <c r="L148" s="118" t="str">
        <f t="shared" si="71"/>
        <v>N/A</v>
      </c>
      <c r="M148" s="118" t="str">
        <f t="shared" si="71"/>
        <v>N/A</v>
      </c>
      <c r="N148" s="118" t="str">
        <f t="shared" si="71"/>
        <v>N/A</v>
      </c>
      <c r="O148" s="118" t="str">
        <f t="shared" si="71"/>
        <v>N/A</v>
      </c>
      <c r="P148" s="118" t="str">
        <f t="shared" si="71"/>
        <v>N/A</v>
      </c>
      <c r="Q148" s="118" t="str">
        <f t="shared" si="71"/>
        <v>N/A</v>
      </c>
      <c r="R148" s="118" t="str">
        <f t="shared" si="71"/>
        <v>N/A</v>
      </c>
      <c r="S148" s="118" t="str">
        <f t="shared" si="71"/>
        <v>N/A</v>
      </c>
    </row>
    <row r="149" spans="1:19" s="4" customFormat="1" ht="11.25" x14ac:dyDescent="0.2">
      <c r="A149" s="4" t="s">
        <v>459</v>
      </c>
      <c r="B149" s="2" t="s">
        <v>257</v>
      </c>
      <c r="C149" s="8" t="s">
        <v>270</v>
      </c>
      <c r="D149" s="120">
        <v>0.5</v>
      </c>
      <c r="E149" s="121" t="s">
        <v>265</v>
      </c>
      <c r="G149" s="110" t="s">
        <v>271</v>
      </c>
      <c r="H149" s="118" t="e">
        <f t="shared" ref="H149:S149" si="72">IF(H141&lt;$D$148,$E$149,H51/H33)</f>
        <v>#DIV/0!</v>
      </c>
      <c r="I149" s="118" t="e">
        <f t="shared" si="72"/>
        <v>#DIV/0!</v>
      </c>
      <c r="J149" s="118" t="str">
        <f t="shared" si="72"/>
        <v>N/A</v>
      </c>
      <c r="K149" s="118" t="str">
        <f t="shared" si="72"/>
        <v>N/A</v>
      </c>
      <c r="L149" s="118" t="str">
        <f t="shared" si="72"/>
        <v>N/A</v>
      </c>
      <c r="M149" s="118" t="str">
        <f t="shared" si="72"/>
        <v>N/A</v>
      </c>
      <c r="N149" s="118" t="str">
        <f t="shared" si="72"/>
        <v>N/A</v>
      </c>
      <c r="O149" s="118" t="str">
        <f t="shared" si="72"/>
        <v>N/A</v>
      </c>
      <c r="P149" s="118" t="str">
        <f t="shared" si="72"/>
        <v>N/A</v>
      </c>
      <c r="Q149" s="118" t="str">
        <f t="shared" si="72"/>
        <v>N/A</v>
      </c>
      <c r="R149" s="118" t="str">
        <f t="shared" si="72"/>
        <v>N/A</v>
      </c>
      <c r="S149" s="118" t="str">
        <f t="shared" si="72"/>
        <v>N/A</v>
      </c>
    </row>
    <row r="150" spans="1:19" s="4" customFormat="1" ht="11.25" x14ac:dyDescent="0.2">
      <c r="A150" s="4" t="s">
        <v>460</v>
      </c>
      <c r="B150" s="2" t="s">
        <v>260</v>
      </c>
      <c r="C150" s="8" t="s">
        <v>272</v>
      </c>
      <c r="D150" s="120">
        <v>0.5</v>
      </c>
      <c r="E150" s="121" t="s">
        <v>265</v>
      </c>
      <c r="G150" s="110" t="s">
        <v>273</v>
      </c>
      <c r="H150" s="118" t="e">
        <f t="shared" ref="H150:S150" si="73">IF(H141&lt;$D$150,$E$150,H51/H4)</f>
        <v>#DIV/0!</v>
      </c>
      <c r="I150" s="118" t="e">
        <f t="shared" si="73"/>
        <v>#DIV/0!</v>
      </c>
      <c r="J150" s="118" t="str">
        <f t="shared" si="73"/>
        <v>N/A</v>
      </c>
      <c r="K150" s="118" t="str">
        <f t="shared" si="73"/>
        <v>N/A</v>
      </c>
      <c r="L150" s="118" t="str">
        <f t="shared" si="73"/>
        <v>N/A</v>
      </c>
      <c r="M150" s="118" t="str">
        <f t="shared" si="73"/>
        <v>N/A</v>
      </c>
      <c r="N150" s="118" t="str">
        <f t="shared" si="73"/>
        <v>N/A</v>
      </c>
      <c r="O150" s="118" t="str">
        <f t="shared" si="73"/>
        <v>N/A</v>
      </c>
      <c r="P150" s="118" t="str">
        <f t="shared" si="73"/>
        <v>N/A</v>
      </c>
      <c r="Q150" s="118" t="str">
        <f t="shared" si="73"/>
        <v>N/A</v>
      </c>
      <c r="R150" s="118" t="str">
        <f t="shared" si="73"/>
        <v>N/A</v>
      </c>
      <c r="S150" s="118" t="str">
        <f t="shared" si="73"/>
        <v>N/A</v>
      </c>
    </row>
    <row r="151" spans="1:19" s="4" customFormat="1" ht="11.25" x14ac:dyDescent="0.2">
      <c r="A151" s="4" t="s">
        <v>461</v>
      </c>
      <c r="B151" s="2" t="s">
        <v>263</v>
      </c>
      <c r="C151" s="8" t="s">
        <v>274</v>
      </c>
      <c r="D151" s="120">
        <v>0.5</v>
      </c>
      <c r="E151" s="121" t="s">
        <v>265</v>
      </c>
      <c r="G151" s="46" t="s">
        <v>275</v>
      </c>
      <c r="H151" s="118" t="e">
        <f>IF(H141&lt;$D$151,$E$151,H51/H27)</f>
        <v>#DIV/0!</v>
      </c>
      <c r="I151" s="118" t="e">
        <f>IF(I141&lt;$D$151,$E$151,I51/((H27+I27)/2))</f>
        <v>#DIV/0!</v>
      </c>
      <c r="J151" s="118" t="str">
        <f>IF(J141&lt;$D$151,$E$151,J51/((I27+J27)/2))</f>
        <v>N/A</v>
      </c>
      <c r="K151" s="118" t="str">
        <f>IF(K141&lt;$D$151,$E$151,K51/((J27+K27)/2))</f>
        <v>N/A</v>
      </c>
      <c r="L151" s="118" t="str">
        <f>IF(L141&lt;$D$151,$E$151,L51/((K27+L27)/2))</f>
        <v>N/A</v>
      </c>
      <c r="M151" s="118" t="str">
        <f>IF(M141&lt;$D$151,$E$151,M51/((L27+M27)/2))</f>
        <v>N/A</v>
      </c>
      <c r="N151" s="118" t="str">
        <f t="shared" ref="N151:S151" si="74">IF(N141&lt;$D$151,$E$151,N51/((M27+N27)/2))</f>
        <v>N/A</v>
      </c>
      <c r="O151" s="118" t="str">
        <f t="shared" si="74"/>
        <v>N/A</v>
      </c>
      <c r="P151" s="118" t="str">
        <f t="shared" si="74"/>
        <v>N/A</v>
      </c>
      <c r="Q151" s="118" t="str">
        <f t="shared" si="74"/>
        <v>N/A</v>
      </c>
      <c r="R151" s="118" t="str">
        <f t="shared" si="74"/>
        <v>N/A</v>
      </c>
      <c r="S151" s="118" t="str">
        <f t="shared" si="74"/>
        <v>N/A</v>
      </c>
    </row>
    <row r="152" spans="1:19" s="4" customFormat="1" ht="11.25" x14ac:dyDescent="0.2">
      <c r="A152" s="8"/>
      <c r="B152" s="2"/>
      <c r="C152" s="119"/>
      <c r="D152" s="41"/>
      <c r="E152" s="42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</row>
    <row r="153" spans="1:19" s="4" customFormat="1" ht="11.25" x14ac:dyDescent="0.2">
      <c r="A153" s="8"/>
      <c r="B153" s="2"/>
      <c r="C153" s="10"/>
      <c r="D153" s="10"/>
      <c r="E153" s="9"/>
      <c r="F153" s="8"/>
      <c r="G153" s="94" t="s">
        <v>462</v>
      </c>
      <c r="H153" s="87">
        <f>H145</f>
        <v>2011</v>
      </c>
      <c r="I153" s="87">
        <f t="shared" ref="I153:S153" si="75">I145</f>
        <v>2012</v>
      </c>
      <c r="J153" s="87">
        <f t="shared" si="75"/>
        <v>2013</v>
      </c>
      <c r="K153" s="87">
        <f t="shared" si="75"/>
        <v>2014</v>
      </c>
      <c r="L153" s="87">
        <f t="shared" si="75"/>
        <v>2015</v>
      </c>
      <c r="M153" s="87">
        <f t="shared" si="75"/>
        <v>2016</v>
      </c>
      <c r="N153" s="87">
        <f t="shared" si="75"/>
        <v>2017</v>
      </c>
      <c r="O153" s="87">
        <f t="shared" si="75"/>
        <v>2018</v>
      </c>
      <c r="P153" s="87">
        <f t="shared" si="75"/>
        <v>2019</v>
      </c>
      <c r="Q153" s="87">
        <f t="shared" si="75"/>
        <v>2020</v>
      </c>
      <c r="R153" s="87">
        <f t="shared" si="75"/>
        <v>2021</v>
      </c>
      <c r="S153" s="87">
        <f t="shared" si="75"/>
        <v>2022</v>
      </c>
    </row>
    <row r="154" spans="1:19" s="4" customFormat="1" ht="11.25" x14ac:dyDescent="0.2">
      <c r="A154" s="8"/>
      <c r="B154" s="2"/>
      <c r="C154" s="10"/>
      <c r="D154" s="10"/>
      <c r="E154" s="9"/>
      <c r="F154" s="8"/>
      <c r="G154" s="95" t="s">
        <v>276</v>
      </c>
      <c r="H154" s="96">
        <f t="shared" ref="H154:S154" si="76">H33</f>
        <v>0</v>
      </c>
      <c r="I154" s="96">
        <f t="shared" si="76"/>
        <v>0</v>
      </c>
      <c r="J154" s="96">
        <f t="shared" si="76"/>
        <v>1353.327</v>
      </c>
      <c r="K154" s="96">
        <f t="shared" si="76"/>
        <v>1679.8530000000001</v>
      </c>
      <c r="L154" s="96">
        <f>L33</f>
        <v>2347.3310000000001</v>
      </c>
      <c r="M154" s="96">
        <f t="shared" si="76"/>
        <v>1885.9949999999999</v>
      </c>
      <c r="N154" s="96">
        <f t="shared" si="76"/>
        <v>1903</v>
      </c>
      <c r="O154" s="96">
        <f t="shared" si="76"/>
        <v>1690</v>
      </c>
      <c r="P154" s="96">
        <f t="shared" si="76"/>
        <v>1800</v>
      </c>
      <c r="Q154" s="96">
        <f t="shared" si="76"/>
        <v>1800</v>
      </c>
      <c r="R154" s="96">
        <f t="shared" si="76"/>
        <v>1800</v>
      </c>
      <c r="S154" s="96">
        <f t="shared" si="76"/>
        <v>1800</v>
      </c>
    </row>
    <row r="155" spans="1:19" s="4" customFormat="1" ht="11.25" x14ac:dyDescent="0.2">
      <c r="A155" s="8"/>
      <c r="B155" s="2"/>
      <c r="C155" s="10"/>
      <c r="D155" s="10"/>
      <c r="E155" s="9"/>
      <c r="F155" s="8"/>
      <c r="G155" s="95" t="s">
        <v>277</v>
      </c>
      <c r="H155" s="96">
        <f t="shared" ref="H155:S156" si="77">H35</f>
        <v>0</v>
      </c>
      <c r="I155" s="96">
        <f t="shared" si="77"/>
        <v>0</v>
      </c>
      <c r="J155" s="96">
        <f t="shared" si="77"/>
        <v>409.57</v>
      </c>
      <c r="K155" s="96">
        <f t="shared" si="77"/>
        <v>709.9</v>
      </c>
      <c r="L155" s="96">
        <f t="shared" si="77"/>
        <v>1018.159</v>
      </c>
      <c r="M155" s="96">
        <f t="shared" si="77"/>
        <v>753.56399999999996</v>
      </c>
      <c r="N155" s="96">
        <f t="shared" si="77"/>
        <v>532</v>
      </c>
      <c r="O155" s="96">
        <f t="shared" si="77"/>
        <v>490</v>
      </c>
      <c r="P155" s="96">
        <f t="shared" si="77"/>
        <v>600</v>
      </c>
      <c r="Q155" s="96">
        <f t="shared" si="77"/>
        <v>600</v>
      </c>
      <c r="R155" s="96">
        <f t="shared" si="77"/>
        <v>600</v>
      </c>
      <c r="S155" s="96">
        <f t="shared" si="77"/>
        <v>600</v>
      </c>
    </row>
    <row r="156" spans="1:19" s="4" customFormat="1" ht="11.25" x14ac:dyDescent="0.2">
      <c r="A156" s="8"/>
      <c r="B156" s="2"/>
      <c r="C156" s="10"/>
      <c r="D156" s="10"/>
      <c r="E156" s="9"/>
      <c r="F156" s="8"/>
      <c r="G156" s="95" t="s">
        <v>278</v>
      </c>
      <c r="H156" s="96">
        <f t="shared" si="77"/>
        <v>0</v>
      </c>
      <c r="I156" s="96">
        <f t="shared" si="77"/>
        <v>0</v>
      </c>
      <c r="J156" s="96">
        <f t="shared" si="77"/>
        <v>943.93</v>
      </c>
      <c r="K156" s="96">
        <f t="shared" si="77"/>
        <v>969.95299999999997</v>
      </c>
      <c r="L156" s="96">
        <f t="shared" si="77"/>
        <v>1329.172</v>
      </c>
      <c r="M156" s="96">
        <f t="shared" si="77"/>
        <v>1132.431</v>
      </c>
      <c r="N156" s="96">
        <f t="shared" si="77"/>
        <v>1371</v>
      </c>
      <c r="O156" s="96">
        <f t="shared" si="77"/>
        <v>1200</v>
      </c>
      <c r="P156" s="96">
        <f t="shared" si="77"/>
        <v>1200</v>
      </c>
      <c r="Q156" s="96">
        <f t="shared" si="77"/>
        <v>1200</v>
      </c>
      <c r="R156" s="96">
        <f t="shared" si="77"/>
        <v>1200</v>
      </c>
      <c r="S156" s="96">
        <f t="shared" si="77"/>
        <v>1200</v>
      </c>
    </row>
    <row r="157" spans="1:19" s="4" customFormat="1" ht="11.25" x14ac:dyDescent="0.2">
      <c r="A157" s="8"/>
      <c r="B157" s="2"/>
      <c r="C157" s="10"/>
      <c r="D157" s="10"/>
      <c r="E157" s="9"/>
      <c r="F157" s="8"/>
      <c r="G157" s="95" t="s">
        <v>279</v>
      </c>
      <c r="H157" s="96">
        <f t="shared" ref="H157:S157" si="78">H38+H41</f>
        <v>0</v>
      </c>
      <c r="I157" s="96">
        <f t="shared" si="78"/>
        <v>0</v>
      </c>
      <c r="J157" s="96">
        <f t="shared" si="78"/>
        <v>-1437.222</v>
      </c>
      <c r="K157" s="96">
        <f t="shared" si="78"/>
        <v>-1700.405</v>
      </c>
      <c r="L157" s="96">
        <f t="shared" si="78"/>
        <v>-2089.8809999999999</v>
      </c>
      <c r="M157" s="96">
        <f t="shared" si="78"/>
        <v>-2003.028</v>
      </c>
      <c r="N157" s="96">
        <f t="shared" si="78"/>
        <v>-1988</v>
      </c>
      <c r="O157" s="96">
        <f t="shared" si="78"/>
        <v>-1601</v>
      </c>
      <c r="P157" s="96">
        <f t="shared" si="78"/>
        <v>-1809</v>
      </c>
      <c r="Q157" s="96">
        <f t="shared" si="78"/>
        <v>-1810</v>
      </c>
      <c r="R157" s="96">
        <f t="shared" si="78"/>
        <v>-1815</v>
      </c>
      <c r="S157" s="96">
        <f t="shared" si="78"/>
        <v>-1823</v>
      </c>
    </row>
    <row r="158" spans="1:19" s="4" customFormat="1" ht="11.25" x14ac:dyDescent="0.2">
      <c r="A158" s="8"/>
      <c r="B158" s="2"/>
      <c r="C158" s="10"/>
      <c r="D158" s="10"/>
      <c r="E158" s="9"/>
      <c r="F158" s="8"/>
      <c r="G158" s="95" t="s">
        <v>280</v>
      </c>
      <c r="H158" s="96">
        <f t="shared" ref="H158:S158" si="79">H41</f>
        <v>0</v>
      </c>
      <c r="I158" s="96">
        <f t="shared" si="79"/>
        <v>0</v>
      </c>
      <c r="J158" s="96">
        <f t="shared" si="79"/>
        <v>-1375.5509999999999</v>
      </c>
      <c r="K158" s="96">
        <f t="shared" si="79"/>
        <v>-1700.405</v>
      </c>
      <c r="L158" s="96">
        <f t="shared" si="79"/>
        <v>-2089.8809999999999</v>
      </c>
      <c r="M158" s="96">
        <f t="shared" si="79"/>
        <v>-2003.028</v>
      </c>
      <c r="N158" s="96">
        <f t="shared" si="79"/>
        <v>-1988</v>
      </c>
      <c r="O158" s="96">
        <f t="shared" si="79"/>
        <v>-1601</v>
      </c>
      <c r="P158" s="96">
        <f t="shared" si="79"/>
        <v>-1809</v>
      </c>
      <c r="Q158" s="96">
        <f t="shared" si="79"/>
        <v>-1810</v>
      </c>
      <c r="R158" s="96">
        <f t="shared" si="79"/>
        <v>-1815</v>
      </c>
      <c r="S158" s="96">
        <f t="shared" si="79"/>
        <v>-1823</v>
      </c>
    </row>
    <row r="159" spans="1:19" s="4" customFormat="1" ht="11.25" x14ac:dyDescent="0.2">
      <c r="A159" s="8"/>
      <c r="B159" s="2"/>
      <c r="C159" s="10"/>
      <c r="D159" s="10"/>
      <c r="E159" s="9"/>
      <c r="F159" s="8"/>
      <c r="G159" s="95" t="s">
        <v>281</v>
      </c>
      <c r="H159" s="96">
        <f t="shared" ref="H159:S159" si="80">H38</f>
        <v>0</v>
      </c>
      <c r="I159" s="96">
        <f t="shared" si="80"/>
        <v>0</v>
      </c>
      <c r="J159" s="96">
        <f t="shared" si="80"/>
        <v>-61.670999999999999</v>
      </c>
      <c r="K159" s="96">
        <f t="shared" si="80"/>
        <v>0</v>
      </c>
      <c r="L159" s="96">
        <f t="shared" si="80"/>
        <v>0</v>
      </c>
      <c r="M159" s="96">
        <f t="shared" si="80"/>
        <v>0</v>
      </c>
      <c r="N159" s="96">
        <f t="shared" si="80"/>
        <v>0</v>
      </c>
      <c r="O159" s="96">
        <f t="shared" si="80"/>
        <v>0</v>
      </c>
      <c r="P159" s="96">
        <f t="shared" si="80"/>
        <v>0</v>
      </c>
      <c r="Q159" s="96">
        <f t="shared" si="80"/>
        <v>0</v>
      </c>
      <c r="R159" s="96">
        <f t="shared" si="80"/>
        <v>0</v>
      </c>
      <c r="S159" s="96">
        <f t="shared" si="80"/>
        <v>0</v>
      </c>
    </row>
    <row r="160" spans="1:19" s="4" customFormat="1" ht="11.25" x14ac:dyDescent="0.2">
      <c r="A160" s="8"/>
      <c r="B160" s="2"/>
      <c r="C160" s="10"/>
      <c r="D160" s="10"/>
      <c r="E160" s="9"/>
      <c r="F160" s="8"/>
      <c r="G160" s="95" t="s">
        <v>282</v>
      </c>
      <c r="H160" s="96">
        <f t="shared" ref="H160:S160" si="81">H46</f>
        <v>0</v>
      </c>
      <c r="I160" s="96">
        <f t="shared" si="81"/>
        <v>0</v>
      </c>
      <c r="J160" s="96">
        <f t="shared" si="81"/>
        <v>-83.894999999999982</v>
      </c>
      <c r="K160" s="96">
        <f t="shared" si="81"/>
        <v>-20.551999999999907</v>
      </c>
      <c r="L160" s="96">
        <f t="shared" si="81"/>
        <v>257.45000000000027</v>
      </c>
      <c r="M160" s="96">
        <f t="shared" si="81"/>
        <v>-117.03300000000013</v>
      </c>
      <c r="N160" s="96">
        <f t="shared" si="81"/>
        <v>-85</v>
      </c>
      <c r="O160" s="96">
        <f t="shared" si="81"/>
        <v>89</v>
      </c>
      <c r="P160" s="96">
        <f t="shared" si="81"/>
        <v>-9</v>
      </c>
      <c r="Q160" s="96">
        <f t="shared" si="81"/>
        <v>-10</v>
      </c>
      <c r="R160" s="96">
        <f t="shared" si="81"/>
        <v>-15</v>
      </c>
      <c r="S160" s="96">
        <f t="shared" si="81"/>
        <v>-23</v>
      </c>
    </row>
    <row r="161" spans="1:19" s="4" customFormat="1" ht="11.25" x14ac:dyDescent="0.2">
      <c r="A161" s="8"/>
      <c r="B161" s="2"/>
      <c r="C161" s="10"/>
      <c r="D161" s="10"/>
      <c r="E161" s="9"/>
      <c r="F161" s="8"/>
      <c r="G161" s="95" t="s">
        <v>283</v>
      </c>
      <c r="H161" s="96">
        <f t="shared" ref="H161:S161" si="82">H51</f>
        <v>0</v>
      </c>
      <c r="I161" s="96">
        <f t="shared" si="82"/>
        <v>0</v>
      </c>
      <c r="J161" s="96">
        <f t="shared" si="82"/>
        <v>-83.995999999999981</v>
      </c>
      <c r="K161" s="96">
        <f t="shared" si="82"/>
        <v>-20.551999999999907</v>
      </c>
      <c r="L161" s="96">
        <f t="shared" si="82"/>
        <v>257.99200000000025</v>
      </c>
      <c r="M161" s="96">
        <f t="shared" si="82"/>
        <v>-116.42800000000013</v>
      </c>
      <c r="N161" s="96">
        <f t="shared" si="82"/>
        <v>-85</v>
      </c>
      <c r="O161" s="96">
        <f t="shared" si="82"/>
        <v>90</v>
      </c>
      <c r="P161" s="96">
        <f t="shared" si="82"/>
        <v>-8</v>
      </c>
      <c r="Q161" s="96">
        <f t="shared" si="82"/>
        <v>-9</v>
      </c>
      <c r="R161" s="96">
        <f t="shared" si="82"/>
        <v>-14</v>
      </c>
      <c r="S161" s="96">
        <f t="shared" si="82"/>
        <v>-22</v>
      </c>
    </row>
    <row r="162" spans="1:19" s="4" customFormat="1" ht="11.25" x14ac:dyDescent="0.2">
      <c r="A162" s="8"/>
      <c r="B162" s="2"/>
      <c r="C162" s="10"/>
      <c r="D162" s="10"/>
      <c r="E162" s="9"/>
      <c r="F162" s="8"/>
      <c r="G162" s="95" t="s">
        <v>284</v>
      </c>
      <c r="H162" s="96">
        <f t="shared" ref="H162:S163" si="83">H4</f>
        <v>0</v>
      </c>
      <c r="I162" s="96">
        <f t="shared" si="83"/>
        <v>87.119</v>
      </c>
      <c r="J162" s="96">
        <f t="shared" si="83"/>
        <v>272.86899999999997</v>
      </c>
      <c r="K162" s="96">
        <f t="shared" si="83"/>
        <v>454.71899999999999</v>
      </c>
      <c r="L162" s="96">
        <f t="shared" si="83"/>
        <v>467.31800000000004</v>
      </c>
      <c r="M162" s="96">
        <f t="shared" si="83"/>
        <v>446.04200000000003</v>
      </c>
      <c r="N162" s="96">
        <f t="shared" si="83"/>
        <v>555</v>
      </c>
      <c r="O162" s="96">
        <f t="shared" si="83"/>
        <v>490</v>
      </c>
      <c r="P162" s="96">
        <f t="shared" si="83"/>
        <v>452</v>
      </c>
      <c r="Q162" s="96">
        <f t="shared" si="83"/>
        <v>423</v>
      </c>
      <c r="R162" s="96">
        <f t="shared" si="83"/>
        <v>399</v>
      </c>
      <c r="S162" s="96">
        <f t="shared" si="83"/>
        <v>377</v>
      </c>
    </row>
    <row r="163" spans="1:19" s="4" customFormat="1" ht="11.25" x14ac:dyDescent="0.2">
      <c r="A163" s="8"/>
      <c r="B163" s="2"/>
      <c r="C163" s="10"/>
      <c r="D163" s="10"/>
      <c r="E163" s="9"/>
      <c r="F163" s="8"/>
      <c r="G163" s="95" t="s">
        <v>285</v>
      </c>
      <c r="H163" s="96">
        <f t="shared" si="83"/>
        <v>0</v>
      </c>
      <c r="I163" s="96">
        <f t="shared" si="83"/>
        <v>0</v>
      </c>
      <c r="J163" s="96">
        <f t="shared" si="83"/>
        <v>198.15199999999999</v>
      </c>
      <c r="K163" s="96">
        <f t="shared" si="83"/>
        <v>341.613</v>
      </c>
      <c r="L163" s="96">
        <f t="shared" si="83"/>
        <v>389.41900000000004</v>
      </c>
      <c r="M163" s="96">
        <f t="shared" si="83"/>
        <v>168.72200000000001</v>
      </c>
      <c r="N163" s="96">
        <f t="shared" si="83"/>
        <v>85</v>
      </c>
      <c r="O163" s="96">
        <f t="shared" si="83"/>
        <v>70</v>
      </c>
      <c r="P163" s="96">
        <f t="shared" si="83"/>
        <v>70</v>
      </c>
      <c r="Q163" s="96">
        <f t="shared" si="83"/>
        <v>70</v>
      </c>
      <c r="R163" s="96">
        <f t="shared" si="83"/>
        <v>70</v>
      </c>
      <c r="S163" s="96">
        <f t="shared" si="83"/>
        <v>70</v>
      </c>
    </row>
    <row r="164" spans="1:19" s="4" customFormat="1" ht="11.25" x14ac:dyDescent="0.2">
      <c r="A164" s="8"/>
      <c r="B164" s="2"/>
      <c r="C164" s="10"/>
      <c r="D164" s="10"/>
      <c r="E164" s="9"/>
      <c r="F164" s="8"/>
      <c r="G164" s="95" t="s">
        <v>286</v>
      </c>
      <c r="H164" s="96">
        <f t="shared" ref="H164:S164" si="84">H10</f>
        <v>0</v>
      </c>
      <c r="I164" s="96">
        <f t="shared" si="84"/>
        <v>87.119</v>
      </c>
      <c r="J164" s="96">
        <f t="shared" si="84"/>
        <v>74.716999999999999</v>
      </c>
      <c r="K164" s="96">
        <f t="shared" si="84"/>
        <v>113.10599999999999</v>
      </c>
      <c r="L164" s="96">
        <f t="shared" si="84"/>
        <v>77.899000000000001</v>
      </c>
      <c r="M164" s="96">
        <f t="shared" si="84"/>
        <v>277.32</v>
      </c>
      <c r="N164" s="96">
        <f t="shared" si="84"/>
        <v>470</v>
      </c>
      <c r="O164" s="96">
        <f t="shared" si="84"/>
        <v>420</v>
      </c>
      <c r="P164" s="96">
        <f t="shared" si="84"/>
        <v>382</v>
      </c>
      <c r="Q164" s="96">
        <f t="shared" si="84"/>
        <v>353</v>
      </c>
      <c r="R164" s="96">
        <f t="shared" si="84"/>
        <v>329</v>
      </c>
      <c r="S164" s="96">
        <f t="shared" si="84"/>
        <v>307</v>
      </c>
    </row>
    <row r="165" spans="1:19" s="4" customFormat="1" ht="11.25" x14ac:dyDescent="0.2">
      <c r="A165" s="8"/>
      <c r="B165" s="2"/>
      <c r="C165" s="10"/>
      <c r="D165" s="10"/>
      <c r="E165" s="9"/>
      <c r="F165" s="8"/>
      <c r="G165" s="95" t="s">
        <v>287</v>
      </c>
      <c r="H165" s="96">
        <f t="shared" ref="H165:S166" si="85">H19</f>
        <v>0</v>
      </c>
      <c r="I165" s="96">
        <f t="shared" si="85"/>
        <v>0</v>
      </c>
      <c r="J165" s="96">
        <f t="shared" si="85"/>
        <v>249.047</v>
      </c>
      <c r="K165" s="96">
        <f t="shared" si="85"/>
        <v>451.44799999999998</v>
      </c>
      <c r="L165" s="96">
        <f t="shared" si="85"/>
        <v>206.05600000000001</v>
      </c>
      <c r="M165" s="96">
        <f t="shared" si="85"/>
        <v>301.20800000000003</v>
      </c>
      <c r="N165" s="96">
        <f t="shared" si="85"/>
        <v>495</v>
      </c>
      <c r="O165" s="96">
        <f t="shared" si="85"/>
        <v>340</v>
      </c>
      <c r="P165" s="96">
        <f t="shared" si="85"/>
        <v>310</v>
      </c>
      <c r="Q165" s="96">
        <f t="shared" si="85"/>
        <v>290</v>
      </c>
      <c r="R165" s="96">
        <f t="shared" si="85"/>
        <v>280</v>
      </c>
      <c r="S165" s="96">
        <f t="shared" si="85"/>
        <v>280</v>
      </c>
    </row>
    <row r="166" spans="1:19" s="4" customFormat="1" ht="11.25" x14ac:dyDescent="0.2">
      <c r="A166" s="8"/>
      <c r="B166" s="2"/>
      <c r="C166" s="10"/>
      <c r="D166" s="10"/>
      <c r="E166" s="9"/>
      <c r="F166" s="8"/>
      <c r="G166" s="95" t="s">
        <v>288</v>
      </c>
      <c r="H166" s="96">
        <f t="shared" si="85"/>
        <v>0</v>
      </c>
      <c r="I166" s="96">
        <f t="shared" si="85"/>
        <v>0</v>
      </c>
      <c r="J166" s="96">
        <f t="shared" si="85"/>
        <v>249.047</v>
      </c>
      <c r="K166" s="96">
        <f t="shared" si="85"/>
        <v>451.44799999999998</v>
      </c>
      <c r="L166" s="96">
        <f t="shared" si="85"/>
        <v>206.05600000000001</v>
      </c>
      <c r="M166" s="96">
        <f t="shared" si="85"/>
        <v>301.20800000000003</v>
      </c>
      <c r="N166" s="96">
        <f t="shared" si="85"/>
        <v>0</v>
      </c>
      <c r="O166" s="96">
        <f t="shared" si="85"/>
        <v>0</v>
      </c>
      <c r="P166" s="96">
        <f t="shared" si="85"/>
        <v>0</v>
      </c>
      <c r="Q166" s="96">
        <f t="shared" si="85"/>
        <v>0</v>
      </c>
      <c r="R166" s="96">
        <f t="shared" si="85"/>
        <v>0</v>
      </c>
      <c r="S166" s="96">
        <f t="shared" si="85"/>
        <v>0</v>
      </c>
    </row>
    <row r="167" spans="1:19" s="4" customFormat="1" ht="11.25" x14ac:dyDescent="0.2">
      <c r="A167" s="8"/>
      <c r="B167" s="2"/>
      <c r="C167" s="10"/>
      <c r="D167" s="10"/>
      <c r="E167" s="9"/>
      <c r="F167" s="8"/>
      <c r="G167" s="95" t="s">
        <v>289</v>
      </c>
      <c r="H167" s="96">
        <f t="shared" ref="H167:S167" si="86">H24</f>
        <v>0</v>
      </c>
      <c r="I167" s="96">
        <f t="shared" si="86"/>
        <v>0</v>
      </c>
      <c r="J167" s="96">
        <f t="shared" si="86"/>
        <v>0</v>
      </c>
      <c r="K167" s="96">
        <f t="shared" si="86"/>
        <v>0</v>
      </c>
      <c r="L167" s="96">
        <f t="shared" si="86"/>
        <v>0</v>
      </c>
      <c r="M167" s="96">
        <f t="shared" si="86"/>
        <v>0</v>
      </c>
      <c r="N167" s="96">
        <f t="shared" si="86"/>
        <v>0</v>
      </c>
      <c r="O167" s="96">
        <f t="shared" si="86"/>
        <v>0</v>
      </c>
      <c r="P167" s="96">
        <f t="shared" si="86"/>
        <v>0</v>
      </c>
      <c r="Q167" s="96">
        <f t="shared" si="86"/>
        <v>0</v>
      </c>
      <c r="R167" s="96">
        <f t="shared" si="86"/>
        <v>0</v>
      </c>
      <c r="S167" s="96">
        <f t="shared" si="86"/>
        <v>0</v>
      </c>
    </row>
    <row r="168" spans="1:19" s="4" customFormat="1" ht="11.25" x14ac:dyDescent="0.2">
      <c r="A168" s="8"/>
      <c r="B168" s="2"/>
      <c r="C168" s="10"/>
      <c r="D168" s="10"/>
      <c r="E168" s="9"/>
      <c r="F168" s="8"/>
      <c r="G168" s="95" t="s">
        <v>290</v>
      </c>
      <c r="H168" s="96">
        <f t="shared" ref="H168:S168" si="87">H27</f>
        <v>0</v>
      </c>
      <c r="I168" s="96">
        <f t="shared" si="87"/>
        <v>87.119</v>
      </c>
      <c r="J168" s="96">
        <f t="shared" si="87"/>
        <v>23.823000000000008</v>
      </c>
      <c r="K168" s="96">
        <f t="shared" si="87"/>
        <v>3.4480000000000004</v>
      </c>
      <c r="L168" s="96">
        <f t="shared" si="87"/>
        <v>261.262</v>
      </c>
      <c r="M168" s="96">
        <f t="shared" si="87"/>
        <v>144.834</v>
      </c>
      <c r="N168" s="96">
        <f t="shared" si="87"/>
        <v>60</v>
      </c>
      <c r="O168" s="96">
        <f t="shared" si="87"/>
        <v>150</v>
      </c>
      <c r="P168" s="96">
        <f t="shared" si="87"/>
        <v>142</v>
      </c>
      <c r="Q168" s="96">
        <f t="shared" si="87"/>
        <v>133</v>
      </c>
      <c r="R168" s="96">
        <f t="shared" si="87"/>
        <v>119</v>
      </c>
      <c r="S168" s="96">
        <f t="shared" si="87"/>
        <v>97</v>
      </c>
    </row>
    <row r="169" spans="1:19" s="4" customFormat="1" ht="11.25" x14ac:dyDescent="0.2">
      <c r="A169" s="8"/>
      <c r="B169" s="2"/>
      <c r="C169" s="119"/>
      <c r="D169" s="41"/>
      <c r="E169" s="42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</row>
    <row r="170" spans="1:19" s="4" customFormat="1" ht="11.25" x14ac:dyDescent="0.2">
      <c r="A170" s="8"/>
      <c r="B170" s="2"/>
      <c r="C170" s="119" t="s">
        <v>463</v>
      </c>
      <c r="D170" s="41"/>
      <c r="E170" s="42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</row>
    <row r="171" spans="1:19" s="4" customFormat="1" ht="11.25" x14ac:dyDescent="0.2">
      <c r="A171" s="8"/>
      <c r="B171" s="2"/>
      <c r="C171" s="119"/>
      <c r="D171" s="41"/>
      <c r="E171" s="42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</row>
    <row r="172" spans="1:19" s="40" customFormat="1" ht="11.25" x14ac:dyDescent="0.2">
      <c r="A172" s="29"/>
      <c r="B172" s="2"/>
      <c r="C172" s="29" t="s">
        <v>464</v>
      </c>
      <c r="D172" s="99"/>
      <c r="E172" s="30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</row>
    <row r="173" spans="1:19" s="4" customFormat="1" ht="11.25" x14ac:dyDescent="0.2">
      <c r="A173" s="8"/>
      <c r="B173" s="2"/>
      <c r="C173" s="8"/>
      <c r="D173" s="10"/>
      <c r="E173" s="9"/>
      <c r="F173" s="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</row>
    <row r="174" spans="1:19" s="4" customFormat="1" ht="11.25" x14ac:dyDescent="0.2">
      <c r="A174" s="8"/>
      <c r="B174" s="2"/>
      <c r="C174" s="8" t="s">
        <v>291</v>
      </c>
      <c r="D174" s="10"/>
      <c r="E174" s="9"/>
      <c r="F174" s="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</row>
    <row r="175" spans="1:19" s="4" customFormat="1" ht="11.25" x14ac:dyDescent="0.2">
      <c r="A175" s="8"/>
      <c r="B175" s="2"/>
      <c r="C175" s="8" t="s">
        <v>292</v>
      </c>
      <c r="D175" s="10"/>
      <c r="E175" s="9"/>
      <c r="F175" s="12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  <c r="R175" s="44"/>
    </row>
    <row r="176" spans="1:19" s="4" customFormat="1" ht="11.25" x14ac:dyDescent="0.2">
      <c r="A176" s="8"/>
      <c r="B176" s="2"/>
      <c r="C176" s="8"/>
      <c r="D176" s="10"/>
      <c r="E176" s="9"/>
      <c r="F176" s="12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</row>
    <row r="177" spans="1:7" s="4" customFormat="1" ht="11.25" x14ac:dyDescent="0.2">
      <c r="A177" s="8"/>
      <c r="B177" s="2"/>
      <c r="C177" s="8" t="s">
        <v>293</v>
      </c>
      <c r="D177" s="10"/>
      <c r="E177" s="9"/>
      <c r="F177" s="12"/>
      <c r="G177" s="28"/>
    </row>
    <row r="178" spans="1:7" s="4" customFormat="1" ht="11.25" x14ac:dyDescent="0.2">
      <c r="A178" s="8"/>
      <c r="B178" s="2"/>
      <c r="C178" s="8" t="s">
        <v>294</v>
      </c>
      <c r="D178" s="10"/>
      <c r="E178" s="9"/>
      <c r="F178" s="12"/>
      <c r="G178" s="28"/>
    </row>
    <row r="179" spans="1:7" s="4" customFormat="1" ht="11.25" x14ac:dyDescent="0.2">
      <c r="A179" s="8"/>
      <c r="B179" s="2"/>
      <c r="C179" s="10"/>
      <c r="D179" s="10"/>
      <c r="E179" s="9"/>
      <c r="F179" s="8"/>
      <c r="G179" s="28"/>
    </row>
    <row r="180" spans="1:7" s="4" customFormat="1" ht="11.25" x14ac:dyDescent="0.2">
      <c r="A180" s="8"/>
      <c r="B180" s="2"/>
      <c r="C180" s="10"/>
      <c r="D180" s="10"/>
      <c r="E180" s="9"/>
      <c r="F180" s="8"/>
      <c r="G180" s="28"/>
    </row>
    <row r="181" spans="1:7" s="4" customFormat="1" ht="11.25" x14ac:dyDescent="0.2">
      <c r="A181" s="8"/>
      <c r="B181" s="2"/>
      <c r="C181" s="10"/>
      <c r="D181" s="10"/>
      <c r="E181" s="9"/>
      <c r="F181" s="8"/>
      <c r="G181" s="28"/>
    </row>
    <row r="182" spans="1:7" s="4" customFormat="1" ht="11.25" x14ac:dyDescent="0.2">
      <c r="A182" s="8"/>
      <c r="B182" s="2"/>
      <c r="C182" s="10"/>
      <c r="D182" s="10"/>
      <c r="E182" s="9"/>
      <c r="F182" s="8"/>
      <c r="G182" s="28"/>
    </row>
    <row r="183" spans="1:7" s="4" customFormat="1" ht="11.25" x14ac:dyDescent="0.2">
      <c r="A183" s="8"/>
      <c r="B183" s="2"/>
      <c r="C183" s="10"/>
      <c r="D183" s="10"/>
      <c r="E183" s="9"/>
      <c r="F183" s="8"/>
      <c r="G183" s="28"/>
    </row>
    <row r="184" spans="1:7" s="4" customFormat="1" ht="11.25" x14ac:dyDescent="0.2">
      <c r="A184" s="8"/>
      <c r="B184" s="2"/>
      <c r="C184" s="10"/>
      <c r="D184" s="10"/>
      <c r="E184" s="9"/>
      <c r="F184" s="8"/>
      <c r="G184" s="28"/>
    </row>
    <row r="185" spans="1:7" s="4" customFormat="1" ht="11.25" x14ac:dyDescent="0.2">
      <c r="A185" s="8"/>
      <c r="B185" s="2"/>
      <c r="C185" s="10"/>
      <c r="D185" s="10"/>
      <c r="E185" s="9"/>
      <c r="F185" s="8"/>
      <c r="G185" s="28"/>
    </row>
    <row r="186" spans="1:7" s="4" customFormat="1" ht="11.25" x14ac:dyDescent="0.2">
      <c r="A186" s="8"/>
      <c r="B186" s="2"/>
      <c r="C186" s="10"/>
      <c r="D186" s="10"/>
      <c r="E186" s="9"/>
      <c r="F186" s="8"/>
      <c r="G186" s="28"/>
    </row>
    <row r="187" spans="1:7" s="4" customFormat="1" ht="11.25" x14ac:dyDescent="0.2">
      <c r="A187" s="8"/>
      <c r="B187" s="2"/>
      <c r="C187" s="10"/>
      <c r="D187" s="10"/>
      <c r="E187" s="9"/>
      <c r="F187" s="8"/>
      <c r="G187" s="28"/>
    </row>
    <row r="188" spans="1:7" s="4" customFormat="1" ht="11.25" x14ac:dyDescent="0.2">
      <c r="A188" s="8"/>
      <c r="B188" s="2"/>
      <c r="C188" s="10"/>
      <c r="D188" s="10"/>
      <c r="E188" s="9"/>
      <c r="F188" s="8"/>
      <c r="G188" s="28"/>
    </row>
    <row r="189" spans="1:7" s="4" customFormat="1" ht="11.25" x14ac:dyDescent="0.2">
      <c r="A189" s="8"/>
      <c r="B189" s="2"/>
      <c r="C189" s="10"/>
      <c r="D189" s="10"/>
      <c r="E189" s="9"/>
      <c r="F189" s="8"/>
      <c r="G189" s="28"/>
    </row>
    <row r="190" spans="1:7" s="4" customFormat="1" ht="11.25" x14ac:dyDescent="0.2">
      <c r="A190" s="8"/>
      <c r="B190" s="2"/>
      <c r="C190" s="10"/>
      <c r="D190" s="10"/>
      <c r="E190" s="9"/>
      <c r="F190" s="8"/>
      <c r="G190" s="28"/>
    </row>
    <row r="191" spans="1:7" s="4" customFormat="1" ht="11.25" x14ac:dyDescent="0.2">
      <c r="A191" s="8"/>
      <c r="B191" s="2"/>
      <c r="C191" s="10"/>
      <c r="D191" s="10"/>
      <c r="E191" s="9"/>
      <c r="F191" s="8"/>
      <c r="G191" s="28"/>
    </row>
    <row r="192" spans="1:7" s="4" customFormat="1" ht="11.25" x14ac:dyDescent="0.2">
      <c r="A192" s="8"/>
      <c r="B192" s="2"/>
      <c r="C192" s="10"/>
      <c r="D192" s="10"/>
      <c r="E192" s="9"/>
      <c r="F192" s="8"/>
      <c r="G192" s="28"/>
    </row>
    <row r="193" spans="1:7" s="4" customFormat="1" ht="11.25" x14ac:dyDescent="0.2">
      <c r="A193" s="8"/>
      <c r="B193" s="2"/>
      <c r="C193" s="10"/>
      <c r="D193" s="10"/>
      <c r="E193" s="9"/>
      <c r="F193" s="8"/>
      <c r="G193" s="28"/>
    </row>
    <row r="194" spans="1:7" s="4" customFormat="1" ht="11.25" x14ac:dyDescent="0.2">
      <c r="A194" s="8"/>
      <c r="B194" s="2"/>
      <c r="C194" s="10"/>
      <c r="D194" s="10"/>
      <c r="E194" s="9"/>
      <c r="F194" s="8"/>
      <c r="G194" s="28"/>
    </row>
    <row r="195" spans="1:7" s="4" customFormat="1" ht="11.25" x14ac:dyDescent="0.2">
      <c r="A195" s="8"/>
      <c r="B195" s="2"/>
      <c r="C195" s="10"/>
      <c r="D195" s="10"/>
      <c r="E195" s="9"/>
      <c r="F195" s="8"/>
      <c r="G195" s="28"/>
    </row>
    <row r="196" spans="1:7" s="4" customFormat="1" ht="11.25" x14ac:dyDescent="0.2">
      <c r="A196" s="8"/>
      <c r="B196" s="2"/>
      <c r="C196" s="10"/>
      <c r="D196" s="10"/>
      <c r="E196" s="9"/>
      <c r="F196" s="8"/>
      <c r="G196" s="28"/>
    </row>
    <row r="197" spans="1:7" s="4" customFormat="1" ht="11.25" x14ac:dyDescent="0.2">
      <c r="A197" s="8"/>
      <c r="B197" s="2"/>
      <c r="C197" s="10"/>
      <c r="D197" s="10"/>
      <c r="E197" s="9"/>
      <c r="F197" s="8"/>
      <c r="G197" s="28"/>
    </row>
    <row r="198" spans="1:7" s="4" customFormat="1" ht="11.25" x14ac:dyDescent="0.2">
      <c r="A198" s="8"/>
      <c r="B198" s="2"/>
      <c r="C198" s="10"/>
      <c r="D198" s="10"/>
      <c r="E198" s="9"/>
      <c r="F198" s="8"/>
      <c r="G198" s="28"/>
    </row>
    <row r="199" spans="1:7" s="4" customFormat="1" ht="11.25" x14ac:dyDescent="0.2">
      <c r="A199" s="8"/>
      <c r="B199" s="2"/>
      <c r="C199" s="10"/>
      <c r="D199" s="10"/>
      <c r="E199" s="9"/>
      <c r="F199" s="8"/>
      <c r="G199" s="28"/>
    </row>
    <row r="200" spans="1:7" s="4" customFormat="1" ht="11.25" x14ac:dyDescent="0.2">
      <c r="A200" s="8"/>
      <c r="B200" s="2"/>
      <c r="C200" s="10"/>
      <c r="D200" s="10"/>
      <c r="E200" s="9"/>
      <c r="F200" s="8"/>
      <c r="G200" s="28"/>
    </row>
    <row r="201" spans="1:7" s="4" customFormat="1" ht="11.25" x14ac:dyDescent="0.2">
      <c r="A201" s="8"/>
      <c r="B201" s="2"/>
      <c r="C201" s="10"/>
      <c r="D201" s="10"/>
      <c r="E201" s="9"/>
      <c r="F201" s="8"/>
      <c r="G201" s="28"/>
    </row>
    <row r="202" spans="1:7" s="4" customFormat="1" ht="11.25" x14ac:dyDescent="0.2">
      <c r="A202" s="8"/>
      <c r="B202" s="2"/>
      <c r="C202" s="10"/>
      <c r="D202" s="10"/>
      <c r="E202" s="9"/>
      <c r="F202" s="8"/>
      <c r="G202" s="28"/>
    </row>
  </sheetData>
  <mergeCells count="1">
    <mergeCell ref="D92:E92"/>
  </mergeCells>
  <conditionalFormatting sqref="H141:Q141">
    <cfRule type="cellIs" dxfId="490" priority="51" stopIfTrue="1" operator="greaterThan">
      <formula>$E$141</formula>
    </cfRule>
    <cfRule type="cellIs" dxfId="489" priority="52" stopIfTrue="1" operator="lessThanOrEqual">
      <formula>$E$141</formula>
    </cfRule>
  </conditionalFormatting>
  <conditionalFormatting sqref="H143:Q143">
    <cfRule type="cellIs" dxfId="488" priority="49" stopIfTrue="1" operator="lessThanOrEqual">
      <formula>$E$143</formula>
    </cfRule>
    <cfRule type="cellIs" dxfId="487" priority="50" stopIfTrue="1" operator="greaterThan">
      <formula>$E$143</formula>
    </cfRule>
  </conditionalFormatting>
  <conditionalFormatting sqref="H121:Q121">
    <cfRule type="cellIs" dxfId="486" priority="47" operator="greaterThan">
      <formula>$E$121</formula>
    </cfRule>
    <cfRule type="cellIs" dxfId="485" priority="48" operator="lessThanOrEqual">
      <formula>$E$121</formula>
    </cfRule>
  </conditionalFormatting>
  <conditionalFormatting sqref="H124:Q124">
    <cfRule type="cellIs" dxfId="484" priority="45" stopIfTrue="1" operator="greaterThanOrEqual">
      <formula>$E$124</formula>
    </cfRule>
    <cfRule type="cellIs" dxfId="483" priority="46" stopIfTrue="1" operator="lessThan">
      <formula>$E$124</formula>
    </cfRule>
  </conditionalFormatting>
  <conditionalFormatting sqref="H126:Q126">
    <cfRule type="cellIs" dxfId="482" priority="43" stopIfTrue="1" operator="lessThan">
      <formula>$E$126</formula>
    </cfRule>
    <cfRule type="cellIs" dxfId="481" priority="44" stopIfTrue="1" operator="greaterThanOrEqual">
      <formula>$E$126</formula>
    </cfRule>
  </conditionalFormatting>
  <conditionalFormatting sqref="H125:Q125">
    <cfRule type="cellIs" dxfId="480" priority="41" stopIfTrue="1" operator="greaterThan">
      <formula>$E$125</formula>
    </cfRule>
    <cfRule type="cellIs" dxfId="479" priority="42" stopIfTrue="1" operator="lessThanOrEqual">
      <formula>$E$125</formula>
    </cfRule>
  </conditionalFormatting>
  <conditionalFormatting sqref="H122:Q122">
    <cfRule type="cellIs" dxfId="478" priority="30" stopIfTrue="1" operator="between">
      <formula>$D$122</formula>
      <formula>$E$122</formula>
    </cfRule>
    <cfRule type="cellIs" dxfId="477" priority="39" stopIfTrue="1" operator="lessThanOrEqual">
      <formula>$D$122</formula>
    </cfRule>
    <cfRule type="cellIs" dxfId="476" priority="40" stopIfTrue="1" operator="greaterThan">
      <formula>$E$122</formula>
    </cfRule>
  </conditionalFormatting>
  <conditionalFormatting sqref="H142:Q142">
    <cfRule type="cellIs" dxfId="475" priority="37" stopIfTrue="1" operator="greaterThan">
      <formula>$E$142</formula>
    </cfRule>
    <cfRule type="cellIs" dxfId="474" priority="38" stopIfTrue="1" operator="lessThanOrEqual">
      <formula>$E$142</formula>
    </cfRule>
  </conditionalFormatting>
  <conditionalFormatting sqref="H130:Q130">
    <cfRule type="cellIs" dxfId="473" priority="35" stopIfTrue="1" operator="greaterThan">
      <formula>$E$130</formula>
    </cfRule>
    <cfRule type="cellIs" dxfId="472" priority="36" stopIfTrue="1" operator="lessThanOrEqual">
      <formula>$E$130</formula>
    </cfRule>
  </conditionalFormatting>
  <conditionalFormatting sqref="H131:Q131">
    <cfRule type="cellIs" dxfId="471" priority="33" stopIfTrue="1" operator="lessThan">
      <formula>$E$131</formula>
    </cfRule>
    <cfRule type="cellIs" dxfId="470" priority="34" stopIfTrue="1" operator="greaterThanOrEqual">
      <formula>$E$131</formula>
    </cfRule>
  </conditionalFormatting>
  <conditionalFormatting sqref="H114:Q114">
    <cfRule type="cellIs" dxfId="469" priority="53" stopIfTrue="1" operator="lessThan">
      <formula>$D$114</formula>
    </cfRule>
    <cfRule type="cellIs" dxfId="468" priority="54" stopIfTrue="1" operator="between">
      <formula>$D$114</formula>
      <formula>$E$114</formula>
    </cfRule>
    <cfRule type="cellIs" dxfId="467" priority="55" stopIfTrue="1" operator="greaterThan">
      <formula>$E$114</formula>
    </cfRule>
  </conditionalFormatting>
  <conditionalFormatting sqref="H138:Q138">
    <cfRule type="cellIs" dxfId="466" priority="56" stopIfTrue="1" operator="lessThan">
      <formula>$E$138</formula>
    </cfRule>
    <cfRule type="cellIs" dxfId="465" priority="57" stopIfTrue="1" operator="between">
      <formula>$D$138</formula>
      <formula>$E$138</formula>
    </cfRule>
    <cfRule type="cellIs" dxfId="464" priority="58" stopIfTrue="1" operator="greaterThanOrEqual">
      <formula>$D$138</formula>
    </cfRule>
  </conditionalFormatting>
  <conditionalFormatting sqref="H111:Q111">
    <cfRule type="cellIs" dxfId="463" priority="31" stopIfTrue="1" operator="lessThan">
      <formula>$E$111</formula>
    </cfRule>
    <cfRule type="cellIs" dxfId="462" priority="32" stopIfTrue="1" operator="greaterThan">
      <formula>$E$111</formula>
    </cfRule>
  </conditionalFormatting>
  <conditionalFormatting sqref="R141:S141">
    <cfRule type="cellIs" dxfId="461" priority="22" stopIfTrue="1" operator="greaterThan">
      <formula>$E$141</formula>
    </cfRule>
    <cfRule type="cellIs" dxfId="460" priority="23" stopIfTrue="1" operator="lessThanOrEqual">
      <formula>$E$141</formula>
    </cfRule>
  </conditionalFormatting>
  <conditionalFormatting sqref="R143:S143">
    <cfRule type="cellIs" dxfId="459" priority="20" stopIfTrue="1" operator="lessThanOrEqual">
      <formula>$E$143</formula>
    </cfRule>
    <cfRule type="cellIs" dxfId="458" priority="21" stopIfTrue="1" operator="greaterThan">
      <formula>$E$143</formula>
    </cfRule>
  </conditionalFormatting>
  <conditionalFormatting sqref="R121:S121">
    <cfRule type="cellIs" dxfId="457" priority="18" operator="greaterThan">
      <formula>$E$121</formula>
    </cfRule>
    <cfRule type="cellIs" dxfId="456" priority="19" operator="lessThanOrEqual">
      <formula>$E$121</formula>
    </cfRule>
  </conditionalFormatting>
  <conditionalFormatting sqref="R124:S124">
    <cfRule type="cellIs" dxfId="455" priority="16" stopIfTrue="1" operator="greaterThanOrEqual">
      <formula>$E$124</formula>
    </cfRule>
    <cfRule type="cellIs" dxfId="454" priority="17" stopIfTrue="1" operator="lessThan">
      <formula>$E$124</formula>
    </cfRule>
  </conditionalFormatting>
  <conditionalFormatting sqref="R126:S126">
    <cfRule type="cellIs" dxfId="453" priority="14" stopIfTrue="1" operator="lessThan">
      <formula>$E$126</formula>
    </cfRule>
    <cfRule type="cellIs" dxfId="452" priority="15" stopIfTrue="1" operator="greaterThanOrEqual">
      <formula>$E$126</formula>
    </cfRule>
  </conditionalFormatting>
  <conditionalFormatting sqref="R125:S125">
    <cfRule type="cellIs" dxfId="451" priority="12" stopIfTrue="1" operator="greaterThan">
      <formula>$E$125</formula>
    </cfRule>
    <cfRule type="cellIs" dxfId="450" priority="13" stopIfTrue="1" operator="lessThanOrEqual">
      <formula>$E$125</formula>
    </cfRule>
  </conditionalFormatting>
  <conditionalFormatting sqref="R122:S122">
    <cfRule type="cellIs" dxfId="449" priority="1" stopIfTrue="1" operator="between">
      <formula>$D$122</formula>
      <formula>$E$122</formula>
    </cfRule>
    <cfRule type="cellIs" dxfId="448" priority="10" stopIfTrue="1" operator="lessThanOrEqual">
      <formula>$D$122</formula>
    </cfRule>
    <cfRule type="cellIs" dxfId="447" priority="11" stopIfTrue="1" operator="greaterThan">
      <formula>$E$122</formula>
    </cfRule>
  </conditionalFormatting>
  <conditionalFormatting sqref="R142:S142">
    <cfRule type="cellIs" dxfId="446" priority="8" stopIfTrue="1" operator="greaterThan">
      <formula>$E$142</formula>
    </cfRule>
    <cfRule type="cellIs" dxfId="445" priority="9" stopIfTrue="1" operator="lessThanOrEqual">
      <formula>$E$142</formula>
    </cfRule>
  </conditionalFormatting>
  <conditionalFormatting sqref="R130:S130">
    <cfRule type="cellIs" dxfId="444" priority="6" stopIfTrue="1" operator="greaterThan">
      <formula>$E$130</formula>
    </cfRule>
    <cfRule type="cellIs" dxfId="443" priority="7" stopIfTrue="1" operator="lessThanOrEqual">
      <formula>$E$130</formula>
    </cfRule>
  </conditionalFormatting>
  <conditionalFormatting sqref="R131:S131">
    <cfRule type="cellIs" dxfId="442" priority="4" stopIfTrue="1" operator="lessThan">
      <formula>$E$131</formula>
    </cfRule>
    <cfRule type="cellIs" dxfId="441" priority="5" stopIfTrue="1" operator="greaterThanOrEqual">
      <formula>$E$131</formula>
    </cfRule>
  </conditionalFormatting>
  <conditionalFormatting sqref="R114:S114">
    <cfRule type="cellIs" dxfId="440" priority="24" stopIfTrue="1" operator="lessThan">
      <formula>$D$114</formula>
    </cfRule>
    <cfRule type="cellIs" dxfId="439" priority="25" stopIfTrue="1" operator="between">
      <formula>$D$114</formula>
      <formula>$E$114</formula>
    </cfRule>
    <cfRule type="cellIs" dxfId="438" priority="26" stopIfTrue="1" operator="greaterThan">
      <formula>$E$114</formula>
    </cfRule>
  </conditionalFormatting>
  <conditionalFormatting sqref="R138:S138">
    <cfRule type="cellIs" dxfId="437" priority="27" stopIfTrue="1" operator="lessThan">
      <formula>$E$138</formula>
    </cfRule>
    <cfRule type="cellIs" dxfId="436" priority="28" stopIfTrue="1" operator="between">
      <formula>$D$138</formula>
      <formula>$E$138</formula>
    </cfRule>
    <cfRule type="cellIs" dxfId="435" priority="29" stopIfTrue="1" operator="greaterThanOrEqual">
      <formula>$D$138</formula>
    </cfRule>
  </conditionalFormatting>
  <conditionalFormatting sqref="R111:S111">
    <cfRule type="cellIs" dxfId="434" priority="2" stopIfTrue="1" operator="lessThan">
      <formula>$E$111</formula>
    </cfRule>
    <cfRule type="cellIs" dxfId="433" priority="3" stopIfTrue="1" operator="greaterThan">
      <formula>$E$111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0771D0-BBAC-4173-A23E-3FFE1F6DC884}">
  <dimension ref="A1:U202"/>
  <sheetViews>
    <sheetView zoomScaleNormal="100" workbookViewId="0">
      <selection activeCell="G2" sqref="G2"/>
    </sheetView>
  </sheetViews>
  <sheetFormatPr defaultRowHeight="11.25" outlineLevelCol="1" x14ac:dyDescent="0.2"/>
  <cols>
    <col min="1" max="1" width="7" style="47" customWidth="1"/>
    <col min="2" max="2" width="7.140625" style="47" customWidth="1"/>
    <col min="3" max="3" width="9.140625" style="47"/>
    <col min="4" max="4" width="7.140625" style="47" customWidth="1"/>
    <col min="5" max="5" width="5.140625" style="47" bestFit="1" customWidth="1"/>
    <col min="6" max="6" width="2" style="8" bestFit="1" customWidth="1"/>
    <col min="7" max="7" width="29" style="47" customWidth="1"/>
    <col min="8" max="8" width="8.85546875" style="47" hidden="1" customWidth="1" outlineLevel="1"/>
    <col min="9" max="11" width="7.85546875" style="47" hidden="1" customWidth="1" outlineLevel="1"/>
    <col min="12" max="12" width="8.7109375" style="47" hidden="1" customWidth="1" outlineLevel="1"/>
    <col min="13" max="13" width="8.7109375" style="47" bestFit="1" customWidth="1" collapsed="1"/>
    <col min="14" max="14" width="9.5703125" style="47" customWidth="1"/>
    <col min="15" max="19" width="8.7109375" style="47" bestFit="1" customWidth="1"/>
    <col min="20" max="20" width="3.28515625" style="47" customWidth="1"/>
    <col min="21" max="256" width="9.140625" style="47"/>
    <col min="257" max="257" width="7" style="47" customWidth="1"/>
    <col min="258" max="258" width="7.140625" style="47" customWidth="1"/>
    <col min="259" max="259" width="9.140625" style="47"/>
    <col min="260" max="260" width="7.140625" style="47" customWidth="1"/>
    <col min="261" max="261" width="5.140625" style="47" bestFit="1" customWidth="1"/>
    <col min="262" max="262" width="2" style="47" bestFit="1" customWidth="1"/>
    <col min="263" max="263" width="29" style="47" customWidth="1"/>
    <col min="264" max="268" width="0" style="47" hidden="1" customWidth="1"/>
    <col min="269" max="269" width="8.7109375" style="47" bestFit="1" customWidth="1"/>
    <col min="270" max="270" width="9.5703125" style="47" customWidth="1"/>
    <col min="271" max="275" width="8.7109375" style="47" bestFit="1" customWidth="1"/>
    <col min="276" max="276" width="3.28515625" style="47" customWidth="1"/>
    <col min="277" max="512" width="9.140625" style="47"/>
    <col min="513" max="513" width="7" style="47" customWidth="1"/>
    <col min="514" max="514" width="7.140625" style="47" customWidth="1"/>
    <col min="515" max="515" width="9.140625" style="47"/>
    <col min="516" max="516" width="7.140625" style="47" customWidth="1"/>
    <col min="517" max="517" width="5.140625" style="47" bestFit="1" customWidth="1"/>
    <col min="518" max="518" width="2" style="47" bestFit="1" customWidth="1"/>
    <col min="519" max="519" width="29" style="47" customWidth="1"/>
    <col min="520" max="524" width="0" style="47" hidden="1" customWidth="1"/>
    <col min="525" max="525" width="8.7109375" style="47" bestFit="1" customWidth="1"/>
    <col min="526" max="526" width="9.5703125" style="47" customWidth="1"/>
    <col min="527" max="531" width="8.7109375" style="47" bestFit="1" customWidth="1"/>
    <col min="532" max="532" width="3.28515625" style="47" customWidth="1"/>
    <col min="533" max="768" width="9.140625" style="47"/>
    <col min="769" max="769" width="7" style="47" customWidth="1"/>
    <col min="770" max="770" width="7.140625" style="47" customWidth="1"/>
    <col min="771" max="771" width="9.140625" style="47"/>
    <col min="772" max="772" width="7.140625" style="47" customWidth="1"/>
    <col min="773" max="773" width="5.140625" style="47" bestFit="1" customWidth="1"/>
    <col min="774" max="774" width="2" style="47" bestFit="1" customWidth="1"/>
    <col min="775" max="775" width="29" style="47" customWidth="1"/>
    <col min="776" max="780" width="0" style="47" hidden="1" customWidth="1"/>
    <col min="781" max="781" width="8.7109375" style="47" bestFit="1" customWidth="1"/>
    <col min="782" max="782" width="9.5703125" style="47" customWidth="1"/>
    <col min="783" max="787" width="8.7109375" style="47" bestFit="1" customWidth="1"/>
    <col min="788" max="788" width="3.28515625" style="47" customWidth="1"/>
    <col min="789" max="1024" width="9.140625" style="47"/>
    <col min="1025" max="1025" width="7" style="47" customWidth="1"/>
    <col min="1026" max="1026" width="7.140625" style="47" customWidth="1"/>
    <col min="1027" max="1027" width="9.140625" style="47"/>
    <col min="1028" max="1028" width="7.140625" style="47" customWidth="1"/>
    <col min="1029" max="1029" width="5.140625" style="47" bestFit="1" customWidth="1"/>
    <col min="1030" max="1030" width="2" style="47" bestFit="1" customWidth="1"/>
    <col min="1031" max="1031" width="29" style="47" customWidth="1"/>
    <col min="1032" max="1036" width="0" style="47" hidden="1" customWidth="1"/>
    <col min="1037" max="1037" width="8.7109375" style="47" bestFit="1" customWidth="1"/>
    <col min="1038" max="1038" width="9.5703125" style="47" customWidth="1"/>
    <col min="1039" max="1043" width="8.7109375" style="47" bestFit="1" customWidth="1"/>
    <col min="1044" max="1044" width="3.28515625" style="47" customWidth="1"/>
    <col min="1045" max="1280" width="9.140625" style="47"/>
    <col min="1281" max="1281" width="7" style="47" customWidth="1"/>
    <col min="1282" max="1282" width="7.140625" style="47" customWidth="1"/>
    <col min="1283" max="1283" width="9.140625" style="47"/>
    <col min="1284" max="1284" width="7.140625" style="47" customWidth="1"/>
    <col min="1285" max="1285" width="5.140625" style="47" bestFit="1" customWidth="1"/>
    <col min="1286" max="1286" width="2" style="47" bestFit="1" customWidth="1"/>
    <col min="1287" max="1287" width="29" style="47" customWidth="1"/>
    <col min="1288" max="1292" width="0" style="47" hidden="1" customWidth="1"/>
    <col min="1293" max="1293" width="8.7109375" style="47" bestFit="1" customWidth="1"/>
    <col min="1294" max="1294" width="9.5703125" style="47" customWidth="1"/>
    <col min="1295" max="1299" width="8.7109375" style="47" bestFit="1" customWidth="1"/>
    <col min="1300" max="1300" width="3.28515625" style="47" customWidth="1"/>
    <col min="1301" max="1536" width="9.140625" style="47"/>
    <col min="1537" max="1537" width="7" style="47" customWidth="1"/>
    <col min="1538" max="1538" width="7.140625" style="47" customWidth="1"/>
    <col min="1539" max="1539" width="9.140625" style="47"/>
    <col min="1540" max="1540" width="7.140625" style="47" customWidth="1"/>
    <col min="1541" max="1541" width="5.140625" style="47" bestFit="1" customWidth="1"/>
    <col min="1542" max="1542" width="2" style="47" bestFit="1" customWidth="1"/>
    <col min="1543" max="1543" width="29" style="47" customWidth="1"/>
    <col min="1544" max="1548" width="0" style="47" hidden="1" customWidth="1"/>
    <col min="1549" max="1549" width="8.7109375" style="47" bestFit="1" customWidth="1"/>
    <col min="1550" max="1550" width="9.5703125" style="47" customWidth="1"/>
    <col min="1551" max="1555" width="8.7109375" style="47" bestFit="1" customWidth="1"/>
    <col min="1556" max="1556" width="3.28515625" style="47" customWidth="1"/>
    <col min="1557" max="1792" width="9.140625" style="47"/>
    <col min="1793" max="1793" width="7" style="47" customWidth="1"/>
    <col min="1794" max="1794" width="7.140625" style="47" customWidth="1"/>
    <col min="1795" max="1795" width="9.140625" style="47"/>
    <col min="1796" max="1796" width="7.140625" style="47" customWidth="1"/>
    <col min="1797" max="1797" width="5.140625" style="47" bestFit="1" customWidth="1"/>
    <col min="1798" max="1798" width="2" style="47" bestFit="1" customWidth="1"/>
    <col min="1799" max="1799" width="29" style="47" customWidth="1"/>
    <col min="1800" max="1804" width="0" style="47" hidden="1" customWidth="1"/>
    <col min="1805" max="1805" width="8.7109375" style="47" bestFit="1" customWidth="1"/>
    <col min="1806" max="1806" width="9.5703125" style="47" customWidth="1"/>
    <col min="1807" max="1811" width="8.7109375" style="47" bestFit="1" customWidth="1"/>
    <col min="1812" max="1812" width="3.28515625" style="47" customWidth="1"/>
    <col min="1813" max="2048" width="9.140625" style="47"/>
    <col min="2049" max="2049" width="7" style="47" customWidth="1"/>
    <col min="2050" max="2050" width="7.140625" style="47" customWidth="1"/>
    <col min="2051" max="2051" width="9.140625" style="47"/>
    <col min="2052" max="2052" width="7.140625" style="47" customWidth="1"/>
    <col min="2053" max="2053" width="5.140625" style="47" bestFit="1" customWidth="1"/>
    <col min="2054" max="2054" width="2" style="47" bestFit="1" customWidth="1"/>
    <col min="2055" max="2055" width="29" style="47" customWidth="1"/>
    <col min="2056" max="2060" width="0" style="47" hidden="1" customWidth="1"/>
    <col min="2061" max="2061" width="8.7109375" style="47" bestFit="1" customWidth="1"/>
    <col min="2062" max="2062" width="9.5703125" style="47" customWidth="1"/>
    <col min="2063" max="2067" width="8.7109375" style="47" bestFit="1" customWidth="1"/>
    <col min="2068" max="2068" width="3.28515625" style="47" customWidth="1"/>
    <col min="2069" max="2304" width="9.140625" style="47"/>
    <col min="2305" max="2305" width="7" style="47" customWidth="1"/>
    <col min="2306" max="2306" width="7.140625" style="47" customWidth="1"/>
    <col min="2307" max="2307" width="9.140625" style="47"/>
    <col min="2308" max="2308" width="7.140625" style="47" customWidth="1"/>
    <col min="2309" max="2309" width="5.140625" style="47" bestFit="1" customWidth="1"/>
    <col min="2310" max="2310" width="2" style="47" bestFit="1" customWidth="1"/>
    <col min="2311" max="2311" width="29" style="47" customWidth="1"/>
    <col min="2312" max="2316" width="0" style="47" hidden="1" customWidth="1"/>
    <col min="2317" max="2317" width="8.7109375" style="47" bestFit="1" customWidth="1"/>
    <col min="2318" max="2318" width="9.5703125" style="47" customWidth="1"/>
    <col min="2319" max="2323" width="8.7109375" style="47" bestFit="1" customWidth="1"/>
    <col min="2324" max="2324" width="3.28515625" style="47" customWidth="1"/>
    <col min="2325" max="2560" width="9.140625" style="47"/>
    <col min="2561" max="2561" width="7" style="47" customWidth="1"/>
    <col min="2562" max="2562" width="7.140625" style="47" customWidth="1"/>
    <col min="2563" max="2563" width="9.140625" style="47"/>
    <col min="2564" max="2564" width="7.140625" style="47" customWidth="1"/>
    <col min="2565" max="2565" width="5.140625" style="47" bestFit="1" customWidth="1"/>
    <col min="2566" max="2566" width="2" style="47" bestFit="1" customWidth="1"/>
    <col min="2567" max="2567" width="29" style="47" customWidth="1"/>
    <col min="2568" max="2572" width="0" style="47" hidden="1" customWidth="1"/>
    <col min="2573" max="2573" width="8.7109375" style="47" bestFit="1" customWidth="1"/>
    <col min="2574" max="2574" width="9.5703125" style="47" customWidth="1"/>
    <col min="2575" max="2579" width="8.7109375" style="47" bestFit="1" customWidth="1"/>
    <col min="2580" max="2580" width="3.28515625" style="47" customWidth="1"/>
    <col min="2581" max="2816" width="9.140625" style="47"/>
    <col min="2817" max="2817" width="7" style="47" customWidth="1"/>
    <col min="2818" max="2818" width="7.140625" style="47" customWidth="1"/>
    <col min="2819" max="2819" width="9.140625" style="47"/>
    <col min="2820" max="2820" width="7.140625" style="47" customWidth="1"/>
    <col min="2821" max="2821" width="5.140625" style="47" bestFit="1" customWidth="1"/>
    <col min="2822" max="2822" width="2" style="47" bestFit="1" customWidth="1"/>
    <col min="2823" max="2823" width="29" style="47" customWidth="1"/>
    <col min="2824" max="2828" width="0" style="47" hidden="1" customWidth="1"/>
    <col min="2829" max="2829" width="8.7109375" style="47" bestFit="1" customWidth="1"/>
    <col min="2830" max="2830" width="9.5703125" style="47" customWidth="1"/>
    <col min="2831" max="2835" width="8.7109375" style="47" bestFit="1" customWidth="1"/>
    <col min="2836" max="2836" width="3.28515625" style="47" customWidth="1"/>
    <col min="2837" max="3072" width="9.140625" style="47"/>
    <col min="3073" max="3073" width="7" style="47" customWidth="1"/>
    <col min="3074" max="3074" width="7.140625" style="47" customWidth="1"/>
    <col min="3075" max="3075" width="9.140625" style="47"/>
    <col min="3076" max="3076" width="7.140625" style="47" customWidth="1"/>
    <col min="3077" max="3077" width="5.140625" style="47" bestFit="1" customWidth="1"/>
    <col min="3078" max="3078" width="2" style="47" bestFit="1" customWidth="1"/>
    <col min="3079" max="3079" width="29" style="47" customWidth="1"/>
    <col min="3080" max="3084" width="0" style="47" hidden="1" customWidth="1"/>
    <col min="3085" max="3085" width="8.7109375" style="47" bestFit="1" customWidth="1"/>
    <col min="3086" max="3086" width="9.5703125" style="47" customWidth="1"/>
    <col min="3087" max="3091" width="8.7109375" style="47" bestFit="1" customWidth="1"/>
    <col min="3092" max="3092" width="3.28515625" style="47" customWidth="1"/>
    <col min="3093" max="3328" width="9.140625" style="47"/>
    <col min="3329" max="3329" width="7" style="47" customWidth="1"/>
    <col min="3330" max="3330" width="7.140625" style="47" customWidth="1"/>
    <col min="3331" max="3331" width="9.140625" style="47"/>
    <col min="3332" max="3332" width="7.140625" style="47" customWidth="1"/>
    <col min="3333" max="3333" width="5.140625" style="47" bestFit="1" customWidth="1"/>
    <col min="3334" max="3334" width="2" style="47" bestFit="1" customWidth="1"/>
    <col min="3335" max="3335" width="29" style="47" customWidth="1"/>
    <col min="3336" max="3340" width="0" style="47" hidden="1" customWidth="1"/>
    <col min="3341" max="3341" width="8.7109375" style="47" bestFit="1" customWidth="1"/>
    <col min="3342" max="3342" width="9.5703125" style="47" customWidth="1"/>
    <col min="3343" max="3347" width="8.7109375" style="47" bestFit="1" customWidth="1"/>
    <col min="3348" max="3348" width="3.28515625" style="47" customWidth="1"/>
    <col min="3349" max="3584" width="9.140625" style="47"/>
    <col min="3585" max="3585" width="7" style="47" customWidth="1"/>
    <col min="3586" max="3586" width="7.140625" style="47" customWidth="1"/>
    <col min="3587" max="3587" width="9.140625" style="47"/>
    <col min="3588" max="3588" width="7.140625" style="47" customWidth="1"/>
    <col min="3589" max="3589" width="5.140625" style="47" bestFit="1" customWidth="1"/>
    <col min="3590" max="3590" width="2" style="47" bestFit="1" customWidth="1"/>
    <col min="3591" max="3591" width="29" style="47" customWidth="1"/>
    <col min="3592" max="3596" width="0" style="47" hidden="1" customWidth="1"/>
    <col min="3597" max="3597" width="8.7109375" style="47" bestFit="1" customWidth="1"/>
    <col min="3598" max="3598" width="9.5703125" style="47" customWidth="1"/>
    <col min="3599" max="3603" width="8.7109375" style="47" bestFit="1" customWidth="1"/>
    <col min="3604" max="3604" width="3.28515625" style="47" customWidth="1"/>
    <col min="3605" max="3840" width="9.140625" style="47"/>
    <col min="3841" max="3841" width="7" style="47" customWidth="1"/>
    <col min="3842" max="3842" width="7.140625" style="47" customWidth="1"/>
    <col min="3843" max="3843" width="9.140625" style="47"/>
    <col min="3844" max="3844" width="7.140625" style="47" customWidth="1"/>
    <col min="3845" max="3845" width="5.140625" style="47" bestFit="1" customWidth="1"/>
    <col min="3846" max="3846" width="2" style="47" bestFit="1" customWidth="1"/>
    <col min="3847" max="3847" width="29" style="47" customWidth="1"/>
    <col min="3848" max="3852" width="0" style="47" hidden="1" customWidth="1"/>
    <col min="3853" max="3853" width="8.7109375" style="47" bestFit="1" customWidth="1"/>
    <col min="3854" max="3854" width="9.5703125" style="47" customWidth="1"/>
    <col min="3855" max="3859" width="8.7109375" style="47" bestFit="1" customWidth="1"/>
    <col min="3860" max="3860" width="3.28515625" style="47" customWidth="1"/>
    <col min="3861" max="4096" width="9.140625" style="47"/>
    <col min="4097" max="4097" width="7" style="47" customWidth="1"/>
    <col min="4098" max="4098" width="7.140625" style="47" customWidth="1"/>
    <col min="4099" max="4099" width="9.140625" style="47"/>
    <col min="4100" max="4100" width="7.140625" style="47" customWidth="1"/>
    <col min="4101" max="4101" width="5.140625" style="47" bestFit="1" customWidth="1"/>
    <col min="4102" max="4102" width="2" style="47" bestFit="1" customWidth="1"/>
    <col min="4103" max="4103" width="29" style="47" customWidth="1"/>
    <col min="4104" max="4108" width="0" style="47" hidden="1" customWidth="1"/>
    <col min="4109" max="4109" width="8.7109375" style="47" bestFit="1" customWidth="1"/>
    <col min="4110" max="4110" width="9.5703125" style="47" customWidth="1"/>
    <col min="4111" max="4115" width="8.7109375" style="47" bestFit="1" customWidth="1"/>
    <col min="4116" max="4116" width="3.28515625" style="47" customWidth="1"/>
    <col min="4117" max="4352" width="9.140625" style="47"/>
    <col min="4353" max="4353" width="7" style="47" customWidth="1"/>
    <col min="4354" max="4354" width="7.140625" style="47" customWidth="1"/>
    <col min="4355" max="4355" width="9.140625" style="47"/>
    <col min="4356" max="4356" width="7.140625" style="47" customWidth="1"/>
    <col min="4357" max="4357" width="5.140625" style="47" bestFit="1" customWidth="1"/>
    <col min="4358" max="4358" width="2" style="47" bestFit="1" customWidth="1"/>
    <col min="4359" max="4359" width="29" style="47" customWidth="1"/>
    <col min="4360" max="4364" width="0" style="47" hidden="1" customWidth="1"/>
    <col min="4365" max="4365" width="8.7109375" style="47" bestFit="1" customWidth="1"/>
    <col min="4366" max="4366" width="9.5703125" style="47" customWidth="1"/>
    <col min="4367" max="4371" width="8.7109375" style="47" bestFit="1" customWidth="1"/>
    <col min="4372" max="4372" width="3.28515625" style="47" customWidth="1"/>
    <col min="4373" max="4608" width="9.140625" style="47"/>
    <col min="4609" max="4609" width="7" style="47" customWidth="1"/>
    <col min="4610" max="4610" width="7.140625" style="47" customWidth="1"/>
    <col min="4611" max="4611" width="9.140625" style="47"/>
    <col min="4612" max="4612" width="7.140625" style="47" customWidth="1"/>
    <col min="4613" max="4613" width="5.140625" style="47" bestFit="1" customWidth="1"/>
    <col min="4614" max="4614" width="2" style="47" bestFit="1" customWidth="1"/>
    <col min="4615" max="4615" width="29" style="47" customWidth="1"/>
    <col min="4616" max="4620" width="0" style="47" hidden="1" customWidth="1"/>
    <col min="4621" max="4621" width="8.7109375" style="47" bestFit="1" customWidth="1"/>
    <col min="4622" max="4622" width="9.5703125" style="47" customWidth="1"/>
    <col min="4623" max="4627" width="8.7109375" style="47" bestFit="1" customWidth="1"/>
    <col min="4628" max="4628" width="3.28515625" style="47" customWidth="1"/>
    <col min="4629" max="4864" width="9.140625" style="47"/>
    <col min="4865" max="4865" width="7" style="47" customWidth="1"/>
    <col min="4866" max="4866" width="7.140625" style="47" customWidth="1"/>
    <col min="4867" max="4867" width="9.140625" style="47"/>
    <col min="4868" max="4868" width="7.140625" style="47" customWidth="1"/>
    <col min="4869" max="4869" width="5.140625" style="47" bestFit="1" customWidth="1"/>
    <col min="4870" max="4870" width="2" style="47" bestFit="1" customWidth="1"/>
    <col min="4871" max="4871" width="29" style="47" customWidth="1"/>
    <col min="4872" max="4876" width="0" style="47" hidden="1" customWidth="1"/>
    <col min="4877" max="4877" width="8.7109375" style="47" bestFit="1" customWidth="1"/>
    <col min="4878" max="4878" width="9.5703125" style="47" customWidth="1"/>
    <col min="4879" max="4883" width="8.7109375" style="47" bestFit="1" customWidth="1"/>
    <col min="4884" max="4884" width="3.28515625" style="47" customWidth="1"/>
    <col min="4885" max="5120" width="9.140625" style="47"/>
    <col min="5121" max="5121" width="7" style="47" customWidth="1"/>
    <col min="5122" max="5122" width="7.140625" style="47" customWidth="1"/>
    <col min="5123" max="5123" width="9.140625" style="47"/>
    <col min="5124" max="5124" width="7.140625" style="47" customWidth="1"/>
    <col min="5125" max="5125" width="5.140625" style="47" bestFit="1" customWidth="1"/>
    <col min="5126" max="5126" width="2" style="47" bestFit="1" customWidth="1"/>
    <col min="5127" max="5127" width="29" style="47" customWidth="1"/>
    <col min="5128" max="5132" width="0" style="47" hidden="1" customWidth="1"/>
    <col min="5133" max="5133" width="8.7109375" style="47" bestFit="1" customWidth="1"/>
    <col min="5134" max="5134" width="9.5703125" style="47" customWidth="1"/>
    <col min="5135" max="5139" width="8.7109375" style="47" bestFit="1" customWidth="1"/>
    <col min="5140" max="5140" width="3.28515625" style="47" customWidth="1"/>
    <col min="5141" max="5376" width="9.140625" style="47"/>
    <col min="5377" max="5377" width="7" style="47" customWidth="1"/>
    <col min="5378" max="5378" width="7.140625" style="47" customWidth="1"/>
    <col min="5379" max="5379" width="9.140625" style="47"/>
    <col min="5380" max="5380" width="7.140625" style="47" customWidth="1"/>
    <col min="5381" max="5381" width="5.140625" style="47" bestFit="1" customWidth="1"/>
    <col min="5382" max="5382" width="2" style="47" bestFit="1" customWidth="1"/>
    <col min="5383" max="5383" width="29" style="47" customWidth="1"/>
    <col min="5384" max="5388" width="0" style="47" hidden="1" customWidth="1"/>
    <col min="5389" max="5389" width="8.7109375" style="47" bestFit="1" customWidth="1"/>
    <col min="5390" max="5390" width="9.5703125" style="47" customWidth="1"/>
    <col min="5391" max="5395" width="8.7109375" style="47" bestFit="1" customWidth="1"/>
    <col min="5396" max="5396" width="3.28515625" style="47" customWidth="1"/>
    <col min="5397" max="5632" width="9.140625" style="47"/>
    <col min="5633" max="5633" width="7" style="47" customWidth="1"/>
    <col min="5634" max="5634" width="7.140625" style="47" customWidth="1"/>
    <col min="5635" max="5635" width="9.140625" style="47"/>
    <col min="5636" max="5636" width="7.140625" style="47" customWidth="1"/>
    <col min="5637" max="5637" width="5.140625" style="47" bestFit="1" customWidth="1"/>
    <col min="5638" max="5638" width="2" style="47" bestFit="1" customWidth="1"/>
    <col min="5639" max="5639" width="29" style="47" customWidth="1"/>
    <col min="5640" max="5644" width="0" style="47" hidden="1" customWidth="1"/>
    <col min="5645" max="5645" width="8.7109375" style="47" bestFit="1" customWidth="1"/>
    <col min="5646" max="5646" width="9.5703125" style="47" customWidth="1"/>
    <col min="5647" max="5651" width="8.7109375" style="47" bestFit="1" customWidth="1"/>
    <col min="5652" max="5652" width="3.28515625" style="47" customWidth="1"/>
    <col min="5653" max="5888" width="9.140625" style="47"/>
    <col min="5889" max="5889" width="7" style="47" customWidth="1"/>
    <col min="5890" max="5890" width="7.140625" style="47" customWidth="1"/>
    <col min="5891" max="5891" width="9.140625" style="47"/>
    <col min="5892" max="5892" width="7.140625" style="47" customWidth="1"/>
    <col min="5893" max="5893" width="5.140625" style="47" bestFit="1" customWidth="1"/>
    <col min="5894" max="5894" width="2" style="47" bestFit="1" customWidth="1"/>
    <col min="5895" max="5895" width="29" style="47" customWidth="1"/>
    <col min="5896" max="5900" width="0" style="47" hidden="1" customWidth="1"/>
    <col min="5901" max="5901" width="8.7109375" style="47" bestFit="1" customWidth="1"/>
    <col min="5902" max="5902" width="9.5703125" style="47" customWidth="1"/>
    <col min="5903" max="5907" width="8.7109375" style="47" bestFit="1" customWidth="1"/>
    <col min="5908" max="5908" width="3.28515625" style="47" customWidth="1"/>
    <col min="5909" max="6144" width="9.140625" style="47"/>
    <col min="6145" max="6145" width="7" style="47" customWidth="1"/>
    <col min="6146" max="6146" width="7.140625" style="47" customWidth="1"/>
    <col min="6147" max="6147" width="9.140625" style="47"/>
    <col min="6148" max="6148" width="7.140625" style="47" customWidth="1"/>
    <col min="6149" max="6149" width="5.140625" style="47" bestFit="1" customWidth="1"/>
    <col min="6150" max="6150" width="2" style="47" bestFit="1" customWidth="1"/>
    <col min="6151" max="6151" width="29" style="47" customWidth="1"/>
    <col min="6152" max="6156" width="0" style="47" hidden="1" customWidth="1"/>
    <col min="6157" max="6157" width="8.7109375" style="47" bestFit="1" customWidth="1"/>
    <col min="6158" max="6158" width="9.5703125" style="47" customWidth="1"/>
    <col min="6159" max="6163" width="8.7109375" style="47" bestFit="1" customWidth="1"/>
    <col min="6164" max="6164" width="3.28515625" style="47" customWidth="1"/>
    <col min="6165" max="6400" width="9.140625" style="47"/>
    <col min="6401" max="6401" width="7" style="47" customWidth="1"/>
    <col min="6402" max="6402" width="7.140625" style="47" customWidth="1"/>
    <col min="6403" max="6403" width="9.140625" style="47"/>
    <col min="6404" max="6404" width="7.140625" style="47" customWidth="1"/>
    <col min="6405" max="6405" width="5.140625" style="47" bestFit="1" customWidth="1"/>
    <col min="6406" max="6406" width="2" style="47" bestFit="1" customWidth="1"/>
    <col min="6407" max="6407" width="29" style="47" customWidth="1"/>
    <col min="6408" max="6412" width="0" style="47" hidden="1" customWidth="1"/>
    <col min="6413" max="6413" width="8.7109375" style="47" bestFit="1" customWidth="1"/>
    <col min="6414" max="6414" width="9.5703125" style="47" customWidth="1"/>
    <col min="6415" max="6419" width="8.7109375" style="47" bestFit="1" customWidth="1"/>
    <col min="6420" max="6420" width="3.28515625" style="47" customWidth="1"/>
    <col min="6421" max="6656" width="9.140625" style="47"/>
    <col min="6657" max="6657" width="7" style="47" customWidth="1"/>
    <col min="6658" max="6658" width="7.140625" style="47" customWidth="1"/>
    <col min="6659" max="6659" width="9.140625" style="47"/>
    <col min="6660" max="6660" width="7.140625" style="47" customWidth="1"/>
    <col min="6661" max="6661" width="5.140625" style="47" bestFit="1" customWidth="1"/>
    <col min="6662" max="6662" width="2" style="47" bestFit="1" customWidth="1"/>
    <col min="6663" max="6663" width="29" style="47" customWidth="1"/>
    <col min="6664" max="6668" width="0" style="47" hidden="1" customWidth="1"/>
    <col min="6669" max="6669" width="8.7109375" style="47" bestFit="1" customWidth="1"/>
    <col min="6670" max="6670" width="9.5703125" style="47" customWidth="1"/>
    <col min="6671" max="6675" width="8.7109375" style="47" bestFit="1" customWidth="1"/>
    <col min="6676" max="6676" width="3.28515625" style="47" customWidth="1"/>
    <col min="6677" max="6912" width="9.140625" style="47"/>
    <col min="6913" max="6913" width="7" style="47" customWidth="1"/>
    <col min="6914" max="6914" width="7.140625" style="47" customWidth="1"/>
    <col min="6915" max="6915" width="9.140625" style="47"/>
    <col min="6916" max="6916" width="7.140625" style="47" customWidth="1"/>
    <col min="6917" max="6917" width="5.140625" style="47" bestFit="1" customWidth="1"/>
    <col min="6918" max="6918" width="2" style="47" bestFit="1" customWidth="1"/>
    <col min="6919" max="6919" width="29" style="47" customWidth="1"/>
    <col min="6920" max="6924" width="0" style="47" hidden="1" customWidth="1"/>
    <col min="6925" max="6925" width="8.7109375" style="47" bestFit="1" customWidth="1"/>
    <col min="6926" max="6926" width="9.5703125" style="47" customWidth="1"/>
    <col min="6927" max="6931" width="8.7109375" style="47" bestFit="1" customWidth="1"/>
    <col min="6932" max="6932" width="3.28515625" style="47" customWidth="1"/>
    <col min="6933" max="7168" width="9.140625" style="47"/>
    <col min="7169" max="7169" width="7" style="47" customWidth="1"/>
    <col min="7170" max="7170" width="7.140625" style="47" customWidth="1"/>
    <col min="7171" max="7171" width="9.140625" style="47"/>
    <col min="7172" max="7172" width="7.140625" style="47" customWidth="1"/>
    <col min="7173" max="7173" width="5.140625" style="47" bestFit="1" customWidth="1"/>
    <col min="7174" max="7174" width="2" style="47" bestFit="1" customWidth="1"/>
    <col min="7175" max="7175" width="29" style="47" customWidth="1"/>
    <col min="7176" max="7180" width="0" style="47" hidden="1" customWidth="1"/>
    <col min="7181" max="7181" width="8.7109375" style="47" bestFit="1" customWidth="1"/>
    <col min="7182" max="7182" width="9.5703125" style="47" customWidth="1"/>
    <col min="7183" max="7187" width="8.7109375" style="47" bestFit="1" customWidth="1"/>
    <col min="7188" max="7188" width="3.28515625" style="47" customWidth="1"/>
    <col min="7189" max="7424" width="9.140625" style="47"/>
    <col min="7425" max="7425" width="7" style="47" customWidth="1"/>
    <col min="7426" max="7426" width="7.140625" style="47" customWidth="1"/>
    <col min="7427" max="7427" width="9.140625" style="47"/>
    <col min="7428" max="7428" width="7.140625" style="47" customWidth="1"/>
    <col min="7429" max="7429" width="5.140625" style="47" bestFit="1" customWidth="1"/>
    <col min="7430" max="7430" width="2" style="47" bestFit="1" customWidth="1"/>
    <col min="7431" max="7431" width="29" style="47" customWidth="1"/>
    <col min="7432" max="7436" width="0" style="47" hidden="1" customWidth="1"/>
    <col min="7437" max="7437" width="8.7109375" style="47" bestFit="1" customWidth="1"/>
    <col min="7438" max="7438" width="9.5703125" style="47" customWidth="1"/>
    <col min="7439" max="7443" width="8.7109375" style="47" bestFit="1" customWidth="1"/>
    <col min="7444" max="7444" width="3.28515625" style="47" customWidth="1"/>
    <col min="7445" max="7680" width="9.140625" style="47"/>
    <col min="7681" max="7681" width="7" style="47" customWidth="1"/>
    <col min="7682" max="7682" width="7.140625" style="47" customWidth="1"/>
    <col min="7683" max="7683" width="9.140625" style="47"/>
    <col min="7684" max="7684" width="7.140625" style="47" customWidth="1"/>
    <col min="7685" max="7685" width="5.140625" style="47" bestFit="1" customWidth="1"/>
    <col min="7686" max="7686" width="2" style="47" bestFit="1" customWidth="1"/>
    <col min="7687" max="7687" width="29" style="47" customWidth="1"/>
    <col min="7688" max="7692" width="0" style="47" hidden="1" customWidth="1"/>
    <col min="7693" max="7693" width="8.7109375" style="47" bestFit="1" customWidth="1"/>
    <col min="7694" max="7694" width="9.5703125" style="47" customWidth="1"/>
    <col min="7695" max="7699" width="8.7109375" style="47" bestFit="1" customWidth="1"/>
    <col min="7700" max="7700" width="3.28515625" style="47" customWidth="1"/>
    <col min="7701" max="7936" width="9.140625" style="47"/>
    <col min="7937" max="7937" width="7" style="47" customWidth="1"/>
    <col min="7938" max="7938" width="7.140625" style="47" customWidth="1"/>
    <col min="7939" max="7939" width="9.140625" style="47"/>
    <col min="7940" max="7940" width="7.140625" style="47" customWidth="1"/>
    <col min="7941" max="7941" width="5.140625" style="47" bestFit="1" customWidth="1"/>
    <col min="7942" max="7942" width="2" style="47" bestFit="1" customWidth="1"/>
    <col min="7943" max="7943" width="29" style="47" customWidth="1"/>
    <col min="7944" max="7948" width="0" style="47" hidden="1" customWidth="1"/>
    <col min="7949" max="7949" width="8.7109375" style="47" bestFit="1" customWidth="1"/>
    <col min="7950" max="7950" width="9.5703125" style="47" customWidth="1"/>
    <col min="7951" max="7955" width="8.7109375" style="47" bestFit="1" customWidth="1"/>
    <col min="7956" max="7956" width="3.28515625" style="47" customWidth="1"/>
    <col min="7957" max="8192" width="9.140625" style="47"/>
    <col min="8193" max="8193" width="7" style="47" customWidth="1"/>
    <col min="8194" max="8194" width="7.140625" style="47" customWidth="1"/>
    <col min="8195" max="8195" width="9.140625" style="47"/>
    <col min="8196" max="8196" width="7.140625" style="47" customWidth="1"/>
    <col min="8197" max="8197" width="5.140625" style="47" bestFit="1" customWidth="1"/>
    <col min="8198" max="8198" width="2" style="47" bestFit="1" customWidth="1"/>
    <col min="8199" max="8199" width="29" style="47" customWidth="1"/>
    <col min="8200" max="8204" width="0" style="47" hidden="1" customWidth="1"/>
    <col min="8205" max="8205" width="8.7109375" style="47" bestFit="1" customWidth="1"/>
    <col min="8206" max="8206" width="9.5703125" style="47" customWidth="1"/>
    <col min="8207" max="8211" width="8.7109375" style="47" bestFit="1" customWidth="1"/>
    <col min="8212" max="8212" width="3.28515625" style="47" customWidth="1"/>
    <col min="8213" max="8448" width="9.140625" style="47"/>
    <col min="8449" max="8449" width="7" style="47" customWidth="1"/>
    <col min="8450" max="8450" width="7.140625" style="47" customWidth="1"/>
    <col min="8451" max="8451" width="9.140625" style="47"/>
    <col min="8452" max="8452" width="7.140625" style="47" customWidth="1"/>
    <col min="8453" max="8453" width="5.140625" style="47" bestFit="1" customWidth="1"/>
    <col min="8454" max="8454" width="2" style="47" bestFit="1" customWidth="1"/>
    <col min="8455" max="8455" width="29" style="47" customWidth="1"/>
    <col min="8456" max="8460" width="0" style="47" hidden="1" customWidth="1"/>
    <col min="8461" max="8461" width="8.7109375" style="47" bestFit="1" customWidth="1"/>
    <col min="8462" max="8462" width="9.5703125" style="47" customWidth="1"/>
    <col min="8463" max="8467" width="8.7109375" style="47" bestFit="1" customWidth="1"/>
    <col min="8468" max="8468" width="3.28515625" style="47" customWidth="1"/>
    <col min="8469" max="8704" width="9.140625" style="47"/>
    <col min="8705" max="8705" width="7" style="47" customWidth="1"/>
    <col min="8706" max="8706" width="7.140625" style="47" customWidth="1"/>
    <col min="8707" max="8707" width="9.140625" style="47"/>
    <col min="8708" max="8708" width="7.140625" style="47" customWidth="1"/>
    <col min="8709" max="8709" width="5.140625" style="47" bestFit="1" customWidth="1"/>
    <col min="8710" max="8710" width="2" style="47" bestFit="1" customWidth="1"/>
    <col min="8711" max="8711" width="29" style="47" customWidth="1"/>
    <col min="8712" max="8716" width="0" style="47" hidden="1" customWidth="1"/>
    <col min="8717" max="8717" width="8.7109375" style="47" bestFit="1" customWidth="1"/>
    <col min="8718" max="8718" width="9.5703125" style="47" customWidth="1"/>
    <col min="8719" max="8723" width="8.7109375" style="47" bestFit="1" customWidth="1"/>
    <col min="8724" max="8724" width="3.28515625" style="47" customWidth="1"/>
    <col min="8725" max="8960" width="9.140625" style="47"/>
    <col min="8961" max="8961" width="7" style="47" customWidth="1"/>
    <col min="8962" max="8962" width="7.140625" style="47" customWidth="1"/>
    <col min="8963" max="8963" width="9.140625" style="47"/>
    <col min="8964" max="8964" width="7.140625" style="47" customWidth="1"/>
    <col min="8965" max="8965" width="5.140625" style="47" bestFit="1" customWidth="1"/>
    <col min="8966" max="8966" width="2" style="47" bestFit="1" customWidth="1"/>
    <col min="8967" max="8967" width="29" style="47" customWidth="1"/>
    <col min="8968" max="8972" width="0" style="47" hidden="1" customWidth="1"/>
    <col min="8973" max="8973" width="8.7109375" style="47" bestFit="1" customWidth="1"/>
    <col min="8974" max="8974" width="9.5703125" style="47" customWidth="1"/>
    <col min="8975" max="8979" width="8.7109375" style="47" bestFit="1" customWidth="1"/>
    <col min="8980" max="8980" width="3.28515625" style="47" customWidth="1"/>
    <col min="8981" max="9216" width="9.140625" style="47"/>
    <col min="9217" max="9217" width="7" style="47" customWidth="1"/>
    <col min="9218" max="9218" width="7.140625" style="47" customWidth="1"/>
    <col min="9219" max="9219" width="9.140625" style="47"/>
    <col min="9220" max="9220" width="7.140625" style="47" customWidth="1"/>
    <col min="9221" max="9221" width="5.140625" style="47" bestFit="1" customWidth="1"/>
    <col min="9222" max="9222" width="2" style="47" bestFit="1" customWidth="1"/>
    <col min="9223" max="9223" width="29" style="47" customWidth="1"/>
    <col min="9224" max="9228" width="0" style="47" hidden="1" customWidth="1"/>
    <col min="9229" max="9229" width="8.7109375" style="47" bestFit="1" customWidth="1"/>
    <col min="9230" max="9230" width="9.5703125" style="47" customWidth="1"/>
    <col min="9231" max="9235" width="8.7109375" style="47" bestFit="1" customWidth="1"/>
    <col min="9236" max="9236" width="3.28515625" style="47" customWidth="1"/>
    <col min="9237" max="9472" width="9.140625" style="47"/>
    <col min="9473" max="9473" width="7" style="47" customWidth="1"/>
    <col min="9474" max="9474" width="7.140625" style="47" customWidth="1"/>
    <col min="9475" max="9475" width="9.140625" style="47"/>
    <col min="9476" max="9476" width="7.140625" style="47" customWidth="1"/>
    <col min="9477" max="9477" width="5.140625" style="47" bestFit="1" customWidth="1"/>
    <col min="9478" max="9478" width="2" style="47" bestFit="1" customWidth="1"/>
    <col min="9479" max="9479" width="29" style="47" customWidth="1"/>
    <col min="9480" max="9484" width="0" style="47" hidden="1" customWidth="1"/>
    <col min="9485" max="9485" width="8.7109375" style="47" bestFit="1" customWidth="1"/>
    <col min="9486" max="9486" width="9.5703125" style="47" customWidth="1"/>
    <col min="9487" max="9491" width="8.7109375" style="47" bestFit="1" customWidth="1"/>
    <col min="9492" max="9492" width="3.28515625" style="47" customWidth="1"/>
    <col min="9493" max="9728" width="9.140625" style="47"/>
    <col min="9729" max="9729" width="7" style="47" customWidth="1"/>
    <col min="9730" max="9730" width="7.140625" style="47" customWidth="1"/>
    <col min="9731" max="9731" width="9.140625" style="47"/>
    <col min="9732" max="9732" width="7.140625" style="47" customWidth="1"/>
    <col min="9733" max="9733" width="5.140625" style="47" bestFit="1" customWidth="1"/>
    <col min="9734" max="9734" width="2" style="47" bestFit="1" customWidth="1"/>
    <col min="9735" max="9735" width="29" style="47" customWidth="1"/>
    <col min="9736" max="9740" width="0" style="47" hidden="1" customWidth="1"/>
    <col min="9741" max="9741" width="8.7109375" style="47" bestFit="1" customWidth="1"/>
    <col min="9742" max="9742" width="9.5703125" style="47" customWidth="1"/>
    <col min="9743" max="9747" width="8.7109375" style="47" bestFit="1" customWidth="1"/>
    <col min="9748" max="9748" width="3.28515625" style="47" customWidth="1"/>
    <col min="9749" max="9984" width="9.140625" style="47"/>
    <col min="9985" max="9985" width="7" style="47" customWidth="1"/>
    <col min="9986" max="9986" width="7.140625" style="47" customWidth="1"/>
    <col min="9987" max="9987" width="9.140625" style="47"/>
    <col min="9988" max="9988" width="7.140625" style="47" customWidth="1"/>
    <col min="9989" max="9989" width="5.140625" style="47" bestFit="1" customWidth="1"/>
    <col min="9990" max="9990" width="2" style="47" bestFit="1" customWidth="1"/>
    <col min="9991" max="9991" width="29" style="47" customWidth="1"/>
    <col min="9992" max="9996" width="0" style="47" hidden="1" customWidth="1"/>
    <col min="9997" max="9997" width="8.7109375" style="47" bestFit="1" customWidth="1"/>
    <col min="9998" max="9998" width="9.5703125" style="47" customWidth="1"/>
    <col min="9999" max="10003" width="8.7109375" style="47" bestFit="1" customWidth="1"/>
    <col min="10004" max="10004" width="3.28515625" style="47" customWidth="1"/>
    <col min="10005" max="10240" width="9.140625" style="47"/>
    <col min="10241" max="10241" width="7" style="47" customWidth="1"/>
    <col min="10242" max="10242" width="7.140625" style="47" customWidth="1"/>
    <col min="10243" max="10243" width="9.140625" style="47"/>
    <col min="10244" max="10244" width="7.140625" style="47" customWidth="1"/>
    <col min="10245" max="10245" width="5.140625" style="47" bestFit="1" customWidth="1"/>
    <col min="10246" max="10246" width="2" style="47" bestFit="1" customWidth="1"/>
    <col min="10247" max="10247" width="29" style="47" customWidth="1"/>
    <col min="10248" max="10252" width="0" style="47" hidden="1" customWidth="1"/>
    <col min="10253" max="10253" width="8.7109375" style="47" bestFit="1" customWidth="1"/>
    <col min="10254" max="10254" width="9.5703125" style="47" customWidth="1"/>
    <col min="10255" max="10259" width="8.7109375" style="47" bestFit="1" customWidth="1"/>
    <col min="10260" max="10260" width="3.28515625" style="47" customWidth="1"/>
    <col min="10261" max="10496" width="9.140625" style="47"/>
    <col min="10497" max="10497" width="7" style="47" customWidth="1"/>
    <col min="10498" max="10498" width="7.140625" style="47" customWidth="1"/>
    <col min="10499" max="10499" width="9.140625" style="47"/>
    <col min="10500" max="10500" width="7.140625" style="47" customWidth="1"/>
    <col min="10501" max="10501" width="5.140625" style="47" bestFit="1" customWidth="1"/>
    <col min="10502" max="10502" width="2" style="47" bestFit="1" customWidth="1"/>
    <col min="10503" max="10503" width="29" style="47" customWidth="1"/>
    <col min="10504" max="10508" width="0" style="47" hidden="1" customWidth="1"/>
    <col min="10509" max="10509" width="8.7109375" style="47" bestFit="1" customWidth="1"/>
    <col min="10510" max="10510" width="9.5703125" style="47" customWidth="1"/>
    <col min="10511" max="10515" width="8.7109375" style="47" bestFit="1" customWidth="1"/>
    <col min="10516" max="10516" width="3.28515625" style="47" customWidth="1"/>
    <col min="10517" max="10752" width="9.140625" style="47"/>
    <col min="10753" max="10753" width="7" style="47" customWidth="1"/>
    <col min="10754" max="10754" width="7.140625" style="47" customWidth="1"/>
    <col min="10755" max="10755" width="9.140625" style="47"/>
    <col min="10756" max="10756" width="7.140625" style="47" customWidth="1"/>
    <col min="10757" max="10757" width="5.140625" style="47" bestFit="1" customWidth="1"/>
    <col min="10758" max="10758" width="2" style="47" bestFit="1" customWidth="1"/>
    <col min="10759" max="10759" width="29" style="47" customWidth="1"/>
    <col min="10760" max="10764" width="0" style="47" hidden="1" customWidth="1"/>
    <col min="10765" max="10765" width="8.7109375" style="47" bestFit="1" customWidth="1"/>
    <col min="10766" max="10766" width="9.5703125" style="47" customWidth="1"/>
    <col min="10767" max="10771" width="8.7109375" style="47" bestFit="1" customWidth="1"/>
    <col min="10772" max="10772" width="3.28515625" style="47" customWidth="1"/>
    <col min="10773" max="11008" width="9.140625" style="47"/>
    <col min="11009" max="11009" width="7" style="47" customWidth="1"/>
    <col min="11010" max="11010" width="7.140625" style="47" customWidth="1"/>
    <col min="11011" max="11011" width="9.140625" style="47"/>
    <col min="11012" max="11012" width="7.140625" style="47" customWidth="1"/>
    <col min="11013" max="11013" width="5.140625" style="47" bestFit="1" customWidth="1"/>
    <col min="11014" max="11014" width="2" style="47" bestFit="1" customWidth="1"/>
    <col min="11015" max="11015" width="29" style="47" customWidth="1"/>
    <col min="11016" max="11020" width="0" style="47" hidden="1" customWidth="1"/>
    <col min="11021" max="11021" width="8.7109375" style="47" bestFit="1" customWidth="1"/>
    <col min="11022" max="11022" width="9.5703125" style="47" customWidth="1"/>
    <col min="11023" max="11027" width="8.7109375" style="47" bestFit="1" customWidth="1"/>
    <col min="11028" max="11028" width="3.28515625" style="47" customWidth="1"/>
    <col min="11029" max="11264" width="9.140625" style="47"/>
    <col min="11265" max="11265" width="7" style="47" customWidth="1"/>
    <col min="11266" max="11266" width="7.140625" style="47" customWidth="1"/>
    <col min="11267" max="11267" width="9.140625" style="47"/>
    <col min="11268" max="11268" width="7.140625" style="47" customWidth="1"/>
    <col min="11269" max="11269" width="5.140625" style="47" bestFit="1" customWidth="1"/>
    <col min="11270" max="11270" width="2" style="47" bestFit="1" customWidth="1"/>
    <col min="11271" max="11271" width="29" style="47" customWidth="1"/>
    <col min="11272" max="11276" width="0" style="47" hidden="1" customWidth="1"/>
    <col min="11277" max="11277" width="8.7109375" style="47" bestFit="1" customWidth="1"/>
    <col min="11278" max="11278" width="9.5703125" style="47" customWidth="1"/>
    <col min="11279" max="11283" width="8.7109375" style="47" bestFit="1" customWidth="1"/>
    <col min="11284" max="11284" width="3.28515625" style="47" customWidth="1"/>
    <col min="11285" max="11520" width="9.140625" style="47"/>
    <col min="11521" max="11521" width="7" style="47" customWidth="1"/>
    <col min="11522" max="11522" width="7.140625" style="47" customWidth="1"/>
    <col min="11523" max="11523" width="9.140625" style="47"/>
    <col min="11524" max="11524" width="7.140625" style="47" customWidth="1"/>
    <col min="11525" max="11525" width="5.140625" style="47" bestFit="1" customWidth="1"/>
    <col min="11526" max="11526" width="2" style="47" bestFit="1" customWidth="1"/>
    <col min="11527" max="11527" width="29" style="47" customWidth="1"/>
    <col min="11528" max="11532" width="0" style="47" hidden="1" customWidth="1"/>
    <col min="11533" max="11533" width="8.7109375" style="47" bestFit="1" customWidth="1"/>
    <col min="11534" max="11534" width="9.5703125" style="47" customWidth="1"/>
    <col min="11535" max="11539" width="8.7109375" style="47" bestFit="1" customWidth="1"/>
    <col min="11540" max="11540" width="3.28515625" style="47" customWidth="1"/>
    <col min="11541" max="11776" width="9.140625" style="47"/>
    <col min="11777" max="11777" width="7" style="47" customWidth="1"/>
    <col min="11778" max="11778" width="7.140625" style="47" customWidth="1"/>
    <col min="11779" max="11779" width="9.140625" style="47"/>
    <col min="11780" max="11780" width="7.140625" style="47" customWidth="1"/>
    <col min="11781" max="11781" width="5.140625" style="47" bestFit="1" customWidth="1"/>
    <col min="11782" max="11782" width="2" style="47" bestFit="1" customWidth="1"/>
    <col min="11783" max="11783" width="29" style="47" customWidth="1"/>
    <col min="11784" max="11788" width="0" style="47" hidden="1" customWidth="1"/>
    <col min="11789" max="11789" width="8.7109375" style="47" bestFit="1" customWidth="1"/>
    <col min="11790" max="11790" width="9.5703125" style="47" customWidth="1"/>
    <col min="11791" max="11795" width="8.7109375" style="47" bestFit="1" customWidth="1"/>
    <col min="11796" max="11796" width="3.28515625" style="47" customWidth="1"/>
    <col min="11797" max="12032" width="9.140625" style="47"/>
    <col min="12033" max="12033" width="7" style="47" customWidth="1"/>
    <col min="12034" max="12034" width="7.140625" style="47" customWidth="1"/>
    <col min="12035" max="12035" width="9.140625" style="47"/>
    <col min="12036" max="12036" width="7.140625" style="47" customWidth="1"/>
    <col min="12037" max="12037" width="5.140625" style="47" bestFit="1" customWidth="1"/>
    <col min="12038" max="12038" width="2" style="47" bestFit="1" customWidth="1"/>
    <col min="12039" max="12039" width="29" style="47" customWidth="1"/>
    <col min="12040" max="12044" width="0" style="47" hidden="1" customWidth="1"/>
    <col min="12045" max="12045" width="8.7109375" style="47" bestFit="1" customWidth="1"/>
    <col min="12046" max="12046" width="9.5703125" style="47" customWidth="1"/>
    <col min="12047" max="12051" width="8.7109375" style="47" bestFit="1" customWidth="1"/>
    <col min="12052" max="12052" width="3.28515625" style="47" customWidth="1"/>
    <col min="12053" max="12288" width="9.140625" style="47"/>
    <col min="12289" max="12289" width="7" style="47" customWidth="1"/>
    <col min="12290" max="12290" width="7.140625" style="47" customWidth="1"/>
    <col min="12291" max="12291" width="9.140625" style="47"/>
    <col min="12292" max="12292" width="7.140625" style="47" customWidth="1"/>
    <col min="12293" max="12293" width="5.140625" style="47" bestFit="1" customWidth="1"/>
    <col min="12294" max="12294" width="2" style="47" bestFit="1" customWidth="1"/>
    <col min="12295" max="12295" width="29" style="47" customWidth="1"/>
    <col min="12296" max="12300" width="0" style="47" hidden="1" customWidth="1"/>
    <col min="12301" max="12301" width="8.7109375" style="47" bestFit="1" customWidth="1"/>
    <col min="12302" max="12302" width="9.5703125" style="47" customWidth="1"/>
    <col min="12303" max="12307" width="8.7109375" style="47" bestFit="1" customWidth="1"/>
    <col min="12308" max="12308" width="3.28515625" style="47" customWidth="1"/>
    <col min="12309" max="12544" width="9.140625" style="47"/>
    <col min="12545" max="12545" width="7" style="47" customWidth="1"/>
    <col min="12546" max="12546" width="7.140625" style="47" customWidth="1"/>
    <col min="12547" max="12547" width="9.140625" style="47"/>
    <col min="12548" max="12548" width="7.140625" style="47" customWidth="1"/>
    <col min="12549" max="12549" width="5.140625" style="47" bestFit="1" customWidth="1"/>
    <col min="12550" max="12550" width="2" style="47" bestFit="1" customWidth="1"/>
    <col min="12551" max="12551" width="29" style="47" customWidth="1"/>
    <col min="12552" max="12556" width="0" style="47" hidden="1" customWidth="1"/>
    <col min="12557" max="12557" width="8.7109375" style="47" bestFit="1" customWidth="1"/>
    <col min="12558" max="12558" width="9.5703125" style="47" customWidth="1"/>
    <col min="12559" max="12563" width="8.7109375" style="47" bestFit="1" customWidth="1"/>
    <col min="12564" max="12564" width="3.28515625" style="47" customWidth="1"/>
    <col min="12565" max="12800" width="9.140625" style="47"/>
    <col min="12801" max="12801" width="7" style="47" customWidth="1"/>
    <col min="12802" max="12802" width="7.140625" style="47" customWidth="1"/>
    <col min="12803" max="12803" width="9.140625" style="47"/>
    <col min="12804" max="12804" width="7.140625" style="47" customWidth="1"/>
    <col min="12805" max="12805" width="5.140625" style="47" bestFit="1" customWidth="1"/>
    <col min="12806" max="12806" width="2" style="47" bestFit="1" customWidth="1"/>
    <col min="12807" max="12807" width="29" style="47" customWidth="1"/>
    <col min="12808" max="12812" width="0" style="47" hidden="1" customWidth="1"/>
    <col min="12813" max="12813" width="8.7109375" style="47" bestFit="1" customWidth="1"/>
    <col min="12814" max="12814" width="9.5703125" style="47" customWidth="1"/>
    <col min="12815" max="12819" width="8.7109375" style="47" bestFit="1" customWidth="1"/>
    <col min="12820" max="12820" width="3.28515625" style="47" customWidth="1"/>
    <col min="12821" max="13056" width="9.140625" style="47"/>
    <col min="13057" max="13057" width="7" style="47" customWidth="1"/>
    <col min="13058" max="13058" width="7.140625" style="47" customWidth="1"/>
    <col min="13059" max="13059" width="9.140625" style="47"/>
    <col min="13060" max="13060" width="7.140625" style="47" customWidth="1"/>
    <col min="13061" max="13061" width="5.140625" style="47" bestFit="1" customWidth="1"/>
    <col min="13062" max="13062" width="2" style="47" bestFit="1" customWidth="1"/>
    <col min="13063" max="13063" width="29" style="47" customWidth="1"/>
    <col min="13064" max="13068" width="0" style="47" hidden="1" customWidth="1"/>
    <col min="13069" max="13069" width="8.7109375" style="47" bestFit="1" customWidth="1"/>
    <col min="13070" max="13070" width="9.5703125" style="47" customWidth="1"/>
    <col min="13071" max="13075" width="8.7109375" style="47" bestFit="1" customWidth="1"/>
    <col min="13076" max="13076" width="3.28515625" style="47" customWidth="1"/>
    <col min="13077" max="13312" width="9.140625" style="47"/>
    <col min="13313" max="13313" width="7" style="47" customWidth="1"/>
    <col min="13314" max="13314" width="7.140625" style="47" customWidth="1"/>
    <col min="13315" max="13315" width="9.140625" style="47"/>
    <col min="13316" max="13316" width="7.140625" style="47" customWidth="1"/>
    <col min="13317" max="13317" width="5.140625" style="47" bestFit="1" customWidth="1"/>
    <col min="13318" max="13318" width="2" style="47" bestFit="1" customWidth="1"/>
    <col min="13319" max="13319" width="29" style="47" customWidth="1"/>
    <col min="13320" max="13324" width="0" style="47" hidden="1" customWidth="1"/>
    <col min="13325" max="13325" width="8.7109375" style="47" bestFit="1" customWidth="1"/>
    <col min="13326" max="13326" width="9.5703125" style="47" customWidth="1"/>
    <col min="13327" max="13331" width="8.7109375" style="47" bestFit="1" customWidth="1"/>
    <col min="13332" max="13332" width="3.28515625" style="47" customWidth="1"/>
    <col min="13333" max="13568" width="9.140625" style="47"/>
    <col min="13569" max="13569" width="7" style="47" customWidth="1"/>
    <col min="13570" max="13570" width="7.140625" style="47" customWidth="1"/>
    <col min="13571" max="13571" width="9.140625" style="47"/>
    <col min="13572" max="13572" width="7.140625" style="47" customWidth="1"/>
    <col min="13573" max="13573" width="5.140625" style="47" bestFit="1" customWidth="1"/>
    <col min="13574" max="13574" width="2" style="47" bestFit="1" customWidth="1"/>
    <col min="13575" max="13575" width="29" style="47" customWidth="1"/>
    <col min="13576" max="13580" width="0" style="47" hidden="1" customWidth="1"/>
    <col min="13581" max="13581" width="8.7109375" style="47" bestFit="1" customWidth="1"/>
    <col min="13582" max="13582" width="9.5703125" style="47" customWidth="1"/>
    <col min="13583" max="13587" width="8.7109375" style="47" bestFit="1" customWidth="1"/>
    <col min="13588" max="13588" width="3.28515625" style="47" customWidth="1"/>
    <col min="13589" max="13824" width="9.140625" style="47"/>
    <col min="13825" max="13825" width="7" style="47" customWidth="1"/>
    <col min="13826" max="13826" width="7.140625" style="47" customWidth="1"/>
    <col min="13827" max="13827" width="9.140625" style="47"/>
    <col min="13828" max="13828" width="7.140625" style="47" customWidth="1"/>
    <col min="13829" max="13829" width="5.140625" style="47" bestFit="1" customWidth="1"/>
    <col min="13830" max="13830" width="2" style="47" bestFit="1" customWidth="1"/>
    <col min="13831" max="13831" width="29" style="47" customWidth="1"/>
    <col min="13832" max="13836" width="0" style="47" hidden="1" customWidth="1"/>
    <col min="13837" max="13837" width="8.7109375" style="47" bestFit="1" customWidth="1"/>
    <col min="13838" max="13838" width="9.5703125" style="47" customWidth="1"/>
    <col min="13839" max="13843" width="8.7109375" style="47" bestFit="1" customWidth="1"/>
    <col min="13844" max="13844" width="3.28515625" style="47" customWidth="1"/>
    <col min="13845" max="14080" width="9.140625" style="47"/>
    <col min="14081" max="14081" width="7" style="47" customWidth="1"/>
    <col min="14082" max="14082" width="7.140625" style="47" customWidth="1"/>
    <col min="14083" max="14083" width="9.140625" style="47"/>
    <col min="14084" max="14084" width="7.140625" style="47" customWidth="1"/>
    <col min="14085" max="14085" width="5.140625" style="47" bestFit="1" customWidth="1"/>
    <col min="14086" max="14086" width="2" style="47" bestFit="1" customWidth="1"/>
    <col min="14087" max="14087" width="29" style="47" customWidth="1"/>
    <col min="14088" max="14092" width="0" style="47" hidden="1" customWidth="1"/>
    <col min="14093" max="14093" width="8.7109375" style="47" bestFit="1" customWidth="1"/>
    <col min="14094" max="14094" width="9.5703125" style="47" customWidth="1"/>
    <col min="14095" max="14099" width="8.7109375" style="47" bestFit="1" customWidth="1"/>
    <col min="14100" max="14100" width="3.28515625" style="47" customWidth="1"/>
    <col min="14101" max="14336" width="9.140625" style="47"/>
    <col min="14337" max="14337" width="7" style="47" customWidth="1"/>
    <col min="14338" max="14338" width="7.140625" style="47" customWidth="1"/>
    <col min="14339" max="14339" width="9.140625" style="47"/>
    <col min="14340" max="14340" width="7.140625" style="47" customWidth="1"/>
    <col min="14341" max="14341" width="5.140625" style="47" bestFit="1" customWidth="1"/>
    <col min="14342" max="14342" width="2" style="47" bestFit="1" customWidth="1"/>
    <col min="14343" max="14343" width="29" style="47" customWidth="1"/>
    <col min="14344" max="14348" width="0" style="47" hidden="1" customWidth="1"/>
    <col min="14349" max="14349" width="8.7109375" style="47" bestFit="1" customWidth="1"/>
    <col min="14350" max="14350" width="9.5703125" style="47" customWidth="1"/>
    <col min="14351" max="14355" width="8.7109375" style="47" bestFit="1" customWidth="1"/>
    <col min="14356" max="14356" width="3.28515625" style="47" customWidth="1"/>
    <col min="14357" max="14592" width="9.140625" style="47"/>
    <col min="14593" max="14593" width="7" style="47" customWidth="1"/>
    <col min="14594" max="14594" width="7.140625" style="47" customWidth="1"/>
    <col min="14595" max="14595" width="9.140625" style="47"/>
    <col min="14596" max="14596" width="7.140625" style="47" customWidth="1"/>
    <col min="14597" max="14597" width="5.140625" style="47" bestFit="1" customWidth="1"/>
    <col min="14598" max="14598" width="2" style="47" bestFit="1" customWidth="1"/>
    <col min="14599" max="14599" width="29" style="47" customWidth="1"/>
    <col min="14600" max="14604" width="0" style="47" hidden="1" customWidth="1"/>
    <col min="14605" max="14605" width="8.7109375" style="47" bestFit="1" customWidth="1"/>
    <col min="14606" max="14606" width="9.5703125" style="47" customWidth="1"/>
    <col min="14607" max="14611" width="8.7109375" style="47" bestFit="1" customWidth="1"/>
    <col min="14612" max="14612" width="3.28515625" style="47" customWidth="1"/>
    <col min="14613" max="14848" width="9.140625" style="47"/>
    <col min="14849" max="14849" width="7" style="47" customWidth="1"/>
    <col min="14850" max="14850" width="7.140625" style="47" customWidth="1"/>
    <col min="14851" max="14851" width="9.140625" style="47"/>
    <col min="14852" max="14852" width="7.140625" style="47" customWidth="1"/>
    <col min="14853" max="14853" width="5.140625" style="47" bestFit="1" customWidth="1"/>
    <col min="14854" max="14854" width="2" style="47" bestFit="1" customWidth="1"/>
    <col min="14855" max="14855" width="29" style="47" customWidth="1"/>
    <col min="14856" max="14860" width="0" style="47" hidden="1" customWidth="1"/>
    <col min="14861" max="14861" width="8.7109375" style="47" bestFit="1" customWidth="1"/>
    <col min="14862" max="14862" width="9.5703125" style="47" customWidth="1"/>
    <col min="14863" max="14867" width="8.7109375" style="47" bestFit="1" customWidth="1"/>
    <col min="14868" max="14868" width="3.28515625" style="47" customWidth="1"/>
    <col min="14869" max="15104" width="9.140625" style="47"/>
    <col min="15105" max="15105" width="7" style="47" customWidth="1"/>
    <col min="15106" max="15106" width="7.140625" style="47" customWidth="1"/>
    <col min="15107" max="15107" width="9.140625" style="47"/>
    <col min="15108" max="15108" width="7.140625" style="47" customWidth="1"/>
    <col min="15109" max="15109" width="5.140625" style="47" bestFit="1" customWidth="1"/>
    <col min="15110" max="15110" width="2" style="47" bestFit="1" customWidth="1"/>
    <col min="15111" max="15111" width="29" style="47" customWidth="1"/>
    <col min="15112" max="15116" width="0" style="47" hidden="1" customWidth="1"/>
    <col min="15117" max="15117" width="8.7109375" style="47" bestFit="1" customWidth="1"/>
    <col min="15118" max="15118" width="9.5703125" style="47" customWidth="1"/>
    <col min="15119" max="15123" width="8.7109375" style="47" bestFit="1" customWidth="1"/>
    <col min="15124" max="15124" width="3.28515625" style="47" customWidth="1"/>
    <col min="15125" max="15360" width="9.140625" style="47"/>
    <col min="15361" max="15361" width="7" style="47" customWidth="1"/>
    <col min="15362" max="15362" width="7.140625" style="47" customWidth="1"/>
    <col min="15363" max="15363" width="9.140625" style="47"/>
    <col min="15364" max="15364" width="7.140625" style="47" customWidth="1"/>
    <col min="15365" max="15365" width="5.140625" style="47" bestFit="1" customWidth="1"/>
    <col min="15366" max="15366" width="2" style="47" bestFit="1" customWidth="1"/>
    <col min="15367" max="15367" width="29" style="47" customWidth="1"/>
    <col min="15368" max="15372" width="0" style="47" hidden="1" customWidth="1"/>
    <col min="15373" max="15373" width="8.7109375" style="47" bestFit="1" customWidth="1"/>
    <col min="15374" max="15374" width="9.5703125" style="47" customWidth="1"/>
    <col min="15375" max="15379" width="8.7109375" style="47" bestFit="1" customWidth="1"/>
    <col min="15380" max="15380" width="3.28515625" style="47" customWidth="1"/>
    <col min="15381" max="15616" width="9.140625" style="47"/>
    <col min="15617" max="15617" width="7" style="47" customWidth="1"/>
    <col min="15618" max="15618" width="7.140625" style="47" customWidth="1"/>
    <col min="15619" max="15619" width="9.140625" style="47"/>
    <col min="15620" max="15620" width="7.140625" style="47" customWidth="1"/>
    <col min="15621" max="15621" width="5.140625" style="47" bestFit="1" customWidth="1"/>
    <col min="15622" max="15622" width="2" style="47" bestFit="1" customWidth="1"/>
    <col min="15623" max="15623" width="29" style="47" customWidth="1"/>
    <col min="15624" max="15628" width="0" style="47" hidden="1" customWidth="1"/>
    <col min="15629" max="15629" width="8.7109375" style="47" bestFit="1" customWidth="1"/>
    <col min="15630" max="15630" width="9.5703125" style="47" customWidth="1"/>
    <col min="15631" max="15635" width="8.7109375" style="47" bestFit="1" customWidth="1"/>
    <col min="15636" max="15636" width="3.28515625" style="47" customWidth="1"/>
    <col min="15637" max="15872" width="9.140625" style="47"/>
    <col min="15873" max="15873" width="7" style="47" customWidth="1"/>
    <col min="15874" max="15874" width="7.140625" style="47" customWidth="1"/>
    <col min="15875" max="15875" width="9.140625" style="47"/>
    <col min="15876" max="15876" width="7.140625" style="47" customWidth="1"/>
    <col min="15877" max="15877" width="5.140625" style="47" bestFit="1" customWidth="1"/>
    <col min="15878" max="15878" width="2" style="47" bestFit="1" customWidth="1"/>
    <col min="15879" max="15879" width="29" style="47" customWidth="1"/>
    <col min="15880" max="15884" width="0" style="47" hidden="1" customWidth="1"/>
    <col min="15885" max="15885" width="8.7109375" style="47" bestFit="1" customWidth="1"/>
    <col min="15886" max="15886" width="9.5703125" style="47" customWidth="1"/>
    <col min="15887" max="15891" width="8.7109375" style="47" bestFit="1" customWidth="1"/>
    <col min="15892" max="15892" width="3.28515625" style="47" customWidth="1"/>
    <col min="15893" max="16128" width="9.140625" style="47"/>
    <col min="16129" max="16129" width="7" style="47" customWidth="1"/>
    <col min="16130" max="16130" width="7.140625" style="47" customWidth="1"/>
    <col min="16131" max="16131" width="9.140625" style="47"/>
    <col min="16132" max="16132" width="7.140625" style="47" customWidth="1"/>
    <col min="16133" max="16133" width="5.140625" style="47" bestFit="1" customWidth="1"/>
    <col min="16134" max="16134" width="2" style="47" bestFit="1" customWidth="1"/>
    <col min="16135" max="16135" width="29" style="47" customWidth="1"/>
    <col min="16136" max="16140" width="0" style="47" hidden="1" customWidth="1"/>
    <col min="16141" max="16141" width="8.7109375" style="47" bestFit="1" customWidth="1"/>
    <col min="16142" max="16142" width="9.5703125" style="47" customWidth="1"/>
    <col min="16143" max="16147" width="8.7109375" style="47" bestFit="1" customWidth="1"/>
    <col min="16148" max="16148" width="3.28515625" style="47" customWidth="1"/>
    <col min="16149" max="16384" width="9.140625" style="47"/>
  </cols>
  <sheetData>
    <row r="1" spans="1:19" x14ac:dyDescent="0.2">
      <c r="A1" s="1"/>
      <c r="B1" s="2"/>
      <c r="C1" s="3"/>
      <c r="D1" s="3"/>
      <c r="E1" s="1"/>
      <c r="F1" s="1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</row>
    <row r="2" spans="1:19" x14ac:dyDescent="0.2">
      <c r="A2" s="3" t="s">
        <v>0</v>
      </c>
      <c r="B2" s="5" t="s">
        <v>1</v>
      </c>
      <c r="C2" s="3" t="s">
        <v>2</v>
      </c>
      <c r="D2" s="3"/>
      <c r="E2" s="1" t="s">
        <v>3</v>
      </c>
      <c r="F2" s="1"/>
      <c r="G2" s="49" t="s">
        <v>545</v>
      </c>
      <c r="H2" s="50"/>
      <c r="I2" s="51"/>
      <c r="J2" s="52"/>
      <c r="K2" s="50"/>
      <c r="L2" s="52"/>
      <c r="M2" s="71" t="s">
        <v>366</v>
      </c>
      <c r="N2" s="122" t="s">
        <v>546</v>
      </c>
      <c r="O2" s="72"/>
      <c r="P2" s="72"/>
      <c r="Q2" s="72"/>
      <c r="R2" s="73"/>
    </row>
    <row r="3" spans="1:19" x14ac:dyDescent="0.2">
      <c r="A3" s="1"/>
      <c r="B3" s="6"/>
      <c r="C3" s="3"/>
      <c r="D3" s="3"/>
      <c r="E3" s="1"/>
      <c r="F3" s="1"/>
      <c r="G3" s="53" t="s">
        <v>4</v>
      </c>
      <c r="H3" s="54">
        <v>40908</v>
      </c>
      <c r="I3" s="54">
        <v>41274</v>
      </c>
      <c r="J3" s="54">
        <v>41639</v>
      </c>
      <c r="K3" s="54">
        <v>42004</v>
      </c>
      <c r="L3" s="54">
        <v>42369</v>
      </c>
      <c r="M3" s="54">
        <v>42735</v>
      </c>
      <c r="N3" s="54">
        <v>43100</v>
      </c>
      <c r="O3" s="54">
        <v>43465</v>
      </c>
      <c r="P3" s="54">
        <v>43830</v>
      </c>
      <c r="Q3" s="54">
        <v>44196</v>
      </c>
      <c r="R3" s="54">
        <v>44561</v>
      </c>
      <c r="S3" s="54">
        <v>44926</v>
      </c>
    </row>
    <row r="4" spans="1:19" x14ac:dyDescent="0.2">
      <c r="A4" s="7"/>
      <c r="B4" s="2" t="s">
        <v>5</v>
      </c>
      <c r="C4" s="3">
        <v>1</v>
      </c>
      <c r="D4" s="3"/>
      <c r="E4" s="5"/>
      <c r="F4" s="7"/>
      <c r="G4" s="55" t="s">
        <v>6</v>
      </c>
      <c r="H4" s="56">
        <f t="shared" ref="H4:S4" si="0">H5+H10</f>
        <v>7240.9639999999999</v>
      </c>
      <c r="I4" s="56">
        <f t="shared" si="0"/>
        <v>11584.761</v>
      </c>
      <c r="J4" s="56">
        <f t="shared" si="0"/>
        <v>12073.348</v>
      </c>
      <c r="K4" s="56">
        <f t="shared" si="0"/>
        <v>13095.220000000001</v>
      </c>
      <c r="L4" s="56">
        <f t="shared" si="0"/>
        <v>20870.367999999999</v>
      </c>
      <c r="M4" s="56">
        <f t="shared" si="0"/>
        <v>16084.627</v>
      </c>
      <c r="N4" s="56">
        <f t="shared" si="0"/>
        <v>23545.97768</v>
      </c>
      <c r="O4" s="56">
        <f t="shared" si="0"/>
        <v>21190.61508</v>
      </c>
      <c r="P4" s="56">
        <f t="shared" si="0"/>
        <v>19702</v>
      </c>
      <c r="Q4" s="56">
        <f t="shared" si="0"/>
        <v>18682</v>
      </c>
      <c r="R4" s="56">
        <f t="shared" si="0"/>
        <v>22444</v>
      </c>
      <c r="S4" s="56">
        <f t="shared" si="0"/>
        <v>26314</v>
      </c>
    </row>
    <row r="5" spans="1:19" x14ac:dyDescent="0.2">
      <c r="A5" s="8"/>
      <c r="B5" s="2" t="s">
        <v>7</v>
      </c>
      <c r="C5" s="3">
        <v>10</v>
      </c>
      <c r="D5" s="3"/>
      <c r="E5" s="9"/>
      <c r="G5" s="57" t="s">
        <v>8</v>
      </c>
      <c r="H5" s="56">
        <f t="shared" ref="H5:R5" si="1">SUM(H6:H9)</f>
        <v>572.78200000000004</v>
      </c>
      <c r="I5" s="56">
        <f t="shared" si="1"/>
        <v>513.18799999999999</v>
      </c>
      <c r="J5" s="56">
        <f t="shared" si="1"/>
        <v>1087.575</v>
      </c>
      <c r="K5" s="56">
        <f t="shared" si="1"/>
        <v>1989.0740000000001</v>
      </c>
      <c r="L5" s="56">
        <f t="shared" si="1"/>
        <v>9455.3629999999994</v>
      </c>
      <c r="M5" s="56">
        <f t="shared" si="1"/>
        <v>1219.105</v>
      </c>
      <c r="N5" s="56">
        <f t="shared" si="1"/>
        <v>1850.3626000000002</v>
      </c>
      <c r="O5" s="56">
        <f t="shared" si="1"/>
        <v>1091</v>
      </c>
      <c r="P5" s="56">
        <f t="shared" si="1"/>
        <v>1096</v>
      </c>
      <c r="Q5" s="56">
        <f t="shared" si="1"/>
        <v>1086</v>
      </c>
      <c r="R5" s="56">
        <f t="shared" si="1"/>
        <v>1067</v>
      </c>
      <c r="S5" s="56">
        <f>SUM(S6:S9)</f>
        <v>1052</v>
      </c>
    </row>
    <row r="6" spans="1:19" ht="12" x14ac:dyDescent="0.2">
      <c r="A6" s="8"/>
      <c r="B6" s="2" t="s">
        <v>9</v>
      </c>
      <c r="C6" s="10" t="s">
        <v>10</v>
      </c>
      <c r="D6" s="10"/>
      <c r="E6" s="11" t="s">
        <v>11</v>
      </c>
      <c r="G6" s="57" t="s">
        <v>12</v>
      </c>
      <c r="H6" s="58">
        <v>58.613999999999997</v>
      </c>
      <c r="I6" s="58">
        <v>402.851</v>
      </c>
      <c r="J6" s="58">
        <v>649.46199999999999</v>
      </c>
      <c r="K6" s="58">
        <v>1552.807</v>
      </c>
      <c r="L6" s="58">
        <v>9023.2919999999995</v>
      </c>
      <c r="M6" s="58">
        <v>656.08</v>
      </c>
      <c r="N6" s="76">
        <v>1222.27323</v>
      </c>
      <c r="O6" s="76">
        <v>501</v>
      </c>
      <c r="P6" s="76">
        <v>500</v>
      </c>
      <c r="Q6" s="76">
        <v>500</v>
      </c>
      <c r="R6" s="76">
        <v>500</v>
      </c>
      <c r="S6" s="58">
        <v>500</v>
      </c>
    </row>
    <row r="7" spans="1:19" ht="12" x14ac:dyDescent="0.2">
      <c r="A7" s="8"/>
      <c r="B7" s="2" t="s">
        <v>13</v>
      </c>
      <c r="C7" s="10" t="s">
        <v>14</v>
      </c>
      <c r="D7" s="10"/>
      <c r="E7" s="11" t="s">
        <v>11</v>
      </c>
      <c r="G7" s="57" t="s">
        <v>15</v>
      </c>
      <c r="H7" s="58">
        <v>455.94299999999998</v>
      </c>
      <c r="I7" s="58">
        <v>54.85</v>
      </c>
      <c r="J7" s="58">
        <v>378.22</v>
      </c>
      <c r="K7" s="58">
        <v>391.84300000000002</v>
      </c>
      <c r="L7" s="58">
        <v>378.86500000000001</v>
      </c>
      <c r="M7" s="58">
        <v>513.96400000000006</v>
      </c>
      <c r="N7" s="76">
        <v>589.03925000000004</v>
      </c>
      <c r="O7" s="76">
        <v>550</v>
      </c>
      <c r="P7" s="76">
        <v>556</v>
      </c>
      <c r="Q7" s="76">
        <v>546</v>
      </c>
      <c r="R7" s="76">
        <v>527</v>
      </c>
      <c r="S7" s="58">
        <v>512</v>
      </c>
    </row>
    <row r="8" spans="1:19" ht="12" x14ac:dyDescent="0.2">
      <c r="A8" s="8"/>
      <c r="B8" s="2" t="s">
        <v>16</v>
      </c>
      <c r="C8" s="10" t="s">
        <v>17</v>
      </c>
      <c r="D8" s="10"/>
      <c r="E8" s="11" t="s">
        <v>11</v>
      </c>
      <c r="G8" s="57" t="s">
        <v>18</v>
      </c>
      <c r="H8" s="58">
        <v>0</v>
      </c>
      <c r="I8" s="58">
        <v>0</v>
      </c>
      <c r="J8" s="58">
        <v>0</v>
      </c>
      <c r="K8" s="58">
        <v>0</v>
      </c>
      <c r="L8" s="58">
        <v>0</v>
      </c>
      <c r="M8" s="58">
        <v>0</v>
      </c>
      <c r="N8" s="76">
        <v>0</v>
      </c>
      <c r="O8" s="76">
        <v>0</v>
      </c>
      <c r="P8" s="76">
        <v>0</v>
      </c>
      <c r="Q8" s="76">
        <v>0</v>
      </c>
      <c r="R8" s="76">
        <v>0</v>
      </c>
      <c r="S8" s="58">
        <v>0</v>
      </c>
    </row>
    <row r="9" spans="1:19" x14ac:dyDescent="0.2">
      <c r="A9" s="8"/>
      <c r="B9" s="2" t="s">
        <v>19</v>
      </c>
      <c r="C9" s="10">
        <v>108</v>
      </c>
      <c r="D9" s="10"/>
      <c r="E9" s="12"/>
      <c r="G9" s="57" t="s">
        <v>20</v>
      </c>
      <c r="H9" s="58">
        <v>58.225000000000001</v>
      </c>
      <c r="I9" s="58">
        <v>55.487000000000002</v>
      </c>
      <c r="J9" s="58">
        <v>59.893000000000001</v>
      </c>
      <c r="K9" s="58">
        <v>44.423999999999999</v>
      </c>
      <c r="L9" s="58">
        <v>53.206000000000003</v>
      </c>
      <c r="M9" s="58">
        <v>49.061</v>
      </c>
      <c r="N9" s="76">
        <v>39.05012</v>
      </c>
      <c r="O9" s="76">
        <v>40</v>
      </c>
      <c r="P9" s="76">
        <v>40</v>
      </c>
      <c r="Q9" s="76">
        <v>40</v>
      </c>
      <c r="R9" s="76">
        <v>40</v>
      </c>
      <c r="S9" s="58">
        <v>40</v>
      </c>
    </row>
    <row r="10" spans="1:19" x14ac:dyDescent="0.2">
      <c r="A10" s="13"/>
      <c r="B10" s="2" t="s">
        <v>21</v>
      </c>
      <c r="C10" s="14">
        <v>15</v>
      </c>
      <c r="D10" s="14"/>
      <c r="E10" s="12"/>
      <c r="F10" s="13"/>
      <c r="G10" s="57" t="s">
        <v>22</v>
      </c>
      <c r="H10" s="56">
        <f t="shared" ref="H10:S10" si="2">SUM(H11:H16)</f>
        <v>6668.1819999999998</v>
      </c>
      <c r="I10" s="56">
        <f t="shared" si="2"/>
        <v>11071.573</v>
      </c>
      <c r="J10" s="56">
        <f t="shared" si="2"/>
        <v>10985.772999999999</v>
      </c>
      <c r="K10" s="56">
        <f t="shared" si="2"/>
        <v>11106.146000000001</v>
      </c>
      <c r="L10" s="56">
        <f t="shared" si="2"/>
        <v>11415.004999999999</v>
      </c>
      <c r="M10" s="56">
        <f t="shared" si="2"/>
        <v>14865.522000000001</v>
      </c>
      <c r="N10" s="77">
        <f t="shared" si="2"/>
        <v>21695.61508</v>
      </c>
      <c r="O10" s="77">
        <f t="shared" si="2"/>
        <v>20099.61508</v>
      </c>
      <c r="P10" s="77">
        <f t="shared" si="2"/>
        <v>18606</v>
      </c>
      <c r="Q10" s="77">
        <f t="shared" si="2"/>
        <v>17596</v>
      </c>
      <c r="R10" s="77">
        <f t="shared" si="2"/>
        <v>21377</v>
      </c>
      <c r="S10" s="56">
        <f t="shared" si="2"/>
        <v>25262</v>
      </c>
    </row>
    <row r="11" spans="1:19" ht="12" x14ac:dyDescent="0.2">
      <c r="A11" s="13"/>
      <c r="B11" s="2" t="s">
        <v>23</v>
      </c>
      <c r="C11" s="14">
        <v>150</v>
      </c>
      <c r="D11" s="14"/>
      <c r="E11" s="11" t="s">
        <v>11</v>
      </c>
      <c r="F11" s="13"/>
      <c r="G11" s="57" t="s">
        <v>24</v>
      </c>
      <c r="H11" s="58">
        <v>0</v>
      </c>
      <c r="I11" s="58">
        <v>0</v>
      </c>
      <c r="J11" s="58">
        <v>0</v>
      </c>
      <c r="K11" s="58">
        <v>0</v>
      </c>
      <c r="L11" s="58">
        <v>0</v>
      </c>
      <c r="M11" s="58">
        <v>0</v>
      </c>
      <c r="N11" s="76">
        <v>0</v>
      </c>
      <c r="O11" s="76">
        <v>0</v>
      </c>
      <c r="P11" s="76">
        <v>0</v>
      </c>
      <c r="Q11" s="76">
        <v>0</v>
      </c>
      <c r="R11" s="76">
        <v>0</v>
      </c>
      <c r="S11" s="58">
        <v>0</v>
      </c>
    </row>
    <row r="12" spans="1:19" ht="12" x14ac:dyDescent="0.2">
      <c r="A12" s="13"/>
      <c r="B12" s="2" t="s">
        <v>25</v>
      </c>
      <c r="C12" s="14">
        <v>151</v>
      </c>
      <c r="D12" s="14"/>
      <c r="E12" s="11" t="s">
        <v>11</v>
      </c>
      <c r="F12" s="13"/>
      <c r="G12" s="57" t="s">
        <v>26</v>
      </c>
      <c r="H12" s="58">
        <v>0</v>
      </c>
      <c r="I12" s="58">
        <v>0</v>
      </c>
      <c r="J12" s="58">
        <v>0</v>
      </c>
      <c r="K12" s="58">
        <v>0</v>
      </c>
      <c r="L12" s="58">
        <v>0</v>
      </c>
      <c r="M12" s="58">
        <v>0</v>
      </c>
      <c r="N12" s="76">
        <v>0</v>
      </c>
      <c r="O12" s="76">
        <v>0</v>
      </c>
      <c r="P12" s="76">
        <v>0</v>
      </c>
      <c r="Q12" s="76">
        <v>0</v>
      </c>
      <c r="R12" s="76">
        <v>0</v>
      </c>
      <c r="S12" s="58">
        <v>0</v>
      </c>
    </row>
    <row r="13" spans="1:19" ht="12" x14ac:dyDescent="0.2">
      <c r="A13" s="8"/>
      <c r="B13" s="2" t="s">
        <v>27</v>
      </c>
      <c r="C13" s="10" t="s">
        <v>28</v>
      </c>
      <c r="D13" s="10"/>
      <c r="E13" s="11" t="s">
        <v>11</v>
      </c>
      <c r="G13" s="57" t="s">
        <v>29</v>
      </c>
      <c r="H13" s="58">
        <v>0</v>
      </c>
      <c r="I13" s="58">
        <v>0</v>
      </c>
      <c r="J13" s="58">
        <v>0</v>
      </c>
      <c r="K13" s="58">
        <v>0</v>
      </c>
      <c r="L13" s="58">
        <v>0</v>
      </c>
      <c r="M13" s="58">
        <v>0</v>
      </c>
      <c r="N13" s="76">
        <v>0</v>
      </c>
      <c r="O13" s="76">
        <v>0</v>
      </c>
      <c r="P13" s="76">
        <v>0</v>
      </c>
      <c r="Q13" s="76">
        <v>0</v>
      </c>
      <c r="R13" s="76">
        <v>0</v>
      </c>
      <c r="S13" s="58">
        <v>0</v>
      </c>
    </row>
    <row r="14" spans="1:19" ht="12" x14ac:dyDescent="0.2">
      <c r="A14" s="8"/>
      <c r="B14" s="2" t="s">
        <v>30</v>
      </c>
      <c r="C14" s="10">
        <v>154</v>
      </c>
      <c r="D14" s="10"/>
      <c r="E14" s="11" t="s">
        <v>11</v>
      </c>
      <c r="G14" s="57" t="s">
        <v>31</v>
      </c>
      <c r="H14" s="58">
        <v>0</v>
      </c>
      <c r="I14" s="58">
        <v>0</v>
      </c>
      <c r="J14" s="58">
        <v>0</v>
      </c>
      <c r="K14" s="58">
        <v>0</v>
      </c>
      <c r="L14" s="58">
        <v>0</v>
      </c>
      <c r="M14" s="58">
        <v>0</v>
      </c>
      <c r="N14" s="76">
        <v>0</v>
      </c>
      <c r="O14" s="76">
        <v>0</v>
      </c>
      <c r="P14" s="76">
        <v>0</v>
      </c>
      <c r="Q14" s="76">
        <v>0</v>
      </c>
      <c r="R14" s="76">
        <v>0</v>
      </c>
      <c r="S14" s="58">
        <v>0</v>
      </c>
    </row>
    <row r="15" spans="1:19" ht="12" x14ac:dyDescent="0.2">
      <c r="A15" s="8"/>
      <c r="B15" s="2" t="s">
        <v>32</v>
      </c>
      <c r="C15" s="10" t="s">
        <v>33</v>
      </c>
      <c r="D15" s="10"/>
      <c r="E15" s="11" t="s">
        <v>11</v>
      </c>
      <c r="G15" s="57" t="s">
        <v>34</v>
      </c>
      <c r="H15" s="58">
        <v>6668.1819999999998</v>
      </c>
      <c r="I15" s="58">
        <v>11071.573</v>
      </c>
      <c r="J15" s="58">
        <v>10985.772999999999</v>
      </c>
      <c r="K15" s="58">
        <v>11106.146000000001</v>
      </c>
      <c r="L15" s="58">
        <v>11415.004999999999</v>
      </c>
      <c r="M15" s="58">
        <v>14865.522000000001</v>
      </c>
      <c r="N15" s="76">
        <v>21695.61508</v>
      </c>
      <c r="O15" s="76">
        <f>N15+O45</f>
        <v>20099.61508</v>
      </c>
      <c r="P15" s="76">
        <v>18606</v>
      </c>
      <c r="Q15" s="76">
        <f>17396+200</f>
        <v>17596</v>
      </c>
      <c r="R15" s="76">
        <f>16177+200+5000</f>
        <v>21377</v>
      </c>
      <c r="S15" s="76">
        <f>15062+200+5000+5000</f>
        <v>25262</v>
      </c>
    </row>
    <row r="16" spans="1:19" ht="12" x14ac:dyDescent="0.2">
      <c r="A16" s="8"/>
      <c r="B16" s="2" t="s">
        <v>35</v>
      </c>
      <c r="C16" s="10">
        <v>157</v>
      </c>
      <c r="D16" s="10"/>
      <c r="E16" s="11" t="s">
        <v>11</v>
      </c>
      <c r="G16" s="57" t="s">
        <v>36</v>
      </c>
      <c r="H16" s="58">
        <v>0</v>
      </c>
      <c r="I16" s="58">
        <v>0</v>
      </c>
      <c r="J16" s="58">
        <v>0</v>
      </c>
      <c r="K16" s="58">
        <v>0</v>
      </c>
      <c r="L16" s="58">
        <v>0</v>
      </c>
      <c r="M16" s="58">
        <v>0</v>
      </c>
      <c r="N16" s="76">
        <v>0</v>
      </c>
      <c r="O16" s="76">
        <v>0</v>
      </c>
      <c r="P16" s="76">
        <v>0</v>
      </c>
      <c r="Q16" s="76">
        <v>0</v>
      </c>
      <c r="R16" s="76">
        <v>0</v>
      </c>
      <c r="S16" s="58">
        <v>0</v>
      </c>
    </row>
    <row r="17" spans="1:19" ht="12" x14ac:dyDescent="0.2">
      <c r="A17" s="15"/>
      <c r="B17" s="2" t="s">
        <v>37</v>
      </c>
      <c r="C17" s="78" t="s">
        <v>38</v>
      </c>
      <c r="D17" s="15"/>
      <c r="E17" s="11" t="s">
        <v>11</v>
      </c>
      <c r="F17" s="16"/>
      <c r="G17" s="59" t="s">
        <v>39</v>
      </c>
      <c r="H17" s="60">
        <v>0</v>
      </c>
      <c r="I17" s="60">
        <v>0</v>
      </c>
      <c r="J17" s="60">
        <v>0</v>
      </c>
      <c r="K17" s="60">
        <v>0</v>
      </c>
      <c r="L17" s="60">
        <v>0</v>
      </c>
      <c r="M17" s="60">
        <v>0</v>
      </c>
      <c r="N17" s="80">
        <v>0</v>
      </c>
      <c r="O17" s="80">
        <v>0</v>
      </c>
      <c r="P17" s="80">
        <v>0</v>
      </c>
      <c r="Q17" s="80">
        <v>0</v>
      </c>
      <c r="R17" s="80">
        <v>0</v>
      </c>
      <c r="S17" s="60">
        <v>0</v>
      </c>
    </row>
    <row r="18" spans="1:19" x14ac:dyDescent="0.2">
      <c r="A18" s="8"/>
      <c r="B18" s="2" t="s">
        <v>40</v>
      </c>
      <c r="C18" s="10">
        <v>2</v>
      </c>
      <c r="D18" s="10"/>
      <c r="E18" s="12"/>
      <c r="G18" s="57" t="s">
        <v>41</v>
      </c>
      <c r="H18" s="56">
        <f t="shared" ref="H18:S18" si="3">H19+H27</f>
        <v>7240.9639999999999</v>
      </c>
      <c r="I18" s="56">
        <f t="shared" si="3"/>
        <v>11584.761</v>
      </c>
      <c r="J18" s="56">
        <f t="shared" si="3"/>
        <v>12073.346999999998</v>
      </c>
      <c r="K18" s="56">
        <f t="shared" si="3"/>
        <v>13095.22</v>
      </c>
      <c r="L18" s="56">
        <f t="shared" si="3"/>
        <v>20870.368999999999</v>
      </c>
      <c r="M18" s="56">
        <f t="shared" si="3"/>
        <v>16084.627999999999</v>
      </c>
      <c r="N18" s="77">
        <f t="shared" si="3"/>
        <v>23545.97768</v>
      </c>
      <c r="O18" s="77">
        <f t="shared" si="3"/>
        <v>21190.44627</v>
      </c>
      <c r="P18" s="77">
        <f t="shared" si="3"/>
        <v>19702.44627</v>
      </c>
      <c r="Q18" s="77">
        <f t="shared" si="3"/>
        <v>18682.44627</v>
      </c>
      <c r="R18" s="77">
        <f t="shared" si="3"/>
        <v>22444.44627</v>
      </c>
      <c r="S18" s="56">
        <f t="shared" si="3"/>
        <v>26314.44627</v>
      </c>
    </row>
    <row r="19" spans="1:19" x14ac:dyDescent="0.2">
      <c r="A19" s="8"/>
      <c r="B19" s="2" t="s">
        <v>42</v>
      </c>
      <c r="C19" s="10" t="s">
        <v>43</v>
      </c>
      <c r="D19" s="10"/>
      <c r="E19" s="12"/>
      <c r="G19" s="57" t="s">
        <v>44</v>
      </c>
      <c r="H19" s="56">
        <f t="shared" ref="H19:S19" si="4">SUM(H21:H26)</f>
        <v>1449.123</v>
      </c>
      <c r="I19" s="56">
        <f t="shared" si="4"/>
        <v>627.18600000000004</v>
      </c>
      <c r="J19" s="56">
        <f t="shared" si="4"/>
        <v>1474.5060000000001</v>
      </c>
      <c r="K19" s="56">
        <f t="shared" si="4"/>
        <v>2640.43</v>
      </c>
      <c r="L19" s="56">
        <f t="shared" si="4"/>
        <v>10099.922999999999</v>
      </c>
      <c r="M19" s="56">
        <f t="shared" si="4"/>
        <v>1914.6509999999998</v>
      </c>
      <c r="N19" s="77">
        <f t="shared" si="4"/>
        <v>2723.5314099999996</v>
      </c>
      <c r="O19" s="77">
        <f t="shared" si="4"/>
        <v>1964</v>
      </c>
      <c r="P19" s="77">
        <f t="shared" si="4"/>
        <v>1964</v>
      </c>
      <c r="Q19" s="77">
        <f t="shared" si="4"/>
        <v>1964</v>
      </c>
      <c r="R19" s="77">
        <f t="shared" si="4"/>
        <v>1964</v>
      </c>
      <c r="S19" s="56">
        <f t="shared" si="4"/>
        <v>1964</v>
      </c>
    </row>
    <row r="20" spans="1:19" ht="12" x14ac:dyDescent="0.2">
      <c r="A20" s="17"/>
      <c r="B20" s="2" t="s">
        <v>45</v>
      </c>
      <c r="C20" s="78" t="s">
        <v>46</v>
      </c>
      <c r="D20" s="15"/>
      <c r="E20" s="11" t="s">
        <v>11</v>
      </c>
      <c r="F20" s="17"/>
      <c r="G20" s="59" t="s">
        <v>47</v>
      </c>
      <c r="H20" s="61">
        <v>1366.7560000000001</v>
      </c>
      <c r="I20" s="61">
        <v>592.01199999999994</v>
      </c>
      <c r="J20" s="61">
        <v>1474.5060000000001</v>
      </c>
      <c r="K20" s="61">
        <v>2640.4290000000001</v>
      </c>
      <c r="L20" s="61">
        <v>10099.923000000001</v>
      </c>
      <c r="M20" s="61">
        <v>1914.6510000000001</v>
      </c>
      <c r="N20" s="61">
        <f>855.64021+829.30471+1038.58649</f>
        <v>2723.5314099999996</v>
      </c>
      <c r="O20" s="82">
        <v>1964</v>
      </c>
      <c r="P20" s="82">
        <v>1964</v>
      </c>
      <c r="Q20" s="82">
        <v>1964</v>
      </c>
      <c r="R20" s="82">
        <v>1964</v>
      </c>
      <c r="S20" s="61">
        <v>1964</v>
      </c>
    </row>
    <row r="21" spans="1:19" ht="12" x14ac:dyDescent="0.2">
      <c r="A21" s="8"/>
      <c r="B21" s="2" t="s">
        <v>48</v>
      </c>
      <c r="C21" s="18" t="s">
        <v>49</v>
      </c>
      <c r="D21" s="18"/>
      <c r="E21" s="11" t="s">
        <v>11</v>
      </c>
      <c r="G21" s="57" t="s">
        <v>50</v>
      </c>
      <c r="H21" s="58">
        <f>154.792+561.802+544.194</f>
        <v>1260.788</v>
      </c>
      <c r="I21" s="58">
        <f>8.591+212.009+324.22</f>
        <v>544.82000000000005</v>
      </c>
      <c r="J21" s="58">
        <f>173.294+637.68+628.359</f>
        <v>1439.3330000000001</v>
      </c>
      <c r="K21" s="58">
        <f>164.689+679.766+1795.975</f>
        <v>2640.43</v>
      </c>
      <c r="L21" s="58">
        <f>148.328+750.518+9201.077</f>
        <v>10099.922999999999</v>
      </c>
      <c r="M21" s="58">
        <f>219.889+777.117+917.645</f>
        <v>1914.6509999999998</v>
      </c>
      <c r="N21" s="76">
        <f>855.64021+829.30471+1038.58649</f>
        <v>2723.5314099999996</v>
      </c>
      <c r="O21" s="76">
        <v>1964</v>
      </c>
      <c r="P21" s="76">
        <v>1964</v>
      </c>
      <c r="Q21" s="76">
        <v>1964</v>
      </c>
      <c r="R21" s="76">
        <v>1964</v>
      </c>
      <c r="S21" s="76">
        <v>1964</v>
      </c>
    </row>
    <row r="22" spans="1:19" ht="12" x14ac:dyDescent="0.2">
      <c r="A22" s="8"/>
      <c r="B22" s="2" t="s">
        <v>51</v>
      </c>
      <c r="C22" s="10" t="s">
        <v>52</v>
      </c>
      <c r="D22" s="10"/>
      <c r="E22" s="11" t="s">
        <v>11</v>
      </c>
      <c r="G22" s="57" t="s">
        <v>53</v>
      </c>
      <c r="H22" s="58">
        <v>0</v>
      </c>
      <c r="I22" s="58">
        <v>0</v>
      </c>
      <c r="J22" s="58">
        <v>0</v>
      </c>
      <c r="K22" s="58">
        <v>0</v>
      </c>
      <c r="L22" s="58">
        <v>0</v>
      </c>
      <c r="M22" s="58">
        <v>0</v>
      </c>
      <c r="N22" s="76">
        <v>0</v>
      </c>
      <c r="O22" s="76">
        <v>0</v>
      </c>
      <c r="P22" s="76">
        <v>0</v>
      </c>
      <c r="Q22" s="76">
        <v>0</v>
      </c>
      <c r="R22" s="76">
        <v>0</v>
      </c>
      <c r="S22" s="58">
        <v>0</v>
      </c>
    </row>
    <row r="23" spans="1:19" ht="12" x14ac:dyDescent="0.2">
      <c r="A23" s="8"/>
      <c r="B23" s="2" t="s">
        <v>54</v>
      </c>
      <c r="C23" s="10">
        <v>257</v>
      </c>
      <c r="D23" s="10"/>
      <c r="E23" s="11" t="s">
        <v>11</v>
      </c>
      <c r="G23" s="57" t="s">
        <v>55</v>
      </c>
      <c r="H23" s="58">
        <v>0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76">
        <v>0</v>
      </c>
      <c r="O23" s="76">
        <v>0</v>
      </c>
      <c r="P23" s="76">
        <v>0</v>
      </c>
      <c r="Q23" s="76">
        <v>0</v>
      </c>
      <c r="R23" s="76">
        <v>0</v>
      </c>
      <c r="S23" s="58">
        <v>0</v>
      </c>
    </row>
    <row r="24" spans="1:19" ht="12" x14ac:dyDescent="0.2">
      <c r="A24" s="19"/>
      <c r="B24" s="2" t="s">
        <v>56</v>
      </c>
      <c r="C24" s="10" t="s">
        <v>57</v>
      </c>
      <c r="D24" s="10"/>
      <c r="E24" s="11" t="s">
        <v>11</v>
      </c>
      <c r="F24" s="19"/>
      <c r="G24" s="57" t="s">
        <v>58</v>
      </c>
      <c r="H24" s="58">
        <f>105.968+82.367</f>
        <v>188.33500000000001</v>
      </c>
      <c r="I24" s="58">
        <f>47.193+35.173</f>
        <v>82.366</v>
      </c>
      <c r="J24" s="58">
        <f>35.173</f>
        <v>35.173000000000002</v>
      </c>
      <c r="K24" s="58">
        <v>0</v>
      </c>
      <c r="L24" s="58">
        <v>0</v>
      </c>
      <c r="M24" s="58">
        <v>0</v>
      </c>
      <c r="N24" s="76">
        <v>0</v>
      </c>
      <c r="O24" s="76">
        <v>0</v>
      </c>
      <c r="P24" s="76">
        <v>0</v>
      </c>
      <c r="Q24" s="76">
        <v>0</v>
      </c>
      <c r="R24" s="76">
        <v>0</v>
      </c>
      <c r="S24" s="58">
        <v>0</v>
      </c>
    </row>
    <row r="25" spans="1:19" ht="12" x14ac:dyDescent="0.2">
      <c r="A25" s="19"/>
      <c r="B25" s="2" t="s">
        <v>59</v>
      </c>
      <c r="C25" s="10" t="s">
        <v>60</v>
      </c>
      <c r="D25" s="10"/>
      <c r="E25" s="11" t="s">
        <v>11</v>
      </c>
      <c r="F25" s="19"/>
      <c r="G25" s="57" t="s">
        <v>61</v>
      </c>
      <c r="H25" s="58">
        <v>0</v>
      </c>
      <c r="I25" s="58">
        <v>0</v>
      </c>
      <c r="J25" s="58">
        <v>0</v>
      </c>
      <c r="K25" s="58">
        <v>0</v>
      </c>
      <c r="L25" s="58">
        <v>0</v>
      </c>
      <c r="M25" s="58">
        <v>0</v>
      </c>
      <c r="N25" s="76">
        <v>0</v>
      </c>
      <c r="O25" s="76">
        <v>0</v>
      </c>
      <c r="P25" s="76">
        <v>0</v>
      </c>
      <c r="Q25" s="76">
        <v>0</v>
      </c>
      <c r="R25" s="76">
        <v>0</v>
      </c>
      <c r="S25" s="58">
        <v>0</v>
      </c>
    </row>
    <row r="26" spans="1:19" ht="12" x14ac:dyDescent="0.2">
      <c r="A26" s="8"/>
      <c r="B26" s="2" t="s">
        <v>62</v>
      </c>
      <c r="C26" s="10">
        <v>28</v>
      </c>
      <c r="D26" s="10"/>
      <c r="E26" s="11" t="s">
        <v>11</v>
      </c>
      <c r="G26" s="57" t="s">
        <v>63</v>
      </c>
      <c r="H26" s="58">
        <v>0</v>
      </c>
      <c r="I26" s="58">
        <v>0</v>
      </c>
      <c r="J26" s="58">
        <v>0</v>
      </c>
      <c r="K26" s="58">
        <v>0</v>
      </c>
      <c r="L26" s="58">
        <v>0</v>
      </c>
      <c r="M26" s="58">
        <v>0</v>
      </c>
      <c r="N26" s="76">
        <v>0</v>
      </c>
      <c r="O26" s="76">
        <v>0</v>
      </c>
      <c r="P26" s="76">
        <v>0</v>
      </c>
      <c r="Q26" s="76">
        <v>0</v>
      </c>
      <c r="R26" s="76">
        <v>0</v>
      </c>
      <c r="S26" s="58">
        <v>0</v>
      </c>
    </row>
    <row r="27" spans="1:19" x14ac:dyDescent="0.2">
      <c r="A27" s="8"/>
      <c r="B27" s="2" t="s">
        <v>64</v>
      </c>
      <c r="C27" s="10">
        <v>29</v>
      </c>
      <c r="D27" s="10"/>
      <c r="E27" s="12"/>
      <c r="G27" s="57" t="s">
        <v>65</v>
      </c>
      <c r="H27" s="56">
        <f t="shared" ref="H27:M27" si="5">SUM(H28:H30)</f>
        <v>5791.8409999999994</v>
      </c>
      <c r="I27" s="56">
        <f t="shared" si="5"/>
        <v>10957.575000000001</v>
      </c>
      <c r="J27" s="56">
        <f t="shared" si="5"/>
        <v>10598.840999999999</v>
      </c>
      <c r="K27" s="56">
        <f t="shared" si="5"/>
        <v>10454.789999999999</v>
      </c>
      <c r="L27" s="56">
        <f t="shared" si="5"/>
        <v>10770.446</v>
      </c>
      <c r="M27" s="56">
        <f t="shared" si="5"/>
        <v>14169.976999999999</v>
      </c>
      <c r="N27" s="77">
        <f t="shared" ref="N27:S27" si="6">SUM(N28:N30)</f>
        <v>20822.44627</v>
      </c>
      <c r="O27" s="77">
        <f t="shared" si="6"/>
        <v>19226.44627</v>
      </c>
      <c r="P27" s="77">
        <f t="shared" si="6"/>
        <v>17738.44627</v>
      </c>
      <c r="Q27" s="77">
        <f t="shared" si="6"/>
        <v>16718.44627</v>
      </c>
      <c r="R27" s="77">
        <f t="shared" si="6"/>
        <v>20480.44627</v>
      </c>
      <c r="S27" s="56">
        <f t="shared" si="6"/>
        <v>24350.44627</v>
      </c>
    </row>
    <row r="28" spans="1:19" ht="12" x14ac:dyDescent="0.2">
      <c r="A28" s="8"/>
      <c r="B28" s="2" t="s">
        <v>66</v>
      </c>
      <c r="C28" s="8" t="s">
        <v>67</v>
      </c>
      <c r="D28" s="8"/>
      <c r="E28" s="11" t="s">
        <v>11</v>
      </c>
      <c r="G28" s="57" t="s">
        <v>68</v>
      </c>
      <c r="H28" s="58">
        <v>9814.9159999999993</v>
      </c>
      <c r="I28" s="58">
        <v>0</v>
      </c>
      <c r="J28" s="58">
        <v>0</v>
      </c>
      <c r="K28" s="58">
        <v>0</v>
      </c>
      <c r="L28" s="58">
        <v>11184.487999999999</v>
      </c>
      <c r="M28" s="76">
        <v>11184.487999999999</v>
      </c>
      <c r="N28" s="76">
        <v>11184.487999999999</v>
      </c>
      <c r="O28" s="76">
        <v>11184.487999999999</v>
      </c>
      <c r="P28" s="76">
        <v>11184.487999999999</v>
      </c>
      <c r="Q28" s="76">
        <v>11184.487999999999</v>
      </c>
      <c r="R28" s="76">
        <v>11184.487999999999</v>
      </c>
      <c r="S28" s="76">
        <v>11184.487999999999</v>
      </c>
    </row>
    <row r="29" spans="1:19" ht="12" x14ac:dyDescent="0.2">
      <c r="A29" s="8"/>
      <c r="B29" s="2" t="s">
        <v>69</v>
      </c>
      <c r="C29" s="10">
        <v>298</v>
      </c>
      <c r="D29" s="10"/>
      <c r="E29" s="11" t="s">
        <v>11</v>
      </c>
      <c r="G29" s="57" t="s">
        <v>70</v>
      </c>
      <c r="H29" s="58">
        <v>0</v>
      </c>
      <c r="I29" s="58">
        <v>10989.206</v>
      </c>
      <c r="J29" s="58">
        <v>10957.575999999999</v>
      </c>
      <c r="K29" s="58">
        <f>J29+J30</f>
        <v>10598.840999999999</v>
      </c>
      <c r="L29" s="58">
        <v>-729.697</v>
      </c>
      <c r="M29" s="58">
        <v>-414.04199999999997</v>
      </c>
      <c r="N29" s="76">
        <v>2985.4881500000001</v>
      </c>
      <c r="O29" s="76">
        <f>N29+N30</f>
        <v>9637.9582699999992</v>
      </c>
      <c r="P29" s="76">
        <f>O29+O30</f>
        <v>8041.9582699999992</v>
      </c>
      <c r="Q29" s="76">
        <f>P29+P30</f>
        <v>6553.9582699999992</v>
      </c>
      <c r="R29" s="76">
        <f>Q29+Q30</f>
        <v>5533.9582699999992</v>
      </c>
      <c r="S29" s="76">
        <f>R29+R30</f>
        <v>9295.9582699999992</v>
      </c>
    </row>
    <row r="30" spans="1:19" ht="12" x14ac:dyDescent="0.2">
      <c r="A30" s="8"/>
      <c r="B30" s="2" t="s">
        <v>71</v>
      </c>
      <c r="C30" s="10">
        <v>299</v>
      </c>
      <c r="D30" s="10"/>
      <c r="E30" s="11" t="s">
        <v>72</v>
      </c>
      <c r="G30" s="57" t="s">
        <v>73</v>
      </c>
      <c r="H30" s="58">
        <v>-4023.0749999999998</v>
      </c>
      <c r="I30" s="58">
        <v>-31.631</v>
      </c>
      <c r="J30" s="58">
        <v>-358.73500000000001</v>
      </c>
      <c r="K30" s="58">
        <v>-144.05099999999999</v>
      </c>
      <c r="L30" s="58">
        <v>315.65499999999997</v>
      </c>
      <c r="M30" s="58">
        <v>3399.5309999999999</v>
      </c>
      <c r="N30" s="76">
        <v>6652.47012</v>
      </c>
      <c r="O30" s="76">
        <v>-1596</v>
      </c>
      <c r="P30" s="76">
        <v>-1488</v>
      </c>
      <c r="Q30" s="76">
        <v>-1020</v>
      </c>
      <c r="R30" s="76">
        <v>3762</v>
      </c>
      <c r="S30" s="58">
        <v>3870</v>
      </c>
    </row>
    <row r="31" spans="1:19" x14ac:dyDescent="0.2">
      <c r="A31" s="20"/>
      <c r="B31" s="2" t="s">
        <v>368</v>
      </c>
      <c r="C31" s="83" t="s">
        <v>369</v>
      </c>
      <c r="D31" s="21"/>
      <c r="E31" s="22"/>
      <c r="F31" s="20"/>
      <c r="G31" s="62" t="s">
        <v>74</v>
      </c>
      <c r="H31" s="63">
        <f t="shared" ref="H31:S31" si="7">H4-H18</f>
        <v>0</v>
      </c>
      <c r="I31" s="63">
        <f t="shared" si="7"/>
        <v>0</v>
      </c>
      <c r="J31" s="63">
        <f t="shared" si="7"/>
        <v>1.0000000020227162E-3</v>
      </c>
      <c r="K31" s="63">
        <f t="shared" si="7"/>
        <v>0</v>
      </c>
      <c r="L31" s="63">
        <f t="shared" si="7"/>
        <v>-1.0000000002037268E-3</v>
      </c>
      <c r="M31" s="63">
        <f t="shared" si="7"/>
        <v>-9.9999999838473741E-4</v>
      </c>
      <c r="N31" s="85">
        <f t="shared" si="7"/>
        <v>0</v>
      </c>
      <c r="O31" s="85">
        <f t="shared" si="7"/>
        <v>0.16880999999921187</v>
      </c>
      <c r="P31" s="85">
        <f t="shared" si="7"/>
        <v>-0.44627000000036787</v>
      </c>
      <c r="Q31" s="85">
        <f t="shared" si="7"/>
        <v>-0.44627000000036787</v>
      </c>
      <c r="R31" s="85">
        <f t="shared" si="7"/>
        <v>-0.44627000000036787</v>
      </c>
      <c r="S31" s="63">
        <f t="shared" si="7"/>
        <v>-0.44627000000036787</v>
      </c>
    </row>
    <row r="32" spans="1:19" x14ac:dyDescent="0.2">
      <c r="A32" s="8"/>
      <c r="B32" s="2"/>
      <c r="C32" s="10"/>
      <c r="D32" s="10"/>
      <c r="E32" s="9"/>
      <c r="G32" s="53" t="s">
        <v>75</v>
      </c>
      <c r="H32" s="64">
        <v>2011</v>
      </c>
      <c r="I32" s="64">
        <f t="shared" ref="I32:S32" si="8">H32+1</f>
        <v>2012</v>
      </c>
      <c r="J32" s="64">
        <f t="shared" si="8"/>
        <v>2013</v>
      </c>
      <c r="K32" s="64">
        <f t="shared" si="8"/>
        <v>2014</v>
      </c>
      <c r="L32" s="64">
        <f t="shared" si="8"/>
        <v>2015</v>
      </c>
      <c r="M32" s="64">
        <f t="shared" si="8"/>
        <v>2016</v>
      </c>
      <c r="N32" s="87">
        <f t="shared" si="8"/>
        <v>2017</v>
      </c>
      <c r="O32" s="87">
        <f t="shared" si="8"/>
        <v>2018</v>
      </c>
      <c r="P32" s="87">
        <f t="shared" si="8"/>
        <v>2019</v>
      </c>
      <c r="Q32" s="87">
        <f t="shared" si="8"/>
        <v>2020</v>
      </c>
      <c r="R32" s="87">
        <f t="shared" si="8"/>
        <v>2021</v>
      </c>
      <c r="S32" s="64">
        <f t="shared" si="8"/>
        <v>2022</v>
      </c>
    </row>
    <row r="33" spans="1:19" x14ac:dyDescent="0.2">
      <c r="A33" s="8"/>
      <c r="B33" s="2" t="s">
        <v>76</v>
      </c>
      <c r="C33" s="10">
        <v>3</v>
      </c>
      <c r="D33" s="10"/>
      <c r="E33" s="9"/>
      <c r="G33" s="55" t="s">
        <v>77</v>
      </c>
      <c r="H33" s="56">
        <f t="shared" ref="H33:S33" si="9">SUM(H34:H37)</f>
        <v>2576.7800000000002</v>
      </c>
      <c r="I33" s="56">
        <f t="shared" si="9"/>
        <v>7971.1429999999991</v>
      </c>
      <c r="J33" s="56">
        <f t="shared" si="9"/>
        <v>7834.697000000001</v>
      </c>
      <c r="K33" s="56">
        <f t="shared" si="9"/>
        <v>8245.1549999999988</v>
      </c>
      <c r="L33" s="56">
        <f t="shared" si="9"/>
        <v>9044.93</v>
      </c>
      <c r="M33" s="56">
        <f t="shared" si="9"/>
        <v>13108.067000000001</v>
      </c>
      <c r="N33" s="77">
        <f t="shared" si="9"/>
        <v>16926.2219</v>
      </c>
      <c r="O33" s="77">
        <f t="shared" si="9"/>
        <v>10123.946</v>
      </c>
      <c r="P33" s="77">
        <f t="shared" si="9"/>
        <v>10980.0347</v>
      </c>
      <c r="Q33" s="77">
        <f t="shared" si="9"/>
        <v>12243.484934999999</v>
      </c>
      <c r="R33" s="77">
        <f t="shared" si="9"/>
        <v>18231.012181749997</v>
      </c>
      <c r="S33" s="56">
        <f t="shared" si="9"/>
        <v>19297.762290837501</v>
      </c>
    </row>
    <row r="34" spans="1:19" ht="12" x14ac:dyDescent="0.2">
      <c r="A34" s="8"/>
      <c r="B34" s="2" t="s">
        <v>78</v>
      </c>
      <c r="C34" s="10">
        <v>30</v>
      </c>
      <c r="D34" s="10"/>
      <c r="E34" s="11" t="s">
        <v>11</v>
      </c>
      <c r="G34" s="57" t="s">
        <v>79</v>
      </c>
      <c r="H34" s="58">
        <v>0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76">
        <v>0</v>
      </c>
      <c r="O34" s="76">
        <v>0</v>
      </c>
      <c r="P34" s="76">
        <v>0</v>
      </c>
      <c r="Q34" s="76">
        <v>0</v>
      </c>
      <c r="R34" s="76">
        <v>0</v>
      </c>
      <c r="S34" s="58">
        <v>0</v>
      </c>
    </row>
    <row r="35" spans="1:19" ht="12" x14ac:dyDescent="0.2">
      <c r="A35" s="8"/>
      <c r="B35" s="2" t="s">
        <v>80</v>
      </c>
      <c r="C35" s="10">
        <v>32</v>
      </c>
      <c r="D35" s="10"/>
      <c r="E35" s="11" t="s">
        <v>11</v>
      </c>
      <c r="G35" s="57" t="s">
        <v>81</v>
      </c>
      <c r="H35" s="58">
        <v>2244.5990000000002</v>
      </c>
      <c r="I35" s="58">
        <v>2395.5749999999998</v>
      </c>
      <c r="J35" s="58">
        <v>2257.4810000000002</v>
      </c>
      <c r="K35" s="58">
        <v>2391.098</v>
      </c>
      <c r="L35" s="58">
        <v>2426.66</v>
      </c>
      <c r="M35" s="58">
        <v>2764.2779999999998</v>
      </c>
      <c r="N35" s="76">
        <v>2803.9800399999999</v>
      </c>
      <c r="O35" s="76">
        <v>2939.8139999999999</v>
      </c>
      <c r="P35" s="76">
        <f>O35*1.05</f>
        <v>3086.8047000000001</v>
      </c>
      <c r="Q35" s="76">
        <f>P35*1.05</f>
        <v>3241.1449350000003</v>
      </c>
      <c r="R35" s="76">
        <f>Q35*1.05</f>
        <v>3403.2021817500004</v>
      </c>
      <c r="S35" s="76">
        <f>R35*1.05</f>
        <v>3573.3622908375005</v>
      </c>
    </row>
    <row r="36" spans="1:19" ht="12" x14ac:dyDescent="0.2">
      <c r="A36" s="13"/>
      <c r="B36" s="2" t="s">
        <v>82</v>
      </c>
      <c r="C36" s="10">
        <v>35</v>
      </c>
      <c r="D36" s="10"/>
      <c r="E36" s="11" t="s">
        <v>11</v>
      </c>
      <c r="F36" s="13"/>
      <c r="G36" s="459" t="s">
        <v>83</v>
      </c>
      <c r="H36" s="460">
        <v>332.18099999999998</v>
      </c>
      <c r="I36" s="460">
        <f>5387.355+188.213</f>
        <v>5575.5679999999993</v>
      </c>
      <c r="J36" s="460">
        <v>5577.3890000000001</v>
      </c>
      <c r="K36" s="460">
        <v>5854.0569999999998</v>
      </c>
      <c r="L36" s="460">
        <v>6617.0280000000002</v>
      </c>
      <c r="M36" s="460">
        <v>10343.49</v>
      </c>
      <c r="N36" s="76">
        <v>14122.24186</v>
      </c>
      <c r="O36" s="76">
        <v>7184.1319999999996</v>
      </c>
      <c r="P36" s="76">
        <f>(6051*1.13)+550+(176*1.1)+55+72+80+5+100</f>
        <v>7893.23</v>
      </c>
      <c r="Q36" s="76">
        <f>(6838*1.13)+550+(194*1.1)+55+72+80+5+100+200</f>
        <v>9002.3399999999983</v>
      </c>
      <c r="R36" s="76">
        <f>(7727*1.13)+550+(213*1.1)+55+72+80+5+100+5000</f>
        <v>14827.809999999998</v>
      </c>
      <c r="S36" s="76">
        <f>(8500*1.13)+550+(234*1.1)+55+72+80+5+100+5000</f>
        <v>15724.4</v>
      </c>
    </row>
    <row r="37" spans="1:19" ht="12" x14ac:dyDescent="0.2">
      <c r="A37" s="8"/>
      <c r="B37" s="2" t="s">
        <v>84</v>
      </c>
      <c r="C37" s="10">
        <v>38</v>
      </c>
      <c r="D37" s="10"/>
      <c r="E37" s="11" t="s">
        <v>72</v>
      </c>
      <c r="G37" s="57" t="s">
        <v>85</v>
      </c>
      <c r="H37" s="58">
        <v>0</v>
      </c>
      <c r="I37" s="58">
        <v>0</v>
      </c>
      <c r="J37" s="58">
        <v>-0.17299999999999999</v>
      </c>
      <c r="K37" s="58">
        <v>0</v>
      </c>
      <c r="L37" s="58">
        <v>1.242</v>
      </c>
      <c r="M37" s="58">
        <v>0.29899999999999999</v>
      </c>
      <c r="N37" s="76"/>
      <c r="O37" s="76">
        <v>0</v>
      </c>
      <c r="P37" s="76">
        <v>0</v>
      </c>
      <c r="Q37" s="76">
        <v>0</v>
      </c>
      <c r="R37" s="76">
        <v>0</v>
      </c>
      <c r="S37" s="58">
        <v>0</v>
      </c>
    </row>
    <row r="38" spans="1:19" x14ac:dyDescent="0.2">
      <c r="A38" s="8"/>
      <c r="B38" s="2" t="s">
        <v>86</v>
      </c>
      <c r="C38" s="10">
        <v>4</v>
      </c>
      <c r="D38" s="10"/>
      <c r="E38" s="23"/>
      <c r="G38" s="57" t="s">
        <v>87</v>
      </c>
      <c r="H38" s="56">
        <f t="shared" ref="H38:S38" si="10">H39+H40</f>
        <v>0</v>
      </c>
      <c r="I38" s="56">
        <f t="shared" si="10"/>
        <v>-477.77199999999999</v>
      </c>
      <c r="J38" s="56">
        <f t="shared" si="10"/>
        <v>-135.19900000000001</v>
      </c>
      <c r="K38" s="56">
        <f t="shared" si="10"/>
        <v>0</v>
      </c>
      <c r="L38" s="56">
        <f t="shared" si="10"/>
        <v>0</v>
      </c>
      <c r="M38" s="56">
        <f t="shared" si="10"/>
        <v>0</v>
      </c>
      <c r="N38" s="77">
        <f t="shared" si="10"/>
        <v>0</v>
      </c>
      <c r="O38" s="77">
        <f t="shared" si="10"/>
        <v>0</v>
      </c>
      <c r="P38" s="77">
        <f t="shared" si="10"/>
        <v>0</v>
      </c>
      <c r="Q38" s="77">
        <f t="shared" si="10"/>
        <v>0</v>
      </c>
      <c r="R38" s="77">
        <f t="shared" si="10"/>
        <v>0</v>
      </c>
      <c r="S38" s="56">
        <f t="shared" si="10"/>
        <v>0</v>
      </c>
    </row>
    <row r="39" spans="1:19" ht="12" x14ac:dyDescent="0.2">
      <c r="A39" s="8"/>
      <c r="B39" s="2" t="s">
        <v>88</v>
      </c>
      <c r="C39" s="10">
        <v>41</v>
      </c>
      <c r="D39" s="10"/>
      <c r="E39" s="11" t="s">
        <v>89</v>
      </c>
      <c r="G39" s="57" t="s">
        <v>90</v>
      </c>
      <c r="H39" s="58">
        <v>0</v>
      </c>
      <c r="I39" s="58">
        <v>0</v>
      </c>
      <c r="J39" s="58">
        <v>0</v>
      </c>
      <c r="K39" s="58">
        <v>0</v>
      </c>
      <c r="L39" s="58">
        <v>0</v>
      </c>
      <c r="M39" s="58">
        <v>0</v>
      </c>
      <c r="N39" s="76">
        <v>0</v>
      </c>
      <c r="O39" s="76">
        <v>0</v>
      </c>
      <c r="P39" s="76">
        <v>0</v>
      </c>
      <c r="Q39" s="76">
        <v>0</v>
      </c>
      <c r="R39" s="76">
        <v>0</v>
      </c>
      <c r="S39" s="58">
        <v>0</v>
      </c>
    </row>
    <row r="40" spans="1:19" ht="12" x14ac:dyDescent="0.2">
      <c r="A40" s="8"/>
      <c r="B40" s="2" t="s">
        <v>91</v>
      </c>
      <c r="C40" s="10">
        <v>45</v>
      </c>
      <c r="D40" s="10"/>
      <c r="E40" s="11" t="s">
        <v>89</v>
      </c>
      <c r="G40" s="57" t="s">
        <v>92</v>
      </c>
      <c r="H40" s="58">
        <v>0</v>
      </c>
      <c r="I40" s="461">
        <f>-188.213-209.835-79.724</f>
        <v>-477.77199999999999</v>
      </c>
      <c r="J40" s="58">
        <v>-135.19900000000001</v>
      </c>
      <c r="K40" s="58">
        <v>0</v>
      </c>
      <c r="L40" s="58">
        <v>0</v>
      </c>
      <c r="M40" s="58">
        <v>0</v>
      </c>
      <c r="N40" s="76">
        <v>0</v>
      </c>
      <c r="O40" s="76">
        <v>0</v>
      </c>
      <c r="P40" s="76">
        <v>0</v>
      </c>
      <c r="Q40" s="76">
        <v>0</v>
      </c>
      <c r="R40" s="76">
        <v>0</v>
      </c>
      <c r="S40" s="58">
        <v>0</v>
      </c>
    </row>
    <row r="41" spans="1:19" x14ac:dyDescent="0.2">
      <c r="A41" s="13"/>
      <c r="B41" s="2" t="s">
        <v>93</v>
      </c>
      <c r="C41" s="10" t="s">
        <v>94</v>
      </c>
      <c r="D41" s="10"/>
      <c r="E41" s="23"/>
      <c r="F41" s="13"/>
      <c r="G41" s="57" t="s">
        <v>95</v>
      </c>
      <c r="H41" s="56">
        <f t="shared" ref="H41:M41" si="11">SUM(H42:H45)</f>
        <v>-6591.6319999999996</v>
      </c>
      <c r="I41" s="56">
        <f t="shared" si="11"/>
        <v>-7519.8060000000005</v>
      </c>
      <c r="J41" s="56">
        <f t="shared" si="11"/>
        <v>-8056.2979999999998</v>
      </c>
      <c r="K41" s="56">
        <f t="shared" si="11"/>
        <v>-8388.8240000000005</v>
      </c>
      <c r="L41" s="56">
        <f t="shared" si="11"/>
        <v>-8744.8860000000004</v>
      </c>
      <c r="M41" s="56">
        <f t="shared" si="11"/>
        <v>-9723.1359999999986</v>
      </c>
      <c r="N41" s="77">
        <f t="shared" ref="N41:S41" si="12">SUM(N42:N45)</f>
        <v>-10274.039779999999</v>
      </c>
      <c r="O41" s="77">
        <f t="shared" si="12"/>
        <v>-11719.946</v>
      </c>
      <c r="P41" s="77">
        <f t="shared" si="12"/>
        <v>-12468.451800000001</v>
      </c>
      <c r="Q41" s="77">
        <f t="shared" si="12"/>
        <v>-13263.40948</v>
      </c>
      <c r="R41" s="77">
        <f t="shared" si="12"/>
        <v>-14468.9432548</v>
      </c>
      <c r="S41" s="56">
        <f t="shared" si="12"/>
        <v>-15427.568449340002</v>
      </c>
    </row>
    <row r="42" spans="1:19" ht="12" x14ac:dyDescent="0.2">
      <c r="A42" s="8"/>
      <c r="B42" s="2" t="s">
        <v>96</v>
      </c>
      <c r="C42" s="10">
        <v>50</v>
      </c>
      <c r="D42" s="10"/>
      <c r="E42" s="11" t="s">
        <v>89</v>
      </c>
      <c r="G42" s="57" t="s">
        <v>97</v>
      </c>
      <c r="H42" s="58">
        <v>-3949.116</v>
      </c>
      <c r="I42" s="58">
        <f>-3997.987-2.554</f>
        <v>-4000.5410000000002</v>
      </c>
      <c r="J42" s="58">
        <v>-4652.4840000000004</v>
      </c>
      <c r="K42" s="58">
        <v>-4927.41</v>
      </c>
      <c r="L42" s="58">
        <v>-5395.5330000000004</v>
      </c>
      <c r="M42" s="58">
        <v>-5751.02</v>
      </c>
      <c r="N42" s="76">
        <v>-6112.7950799999999</v>
      </c>
      <c r="O42" s="76">
        <v>-6886.17</v>
      </c>
      <c r="P42" s="76">
        <f>O42*1.1</f>
        <v>-7574.7870000000003</v>
      </c>
      <c r="Q42" s="76">
        <f>P42*1.12</f>
        <v>-8483.7614400000002</v>
      </c>
      <c r="R42" s="76">
        <f>Q42*1.12</f>
        <v>-9501.8128128000008</v>
      </c>
      <c r="S42" s="76">
        <f>R42*1.1</f>
        <v>-10451.994094080002</v>
      </c>
    </row>
    <row r="43" spans="1:19" ht="12" x14ac:dyDescent="0.2">
      <c r="A43" s="8"/>
      <c r="B43" s="2" t="s">
        <v>98</v>
      </c>
      <c r="C43" s="10">
        <v>55</v>
      </c>
      <c r="D43" s="10"/>
      <c r="E43" s="11" t="s">
        <v>89</v>
      </c>
      <c r="G43" s="459" t="s">
        <v>99</v>
      </c>
      <c r="H43" s="460">
        <v>-2377.6860000000001</v>
      </c>
      <c r="I43" s="460">
        <f>-2619.597-7.455</f>
        <v>-2627.0520000000001</v>
      </c>
      <c r="J43" s="460">
        <v>-2885.6219999999998</v>
      </c>
      <c r="K43" s="460">
        <v>-2935.348</v>
      </c>
      <c r="L43" s="460">
        <v>-2813.0450000000001</v>
      </c>
      <c r="M43" s="460">
        <v>-3241.2220000000002</v>
      </c>
      <c r="N43" s="76">
        <v>-3137.2870400000002</v>
      </c>
      <c r="O43" s="76">
        <v>-3237.7759999999998</v>
      </c>
      <c r="P43" s="76">
        <f>O43*1.05</f>
        <v>-3399.6648</v>
      </c>
      <c r="Q43" s="76">
        <f>P43*1.05</f>
        <v>-3569.64804</v>
      </c>
      <c r="R43" s="76">
        <f>Q43*1.05</f>
        <v>-3748.1304420000001</v>
      </c>
      <c r="S43" s="76">
        <f>R43*1.03</f>
        <v>-3860.5743552600002</v>
      </c>
    </row>
    <row r="44" spans="1:19" ht="12" x14ac:dyDescent="0.2">
      <c r="A44" s="13"/>
      <c r="B44" s="2" t="s">
        <v>100</v>
      </c>
      <c r="C44" s="10">
        <v>60</v>
      </c>
      <c r="D44" s="10"/>
      <c r="E44" s="11" t="s">
        <v>89</v>
      </c>
      <c r="F44" s="13"/>
      <c r="G44" s="57" t="s">
        <v>101</v>
      </c>
      <c r="H44" s="58">
        <v>-51.996000000000002</v>
      </c>
      <c r="I44" s="58">
        <v>-617.75800000000004</v>
      </c>
      <c r="J44" s="58">
        <v>-1.036</v>
      </c>
      <c r="K44" s="58">
        <v>-1.1739999999999999</v>
      </c>
      <c r="L44" s="58">
        <v>-2.0590000000000002</v>
      </c>
      <c r="M44" s="58">
        <v>-3.1840000000000002</v>
      </c>
      <c r="N44" s="76">
        <v>-4.2591099999999997</v>
      </c>
      <c r="O44" s="76">
        <v>0</v>
      </c>
      <c r="P44" s="76">
        <v>0</v>
      </c>
      <c r="Q44" s="76">
        <v>0</v>
      </c>
      <c r="R44" s="76">
        <v>0</v>
      </c>
      <c r="S44" s="58">
        <v>0</v>
      </c>
    </row>
    <row r="45" spans="1:19" ht="12" x14ac:dyDescent="0.2">
      <c r="A45" s="8"/>
      <c r="B45" s="2" t="s">
        <v>102</v>
      </c>
      <c r="C45" s="10">
        <v>61</v>
      </c>
      <c r="D45" s="10"/>
      <c r="E45" s="11" t="s">
        <v>89</v>
      </c>
      <c r="G45" s="57" t="s">
        <v>103</v>
      </c>
      <c r="H45" s="58">
        <v>-212.834</v>
      </c>
      <c r="I45" s="58">
        <v>-274.45499999999998</v>
      </c>
      <c r="J45" s="58">
        <v>-517.15599999999995</v>
      </c>
      <c r="K45" s="58">
        <v>-524.89200000000005</v>
      </c>
      <c r="L45" s="58">
        <v>-534.24900000000002</v>
      </c>
      <c r="M45" s="58">
        <v>-727.71</v>
      </c>
      <c r="N45" s="76">
        <v>-1019.69855</v>
      </c>
      <c r="O45" s="76">
        <v>-1596</v>
      </c>
      <c r="P45" s="76">
        <v>-1494</v>
      </c>
      <c r="Q45" s="76">
        <v>-1210</v>
      </c>
      <c r="R45" s="76">
        <v>-1219</v>
      </c>
      <c r="S45" s="58">
        <v>-1115</v>
      </c>
    </row>
    <row r="46" spans="1:19" x14ac:dyDescent="0.2">
      <c r="A46" s="8"/>
      <c r="B46" s="2" t="s">
        <v>104</v>
      </c>
      <c r="C46" s="10"/>
      <c r="D46" s="10"/>
      <c r="E46" s="9"/>
      <c r="G46" s="57" t="s">
        <v>105</v>
      </c>
      <c r="H46" s="56">
        <f t="shared" ref="H46:S46" si="13">H33+H38+H41</f>
        <v>-4014.8519999999994</v>
      </c>
      <c r="I46" s="56">
        <f t="shared" si="13"/>
        <v>-26.43500000000131</v>
      </c>
      <c r="J46" s="56">
        <f t="shared" si="13"/>
        <v>-356.79999999999836</v>
      </c>
      <c r="K46" s="56">
        <f t="shared" si="13"/>
        <v>-143.66900000000169</v>
      </c>
      <c r="L46" s="56">
        <f t="shared" si="13"/>
        <v>300.04399999999987</v>
      </c>
      <c r="M46" s="56">
        <f t="shared" si="13"/>
        <v>3384.9310000000023</v>
      </c>
      <c r="N46" s="77">
        <f t="shared" si="13"/>
        <v>6652.1821200000013</v>
      </c>
      <c r="O46" s="77">
        <f>O33+O38+O41</f>
        <v>-1596</v>
      </c>
      <c r="P46" s="77">
        <f t="shared" si="13"/>
        <v>-1488.4171000000006</v>
      </c>
      <c r="Q46" s="77">
        <f t="shared" si="13"/>
        <v>-1019.9245450000017</v>
      </c>
      <c r="R46" s="77">
        <f t="shared" si="13"/>
        <v>3762.0689269499962</v>
      </c>
      <c r="S46" s="56">
        <f t="shared" si="13"/>
        <v>3870.1938414974993</v>
      </c>
    </row>
    <row r="47" spans="1:19" ht="12" x14ac:dyDescent="0.2">
      <c r="A47" s="8"/>
      <c r="B47" s="2" t="s">
        <v>106</v>
      </c>
      <c r="C47" s="10">
        <v>65</v>
      </c>
      <c r="D47" s="10"/>
      <c r="E47" s="11" t="s">
        <v>72</v>
      </c>
      <c r="G47" s="57" t="s">
        <v>107</v>
      </c>
      <c r="H47" s="58">
        <v>-8.2230000000000008</v>
      </c>
      <c r="I47" s="58">
        <v>-5.1959999999999997</v>
      </c>
      <c r="J47" s="58">
        <v>-2.1080000000000001</v>
      </c>
      <c r="K47" s="58">
        <v>-0.42899999999999999</v>
      </c>
      <c r="L47" s="58">
        <v>15.611000000000001</v>
      </c>
      <c r="M47" s="58">
        <v>14.598000000000001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</row>
    <row r="48" spans="1:19" x14ac:dyDescent="0.2">
      <c r="A48" s="8"/>
      <c r="B48" s="2" t="s">
        <v>108</v>
      </c>
      <c r="C48" s="10"/>
      <c r="D48" s="10"/>
      <c r="E48" s="9"/>
      <c r="G48" s="57" t="s">
        <v>109</v>
      </c>
      <c r="H48" s="56">
        <f t="shared" ref="H48:S48" si="14">H46+H47</f>
        <v>-4023.0749999999994</v>
      </c>
      <c r="I48" s="56">
        <f t="shared" si="14"/>
        <v>-31.631000000001308</v>
      </c>
      <c r="J48" s="56">
        <f t="shared" si="14"/>
        <v>-358.90799999999837</v>
      </c>
      <c r="K48" s="56">
        <f t="shared" si="14"/>
        <v>-144.09800000000169</v>
      </c>
      <c r="L48" s="56">
        <f t="shared" si="14"/>
        <v>315.65499999999986</v>
      </c>
      <c r="M48" s="56">
        <f t="shared" si="14"/>
        <v>3399.5290000000023</v>
      </c>
      <c r="N48" s="77">
        <f t="shared" si="14"/>
        <v>6652.1821200000013</v>
      </c>
      <c r="O48" s="77">
        <f t="shared" si="14"/>
        <v>-1596</v>
      </c>
      <c r="P48" s="77">
        <f t="shared" si="14"/>
        <v>-1488.4171000000006</v>
      </c>
      <c r="Q48" s="77">
        <f t="shared" si="14"/>
        <v>-1019.9245450000017</v>
      </c>
      <c r="R48" s="77">
        <f t="shared" si="14"/>
        <v>3762.0689269499962</v>
      </c>
      <c r="S48" s="56">
        <f t="shared" si="14"/>
        <v>3870.1938414974993</v>
      </c>
    </row>
    <row r="49" spans="1:19" ht="12" x14ac:dyDescent="0.2">
      <c r="A49" s="8"/>
      <c r="B49" s="2" t="s">
        <v>110</v>
      </c>
      <c r="C49" s="10">
        <v>68</v>
      </c>
      <c r="D49" s="10"/>
      <c r="E49" s="11" t="s">
        <v>89</v>
      </c>
      <c r="G49" s="57" t="s">
        <v>111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76">
        <v>0</v>
      </c>
      <c r="O49" s="76">
        <v>0</v>
      </c>
      <c r="P49" s="76">
        <v>0</v>
      </c>
      <c r="Q49" s="76">
        <v>0</v>
      </c>
      <c r="R49" s="76">
        <v>0</v>
      </c>
      <c r="S49" s="58">
        <v>0</v>
      </c>
    </row>
    <row r="50" spans="1:19" ht="12" x14ac:dyDescent="0.2">
      <c r="A50" s="8"/>
      <c r="B50" s="2" t="s">
        <v>112</v>
      </c>
      <c r="C50" s="10">
        <v>69</v>
      </c>
      <c r="D50" s="10"/>
      <c r="E50" s="11" t="s">
        <v>11</v>
      </c>
      <c r="G50" s="57" t="s">
        <v>113</v>
      </c>
      <c r="H50" s="58">
        <v>0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76">
        <v>0</v>
      </c>
      <c r="O50" s="76">
        <v>0</v>
      </c>
      <c r="P50" s="76">
        <v>0</v>
      </c>
      <c r="Q50" s="76">
        <v>0</v>
      </c>
      <c r="R50" s="76">
        <v>0</v>
      </c>
      <c r="S50" s="58">
        <v>0</v>
      </c>
    </row>
    <row r="51" spans="1:19" x14ac:dyDescent="0.2">
      <c r="A51" s="8"/>
      <c r="B51" s="2" t="s">
        <v>114</v>
      </c>
      <c r="C51" s="10"/>
      <c r="D51" s="10"/>
      <c r="E51" s="9"/>
      <c r="G51" s="57" t="s">
        <v>115</v>
      </c>
      <c r="H51" s="56">
        <f t="shared" ref="H51:S51" si="15">H48+H49+H50</f>
        <v>-4023.0749999999994</v>
      </c>
      <c r="I51" s="56">
        <f t="shared" si="15"/>
        <v>-31.631000000001308</v>
      </c>
      <c r="J51" s="56">
        <f t="shared" si="15"/>
        <v>-358.90799999999837</v>
      </c>
      <c r="K51" s="56">
        <f t="shared" si="15"/>
        <v>-144.09800000000169</v>
      </c>
      <c r="L51" s="56">
        <f t="shared" si="15"/>
        <v>315.65499999999986</v>
      </c>
      <c r="M51" s="56">
        <f t="shared" si="15"/>
        <v>3399.5290000000023</v>
      </c>
      <c r="N51" s="77">
        <f t="shared" si="15"/>
        <v>6652.1821200000013</v>
      </c>
      <c r="O51" s="77">
        <f>O48+O49+O50</f>
        <v>-1596</v>
      </c>
      <c r="P51" s="77">
        <f t="shared" si="15"/>
        <v>-1488.4171000000006</v>
      </c>
      <c r="Q51" s="77">
        <f t="shared" si="15"/>
        <v>-1019.9245450000017</v>
      </c>
      <c r="R51" s="77">
        <f t="shared" si="15"/>
        <v>3762.0689269499962</v>
      </c>
      <c r="S51" s="56">
        <f t="shared" si="15"/>
        <v>3870.1938414974993</v>
      </c>
    </row>
    <row r="52" spans="1:19" x14ac:dyDescent="0.2">
      <c r="A52" s="24"/>
      <c r="B52" s="2" t="s">
        <v>370</v>
      </c>
      <c r="C52" s="83" t="s">
        <v>371</v>
      </c>
      <c r="D52" s="25"/>
      <c r="E52" s="26"/>
      <c r="F52" s="24"/>
      <c r="G52" s="62" t="s">
        <v>116</v>
      </c>
      <c r="H52" s="63">
        <f t="shared" ref="H52:S52" si="16">H30-H51</f>
        <v>0</v>
      </c>
      <c r="I52" s="63">
        <f t="shared" si="16"/>
        <v>1.3073986337985843E-12</v>
      </c>
      <c r="J52" s="63">
        <f t="shared" si="16"/>
        <v>0.17299999999835336</v>
      </c>
      <c r="K52" s="63">
        <f t="shared" si="16"/>
        <v>4.7000000001702347E-2</v>
      </c>
      <c r="L52" s="63">
        <f t="shared" si="16"/>
        <v>0</v>
      </c>
      <c r="M52" s="63">
        <f t="shared" si="16"/>
        <v>1.9999999976789695E-3</v>
      </c>
      <c r="N52" s="85">
        <f t="shared" si="16"/>
        <v>0.28799999999864667</v>
      </c>
      <c r="O52" s="85">
        <f t="shared" si="16"/>
        <v>0</v>
      </c>
      <c r="P52" s="85">
        <f t="shared" si="16"/>
        <v>0.41710000000057335</v>
      </c>
      <c r="Q52" s="85">
        <f t="shared" si="16"/>
        <v>-7.5454999998328276E-2</v>
      </c>
      <c r="R52" s="85">
        <f t="shared" si="16"/>
        <v>-6.8926949996239273E-2</v>
      </c>
      <c r="S52" s="63">
        <f t="shared" si="16"/>
        <v>-0.19384149749930657</v>
      </c>
    </row>
    <row r="53" spans="1:19" x14ac:dyDescent="0.2">
      <c r="A53" s="8"/>
      <c r="B53" s="2"/>
      <c r="C53" s="10"/>
      <c r="D53" s="10"/>
      <c r="E53" s="9"/>
      <c r="G53" s="65" t="s">
        <v>117</v>
      </c>
      <c r="H53" s="48"/>
      <c r="I53" s="48"/>
      <c r="J53" s="48"/>
      <c r="K53" s="48"/>
      <c r="L53" s="48"/>
      <c r="M53" s="48"/>
      <c r="N53" s="4"/>
      <c r="O53" s="4"/>
      <c r="P53" s="4"/>
      <c r="Q53" s="4"/>
      <c r="R53" s="4"/>
      <c r="S53" s="48"/>
    </row>
    <row r="54" spans="1:19" ht="12" x14ac:dyDescent="0.2">
      <c r="A54" s="8"/>
      <c r="B54" s="2"/>
      <c r="C54" s="10">
        <v>90</v>
      </c>
      <c r="D54" s="10"/>
      <c r="E54" s="11" t="s">
        <v>11</v>
      </c>
      <c r="G54" s="65" t="s">
        <v>118</v>
      </c>
      <c r="H54" s="58">
        <v>349</v>
      </c>
      <c r="I54" s="58">
        <v>336</v>
      </c>
      <c r="J54" s="58">
        <v>342</v>
      </c>
      <c r="K54" s="58">
        <v>337</v>
      </c>
      <c r="L54" s="58">
        <v>349</v>
      </c>
      <c r="M54" s="58">
        <v>349</v>
      </c>
      <c r="N54" s="76">
        <v>357</v>
      </c>
      <c r="O54" s="76">
        <v>355</v>
      </c>
      <c r="P54" s="76">
        <v>355</v>
      </c>
      <c r="Q54" s="76">
        <v>355</v>
      </c>
      <c r="R54" s="76">
        <v>355</v>
      </c>
      <c r="S54" s="58">
        <v>355</v>
      </c>
    </row>
    <row r="55" spans="1:19" ht="12" x14ac:dyDescent="0.2">
      <c r="A55" s="8"/>
      <c r="B55" s="2"/>
      <c r="C55" s="10"/>
      <c r="D55" s="10"/>
      <c r="E55" s="11" t="s">
        <v>11</v>
      </c>
      <c r="G55" s="65" t="s">
        <v>119</v>
      </c>
      <c r="H55" s="58"/>
      <c r="I55" s="58"/>
      <c r="J55" s="58"/>
      <c r="K55" s="58"/>
      <c r="L55" s="66"/>
      <c r="M55" s="66"/>
      <c r="N55" s="88"/>
      <c r="O55" s="88"/>
      <c r="P55" s="88"/>
      <c r="Q55" s="88"/>
      <c r="R55" s="88"/>
      <c r="S55" s="66"/>
    </row>
    <row r="56" spans="1:19" x14ac:dyDescent="0.2">
      <c r="A56" s="8"/>
      <c r="B56" s="2"/>
      <c r="C56" s="10"/>
      <c r="D56" s="10"/>
      <c r="E56" s="9"/>
      <c r="G56" s="67"/>
      <c r="H56" s="48"/>
      <c r="I56" s="48"/>
      <c r="J56" s="48"/>
      <c r="K56" s="48"/>
      <c r="L56" s="48"/>
      <c r="M56" s="48"/>
      <c r="N56" s="4"/>
      <c r="O56" s="4"/>
      <c r="P56" s="4"/>
      <c r="Q56" s="4"/>
      <c r="R56" s="4"/>
      <c r="S56" s="48"/>
    </row>
    <row r="57" spans="1:19" x14ac:dyDescent="0.2">
      <c r="A57" s="8"/>
      <c r="B57" s="2"/>
      <c r="C57" s="10"/>
      <c r="D57" s="29" t="s">
        <v>120</v>
      </c>
      <c r="E57" s="30" t="s">
        <v>3</v>
      </c>
      <c r="F57" s="9"/>
      <c r="G57" s="53" t="s">
        <v>121</v>
      </c>
      <c r="H57" s="64">
        <f t="shared" ref="H57:S57" si="17">H32</f>
        <v>2011</v>
      </c>
      <c r="I57" s="64">
        <f t="shared" si="17"/>
        <v>2012</v>
      </c>
      <c r="J57" s="64">
        <f t="shared" si="17"/>
        <v>2013</v>
      </c>
      <c r="K57" s="64">
        <f t="shared" si="17"/>
        <v>2014</v>
      </c>
      <c r="L57" s="64">
        <f t="shared" si="17"/>
        <v>2015</v>
      </c>
      <c r="M57" s="64">
        <f t="shared" si="17"/>
        <v>2016</v>
      </c>
      <c r="N57" s="87">
        <f t="shared" si="17"/>
        <v>2017</v>
      </c>
      <c r="O57" s="87">
        <f t="shared" si="17"/>
        <v>2018</v>
      </c>
      <c r="P57" s="87">
        <f t="shared" si="17"/>
        <v>2019</v>
      </c>
      <c r="Q57" s="87">
        <f t="shared" si="17"/>
        <v>2020</v>
      </c>
      <c r="R57" s="87">
        <f t="shared" si="17"/>
        <v>2021</v>
      </c>
      <c r="S57" s="64">
        <f t="shared" si="17"/>
        <v>2022</v>
      </c>
    </row>
    <row r="58" spans="1:19" ht="12" x14ac:dyDescent="0.2">
      <c r="A58" s="8"/>
      <c r="B58" s="31" t="s">
        <v>122</v>
      </c>
      <c r="C58" s="8" t="s">
        <v>123</v>
      </c>
      <c r="D58" s="32" t="s">
        <v>124</v>
      </c>
      <c r="E58" s="11" t="s">
        <v>89</v>
      </c>
      <c r="F58" s="12"/>
      <c r="G58" s="55" t="s">
        <v>125</v>
      </c>
      <c r="H58" s="58">
        <v>-125.363</v>
      </c>
      <c r="I58" s="58">
        <v>-548.16099999999994</v>
      </c>
      <c r="J58" s="58">
        <v>-431.35599999999999</v>
      </c>
      <c r="K58" s="58">
        <v>-645.26499999999999</v>
      </c>
      <c r="L58" s="58">
        <v>-145.84700000000001</v>
      </c>
      <c r="M58" s="58">
        <v>-4181.1270000000004</v>
      </c>
      <c r="N58" s="76">
        <f>-7245.35265-604.43941</f>
        <v>-7849.7920599999998</v>
      </c>
      <c r="O58" s="76">
        <v>0</v>
      </c>
      <c r="P58" s="76">
        <v>0</v>
      </c>
      <c r="Q58" s="76">
        <v>-200</v>
      </c>
      <c r="R58" s="76">
        <v>-5000</v>
      </c>
      <c r="S58" s="58">
        <v>-5000</v>
      </c>
    </row>
    <row r="59" spans="1:19" ht="12" x14ac:dyDescent="0.2">
      <c r="A59" s="8"/>
      <c r="B59" s="31" t="s">
        <v>126</v>
      </c>
      <c r="C59" s="33" t="s">
        <v>127</v>
      </c>
      <c r="D59" s="32" t="s">
        <v>128</v>
      </c>
      <c r="E59" s="11" t="s">
        <v>11</v>
      </c>
      <c r="F59" s="12"/>
      <c r="G59" s="68" t="s">
        <v>129</v>
      </c>
      <c r="H59" s="58">
        <v>0</v>
      </c>
      <c r="I59" s="58">
        <v>0</v>
      </c>
      <c r="J59" s="58">
        <v>0.377</v>
      </c>
      <c r="K59" s="58">
        <v>0</v>
      </c>
      <c r="L59" s="58">
        <v>0</v>
      </c>
      <c r="M59" s="58">
        <v>3.2</v>
      </c>
      <c r="N59" s="76">
        <v>0</v>
      </c>
      <c r="O59" s="76">
        <v>0</v>
      </c>
      <c r="P59" s="76">
        <v>0</v>
      </c>
      <c r="Q59" s="76">
        <v>0</v>
      </c>
      <c r="R59" s="76">
        <v>0</v>
      </c>
      <c r="S59" s="58">
        <v>0</v>
      </c>
    </row>
    <row r="60" spans="1:19" ht="12" x14ac:dyDescent="0.2">
      <c r="A60" s="8"/>
      <c r="B60" s="31" t="s">
        <v>130</v>
      </c>
      <c r="C60" s="34" t="s">
        <v>372</v>
      </c>
      <c r="D60" s="32" t="s">
        <v>131</v>
      </c>
      <c r="E60" s="11" t="s">
        <v>11</v>
      </c>
      <c r="F60" s="12"/>
      <c r="G60" s="57" t="s">
        <v>132</v>
      </c>
      <c r="H60" s="58">
        <v>-27.37</v>
      </c>
      <c r="I60" s="58">
        <v>27.37</v>
      </c>
      <c r="J60" s="58">
        <v>0</v>
      </c>
      <c r="K60" s="58">
        <v>1354.5740000000001</v>
      </c>
      <c r="L60" s="58">
        <v>7401.473</v>
      </c>
      <c r="M60" s="58">
        <v>2104.8310000000001</v>
      </c>
      <c r="N60" s="76">
        <v>7975</v>
      </c>
      <c r="O60" s="76">
        <v>0</v>
      </c>
      <c r="P60" s="76">
        <v>0</v>
      </c>
      <c r="Q60" s="76">
        <v>200</v>
      </c>
      <c r="R60" s="76">
        <v>5000</v>
      </c>
      <c r="S60" s="58">
        <v>5000</v>
      </c>
    </row>
    <row r="61" spans="1:19" ht="12" x14ac:dyDescent="0.2">
      <c r="A61" s="8"/>
      <c r="B61" s="31" t="s">
        <v>133</v>
      </c>
      <c r="C61" s="34" t="s">
        <v>134</v>
      </c>
      <c r="D61" s="34" t="s">
        <v>135</v>
      </c>
      <c r="E61" s="11" t="s">
        <v>89</v>
      </c>
      <c r="F61" s="12"/>
      <c r="G61" s="57" t="s">
        <v>136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 s="58">
        <v>-5975</v>
      </c>
      <c r="N61" s="76">
        <v>0</v>
      </c>
      <c r="O61" s="76">
        <v>0</v>
      </c>
      <c r="P61" s="76">
        <v>0</v>
      </c>
      <c r="Q61" s="76">
        <v>0</v>
      </c>
      <c r="R61" s="76">
        <v>0</v>
      </c>
      <c r="S61" s="58">
        <v>0</v>
      </c>
    </row>
    <row r="62" spans="1:19" ht="12" x14ac:dyDescent="0.2">
      <c r="A62" s="8"/>
      <c r="B62" s="31" t="s">
        <v>137</v>
      </c>
      <c r="C62" s="10">
        <v>253800</v>
      </c>
      <c r="D62" s="34" t="s">
        <v>131</v>
      </c>
      <c r="E62" s="11" t="s">
        <v>11</v>
      </c>
      <c r="F62" s="12"/>
      <c r="G62" s="57" t="s">
        <v>138</v>
      </c>
      <c r="H62" s="58">
        <v>0</v>
      </c>
      <c r="I62" s="58">
        <v>0</v>
      </c>
      <c r="J62" s="58">
        <v>0</v>
      </c>
      <c r="K62" s="58">
        <v>0</v>
      </c>
      <c r="L62" s="58">
        <v>0</v>
      </c>
      <c r="M62" s="58">
        <v>0</v>
      </c>
      <c r="N62" s="76">
        <v>0</v>
      </c>
      <c r="O62" s="76">
        <v>0</v>
      </c>
      <c r="P62" s="76">
        <v>0</v>
      </c>
      <c r="Q62" s="76">
        <v>0</v>
      </c>
      <c r="R62" s="76">
        <v>0</v>
      </c>
      <c r="S62" s="58">
        <v>0</v>
      </c>
    </row>
    <row r="63" spans="1:19" ht="12" x14ac:dyDescent="0.2">
      <c r="A63" s="8"/>
      <c r="B63" s="31" t="s">
        <v>139</v>
      </c>
      <c r="C63" s="10">
        <v>150</v>
      </c>
      <c r="D63" s="34" t="s">
        <v>135</v>
      </c>
      <c r="E63" s="11" t="s">
        <v>89</v>
      </c>
      <c r="F63" s="12"/>
      <c r="G63" s="57" t="s">
        <v>140</v>
      </c>
      <c r="H63" s="58">
        <v>0</v>
      </c>
      <c r="I63" s="58">
        <v>0</v>
      </c>
      <c r="J63" s="58">
        <v>0</v>
      </c>
      <c r="K63" s="58">
        <v>0</v>
      </c>
      <c r="L63" s="58">
        <v>0</v>
      </c>
      <c r="M63" s="58">
        <v>0</v>
      </c>
      <c r="N63" s="76">
        <v>0</v>
      </c>
      <c r="O63" s="76">
        <v>0</v>
      </c>
      <c r="P63" s="76">
        <v>0</v>
      </c>
      <c r="Q63" s="76">
        <v>0</v>
      </c>
      <c r="R63" s="76">
        <v>0</v>
      </c>
      <c r="S63" s="58">
        <v>0</v>
      </c>
    </row>
    <row r="64" spans="1:19" ht="12" x14ac:dyDescent="0.2">
      <c r="A64" s="8"/>
      <c r="B64" s="31" t="s">
        <v>141</v>
      </c>
      <c r="C64" s="34" t="s">
        <v>142</v>
      </c>
      <c r="D64" s="34" t="s">
        <v>131</v>
      </c>
      <c r="E64" s="11" t="s">
        <v>11</v>
      </c>
      <c r="F64" s="12"/>
      <c r="G64" s="57" t="s">
        <v>143</v>
      </c>
      <c r="H64" s="58">
        <v>0</v>
      </c>
      <c r="I64" s="58">
        <v>0</v>
      </c>
      <c r="J64" s="58">
        <v>0</v>
      </c>
      <c r="K64" s="58">
        <v>0</v>
      </c>
      <c r="L64" s="58">
        <v>0</v>
      </c>
      <c r="M64" s="58">
        <v>0</v>
      </c>
      <c r="N64" s="76">
        <v>0</v>
      </c>
      <c r="O64" s="76">
        <v>0</v>
      </c>
      <c r="P64" s="76">
        <v>0</v>
      </c>
      <c r="Q64" s="76">
        <v>0</v>
      </c>
      <c r="R64" s="76">
        <v>0</v>
      </c>
      <c r="S64" s="58">
        <v>0</v>
      </c>
    </row>
    <row r="65" spans="1:19" ht="12" x14ac:dyDescent="0.2">
      <c r="A65" s="8"/>
      <c r="B65" s="31" t="s">
        <v>144</v>
      </c>
      <c r="C65" s="8" t="s">
        <v>373</v>
      </c>
      <c r="D65" s="34" t="s">
        <v>135</v>
      </c>
      <c r="E65" s="11" t="s">
        <v>89</v>
      </c>
      <c r="F65" s="12"/>
      <c r="G65" s="57" t="s">
        <v>145</v>
      </c>
      <c r="H65" s="58">
        <v>0</v>
      </c>
      <c r="I65" s="58">
        <v>0</v>
      </c>
      <c r="J65" s="58">
        <v>0</v>
      </c>
      <c r="K65" s="58">
        <v>0</v>
      </c>
      <c r="L65" s="58">
        <v>0</v>
      </c>
      <c r="M65" s="58">
        <v>0</v>
      </c>
      <c r="N65" s="76">
        <v>0</v>
      </c>
      <c r="O65" s="76">
        <v>0</v>
      </c>
      <c r="P65" s="76">
        <v>0</v>
      </c>
      <c r="Q65" s="76">
        <v>0</v>
      </c>
      <c r="R65" s="76">
        <v>0</v>
      </c>
      <c r="S65" s="58">
        <v>0</v>
      </c>
    </row>
    <row r="66" spans="1:19" ht="12" x14ac:dyDescent="0.2">
      <c r="A66" s="8"/>
      <c r="B66" s="31" t="s">
        <v>146</v>
      </c>
      <c r="C66" s="8" t="s">
        <v>373</v>
      </c>
      <c r="D66" s="34" t="s">
        <v>131</v>
      </c>
      <c r="E66" s="11" t="s">
        <v>11</v>
      </c>
      <c r="F66" s="12"/>
      <c r="G66" s="57" t="s">
        <v>147</v>
      </c>
      <c r="H66" s="58">
        <v>0</v>
      </c>
      <c r="I66" s="58">
        <v>0</v>
      </c>
      <c r="J66" s="58">
        <v>0</v>
      </c>
      <c r="K66" s="58">
        <v>0</v>
      </c>
      <c r="L66" s="58">
        <v>0</v>
      </c>
      <c r="M66" s="58">
        <v>0</v>
      </c>
      <c r="N66" s="76">
        <v>0</v>
      </c>
      <c r="O66" s="76">
        <v>0</v>
      </c>
      <c r="P66" s="76">
        <v>0</v>
      </c>
      <c r="Q66" s="76">
        <v>0</v>
      </c>
      <c r="R66" s="76">
        <v>0</v>
      </c>
      <c r="S66" s="58">
        <v>0</v>
      </c>
    </row>
    <row r="67" spans="1:19" ht="12" x14ac:dyDescent="0.2">
      <c r="A67" s="8"/>
      <c r="B67" s="31" t="s">
        <v>148</v>
      </c>
      <c r="C67" s="8" t="s">
        <v>149</v>
      </c>
      <c r="D67" s="34" t="s">
        <v>135</v>
      </c>
      <c r="E67" s="11" t="s">
        <v>89</v>
      </c>
      <c r="F67" s="12"/>
      <c r="G67" s="57" t="s">
        <v>150</v>
      </c>
      <c r="H67" s="58">
        <v>0</v>
      </c>
      <c r="I67" s="58">
        <v>0</v>
      </c>
      <c r="J67" s="58">
        <v>0</v>
      </c>
      <c r="K67" s="58">
        <v>0</v>
      </c>
      <c r="L67" s="58">
        <v>0</v>
      </c>
      <c r="M67" s="58">
        <v>0</v>
      </c>
      <c r="N67" s="76">
        <v>0</v>
      </c>
      <c r="O67" s="76">
        <v>0</v>
      </c>
      <c r="P67" s="76">
        <v>0</v>
      </c>
      <c r="Q67" s="76">
        <v>0</v>
      </c>
      <c r="R67" s="76">
        <v>0</v>
      </c>
      <c r="S67" s="58">
        <v>0</v>
      </c>
    </row>
    <row r="68" spans="1:19" ht="12" x14ac:dyDescent="0.2">
      <c r="A68" s="8"/>
      <c r="B68" s="31" t="s">
        <v>151</v>
      </c>
      <c r="C68" s="8" t="s">
        <v>149</v>
      </c>
      <c r="D68" s="34" t="s">
        <v>131</v>
      </c>
      <c r="E68" s="11" t="s">
        <v>11</v>
      </c>
      <c r="F68" s="12"/>
      <c r="G68" s="57" t="s">
        <v>152</v>
      </c>
      <c r="H68" s="58">
        <v>0</v>
      </c>
      <c r="I68" s="58">
        <v>0</v>
      </c>
      <c r="J68" s="58">
        <v>0</v>
      </c>
      <c r="K68" s="58">
        <v>0</v>
      </c>
      <c r="L68" s="58">
        <v>0</v>
      </c>
      <c r="M68" s="58">
        <v>0</v>
      </c>
      <c r="N68" s="76">
        <v>0</v>
      </c>
      <c r="O68" s="76">
        <v>0</v>
      </c>
      <c r="P68" s="76">
        <v>0</v>
      </c>
      <c r="Q68" s="76">
        <v>0</v>
      </c>
      <c r="R68" s="76">
        <v>0</v>
      </c>
      <c r="S68" s="58">
        <v>0</v>
      </c>
    </row>
    <row r="69" spans="1:19" ht="12" x14ac:dyDescent="0.2">
      <c r="A69" s="8"/>
      <c r="B69" s="31" t="s">
        <v>153</v>
      </c>
      <c r="C69" s="34" t="s">
        <v>142</v>
      </c>
      <c r="D69" s="34" t="s">
        <v>131</v>
      </c>
      <c r="E69" s="11" t="s">
        <v>11</v>
      </c>
      <c r="F69" s="12"/>
      <c r="G69" s="57" t="s">
        <v>154</v>
      </c>
      <c r="H69" s="58">
        <v>0</v>
      </c>
      <c r="I69" s="58">
        <v>0</v>
      </c>
      <c r="J69" s="58">
        <v>0</v>
      </c>
      <c r="K69" s="58">
        <v>0</v>
      </c>
      <c r="L69" s="58">
        <v>0</v>
      </c>
      <c r="M69" s="58">
        <v>0</v>
      </c>
      <c r="N69" s="76">
        <v>0</v>
      </c>
      <c r="O69" s="76">
        <v>0</v>
      </c>
      <c r="P69" s="76">
        <v>0</v>
      </c>
      <c r="Q69" s="76">
        <v>0</v>
      </c>
      <c r="R69" s="76">
        <v>0</v>
      </c>
      <c r="S69" s="58">
        <v>0</v>
      </c>
    </row>
    <row r="70" spans="1:19" ht="12" x14ac:dyDescent="0.2">
      <c r="A70" s="8"/>
      <c r="B70" s="31" t="s">
        <v>155</v>
      </c>
      <c r="C70" s="35" t="s">
        <v>156</v>
      </c>
      <c r="D70" s="8"/>
      <c r="E70" s="11" t="s">
        <v>72</v>
      </c>
      <c r="F70" s="12"/>
      <c r="G70" s="57" t="s">
        <v>107</v>
      </c>
      <c r="H70" s="58">
        <v>1.4999999999999999E-2</v>
      </c>
      <c r="I70" s="58">
        <v>0</v>
      </c>
      <c r="J70" s="58">
        <v>3.1E-2</v>
      </c>
      <c r="K70" s="58">
        <v>0.318</v>
      </c>
      <c r="L70" s="58">
        <v>6.359</v>
      </c>
      <c r="M70" s="58">
        <v>19.236000000000001</v>
      </c>
      <c r="N70" s="76">
        <v>4.6134199999999996</v>
      </c>
      <c r="O70" s="76">
        <v>0</v>
      </c>
      <c r="P70" s="76">
        <v>0</v>
      </c>
      <c r="Q70" s="76">
        <v>0</v>
      </c>
      <c r="R70" s="76">
        <v>0</v>
      </c>
      <c r="S70" s="58">
        <v>0</v>
      </c>
    </row>
    <row r="71" spans="1:19" x14ac:dyDescent="0.2">
      <c r="A71" s="8"/>
      <c r="B71" s="31" t="s">
        <v>157</v>
      </c>
      <c r="C71" s="10"/>
      <c r="D71" s="8"/>
      <c r="E71" s="12"/>
      <c r="F71" s="12"/>
      <c r="G71" s="69" t="s">
        <v>158</v>
      </c>
      <c r="H71" s="56">
        <f t="shared" ref="H71:S71" si="18">SUM(H58:H70)</f>
        <v>-152.71800000000002</v>
      </c>
      <c r="I71" s="56">
        <f t="shared" si="18"/>
        <v>-520.79099999999994</v>
      </c>
      <c r="J71" s="56">
        <f t="shared" si="18"/>
        <v>-430.94799999999998</v>
      </c>
      <c r="K71" s="56">
        <f t="shared" si="18"/>
        <v>709.62700000000007</v>
      </c>
      <c r="L71" s="56">
        <f t="shared" si="18"/>
        <v>7261.9850000000006</v>
      </c>
      <c r="M71" s="56">
        <f t="shared" si="18"/>
        <v>-8028.8600000000006</v>
      </c>
      <c r="N71" s="77">
        <f t="shared" si="18"/>
        <v>129.82136000000023</v>
      </c>
      <c r="O71" s="77">
        <f t="shared" si="18"/>
        <v>0</v>
      </c>
      <c r="P71" s="77">
        <f t="shared" si="18"/>
        <v>0</v>
      </c>
      <c r="Q71" s="77">
        <f t="shared" si="18"/>
        <v>0</v>
      </c>
      <c r="R71" s="77">
        <f t="shared" si="18"/>
        <v>0</v>
      </c>
      <c r="S71" s="56">
        <f t="shared" si="18"/>
        <v>0</v>
      </c>
    </row>
    <row r="72" spans="1:19" x14ac:dyDescent="0.2">
      <c r="A72" s="8"/>
      <c r="B72" s="2"/>
      <c r="C72" s="10"/>
      <c r="D72" s="8"/>
      <c r="E72" s="9"/>
      <c r="G72" s="67"/>
      <c r="H72" s="48"/>
      <c r="I72" s="48"/>
      <c r="J72" s="48"/>
      <c r="K72" s="48"/>
      <c r="L72" s="48"/>
      <c r="M72" s="48"/>
      <c r="N72" s="4"/>
      <c r="O72" s="4"/>
      <c r="P72" s="4"/>
      <c r="Q72" s="4"/>
      <c r="R72" s="4"/>
      <c r="S72" s="48"/>
    </row>
    <row r="73" spans="1:19" x14ac:dyDescent="0.2">
      <c r="A73" s="8"/>
      <c r="B73" s="2"/>
      <c r="C73" s="10"/>
      <c r="D73" s="29" t="s">
        <v>120</v>
      </c>
      <c r="E73" s="30" t="s">
        <v>3</v>
      </c>
      <c r="F73" s="9"/>
      <c r="G73" s="53" t="s">
        <v>159</v>
      </c>
      <c r="H73" s="64">
        <f t="shared" ref="H73:S73" si="19">H57</f>
        <v>2011</v>
      </c>
      <c r="I73" s="64">
        <f t="shared" si="19"/>
        <v>2012</v>
      </c>
      <c r="J73" s="64">
        <f t="shared" si="19"/>
        <v>2013</v>
      </c>
      <c r="K73" s="64">
        <f t="shared" si="19"/>
        <v>2014</v>
      </c>
      <c r="L73" s="64">
        <f t="shared" si="19"/>
        <v>2015</v>
      </c>
      <c r="M73" s="64">
        <f t="shared" si="19"/>
        <v>2016</v>
      </c>
      <c r="N73" s="87">
        <f t="shared" si="19"/>
        <v>2017</v>
      </c>
      <c r="O73" s="87">
        <f t="shared" si="19"/>
        <v>2018</v>
      </c>
      <c r="P73" s="87">
        <f t="shared" si="19"/>
        <v>2019</v>
      </c>
      <c r="Q73" s="87">
        <f t="shared" si="19"/>
        <v>2020</v>
      </c>
      <c r="R73" s="87">
        <f t="shared" si="19"/>
        <v>2021</v>
      </c>
      <c r="S73" s="64">
        <f t="shared" si="19"/>
        <v>2022</v>
      </c>
    </row>
    <row r="74" spans="1:19" ht="12" x14ac:dyDescent="0.2">
      <c r="A74" s="8"/>
      <c r="B74" s="2" t="s">
        <v>160</v>
      </c>
      <c r="C74" s="34" t="s">
        <v>161</v>
      </c>
      <c r="D74" s="34" t="s">
        <v>128</v>
      </c>
      <c r="E74" s="11" t="s">
        <v>11</v>
      </c>
      <c r="G74" s="55" t="s">
        <v>162</v>
      </c>
      <c r="H74" s="58">
        <v>0</v>
      </c>
      <c r="I74" s="58">
        <v>0</v>
      </c>
      <c r="J74" s="58">
        <v>0</v>
      </c>
      <c r="K74" s="58">
        <v>0</v>
      </c>
      <c r="L74" s="58">
        <v>0</v>
      </c>
      <c r="M74" s="58">
        <v>0</v>
      </c>
      <c r="N74" s="76">
        <v>0</v>
      </c>
      <c r="O74" s="76">
        <v>0</v>
      </c>
      <c r="P74" s="76">
        <v>0</v>
      </c>
      <c r="Q74" s="76">
        <v>0</v>
      </c>
      <c r="R74" s="76">
        <v>0</v>
      </c>
      <c r="S74" s="58">
        <v>0</v>
      </c>
    </row>
    <row r="75" spans="1:19" ht="12" x14ac:dyDescent="0.2">
      <c r="A75" s="8"/>
      <c r="B75" s="2" t="s">
        <v>163</v>
      </c>
      <c r="C75" s="34" t="s">
        <v>161</v>
      </c>
      <c r="D75" s="34" t="s">
        <v>124</v>
      </c>
      <c r="E75" s="11" t="s">
        <v>89</v>
      </c>
      <c r="F75" s="12"/>
      <c r="G75" s="57" t="s">
        <v>164</v>
      </c>
      <c r="H75" s="58">
        <v>0</v>
      </c>
      <c r="I75" s="58">
        <v>0</v>
      </c>
      <c r="J75" s="58">
        <v>0</v>
      </c>
      <c r="K75" s="58">
        <v>0</v>
      </c>
      <c r="L75" s="58">
        <v>0</v>
      </c>
      <c r="M75" s="58">
        <v>0</v>
      </c>
      <c r="N75" s="76">
        <v>0</v>
      </c>
      <c r="O75" s="76">
        <v>0</v>
      </c>
      <c r="P75" s="76">
        <v>0</v>
      </c>
      <c r="Q75" s="76">
        <v>0</v>
      </c>
      <c r="R75" s="76">
        <v>0</v>
      </c>
      <c r="S75" s="58">
        <v>0</v>
      </c>
    </row>
    <row r="76" spans="1:19" ht="12" x14ac:dyDescent="0.2">
      <c r="A76" s="8"/>
      <c r="B76" s="2" t="s">
        <v>165</v>
      </c>
      <c r="C76" s="34" t="s">
        <v>166</v>
      </c>
      <c r="D76" s="34" t="s">
        <v>131</v>
      </c>
      <c r="E76" s="11" t="s">
        <v>11</v>
      </c>
      <c r="G76" s="57" t="s">
        <v>167</v>
      </c>
      <c r="H76" s="58">
        <v>0</v>
      </c>
      <c r="I76" s="58">
        <v>0</v>
      </c>
      <c r="J76" s="58">
        <v>0</v>
      </c>
      <c r="K76" s="58">
        <v>0</v>
      </c>
      <c r="L76" s="58">
        <v>0</v>
      </c>
      <c r="M76" s="58">
        <v>0</v>
      </c>
      <c r="N76" s="76">
        <v>0</v>
      </c>
      <c r="O76" s="76">
        <v>0</v>
      </c>
      <c r="P76" s="76">
        <v>0</v>
      </c>
      <c r="Q76" s="76">
        <v>0</v>
      </c>
      <c r="R76" s="76">
        <v>0</v>
      </c>
      <c r="S76" s="58">
        <v>0</v>
      </c>
    </row>
    <row r="77" spans="1:19" ht="12" x14ac:dyDescent="0.2">
      <c r="A77" s="8"/>
      <c r="B77" s="2" t="s">
        <v>168</v>
      </c>
      <c r="C77" s="34" t="s">
        <v>166</v>
      </c>
      <c r="D77" s="34" t="s">
        <v>135</v>
      </c>
      <c r="E77" s="11" t="s">
        <v>89</v>
      </c>
      <c r="F77" s="12"/>
      <c r="G77" s="57" t="s">
        <v>169</v>
      </c>
      <c r="H77" s="58">
        <v>0</v>
      </c>
      <c r="I77" s="58">
        <v>0</v>
      </c>
      <c r="J77" s="58">
        <v>0</v>
      </c>
      <c r="K77" s="58">
        <v>0</v>
      </c>
      <c r="L77" s="58">
        <v>0</v>
      </c>
      <c r="M77" s="58">
        <v>0</v>
      </c>
      <c r="N77" s="76">
        <v>0</v>
      </c>
      <c r="O77" s="76">
        <v>0</v>
      </c>
      <c r="P77" s="76">
        <v>0</v>
      </c>
      <c r="Q77" s="76">
        <v>0</v>
      </c>
      <c r="R77" s="76">
        <v>0</v>
      </c>
      <c r="S77" s="58">
        <v>0</v>
      </c>
    </row>
    <row r="78" spans="1:19" ht="12" x14ac:dyDescent="0.2">
      <c r="A78" s="8"/>
      <c r="B78" s="2" t="s">
        <v>170</v>
      </c>
      <c r="C78" s="34" t="s">
        <v>171</v>
      </c>
      <c r="D78" s="34" t="s">
        <v>135</v>
      </c>
      <c r="E78" s="11" t="s">
        <v>89</v>
      </c>
      <c r="F78" s="12"/>
      <c r="G78" s="57" t="s">
        <v>172</v>
      </c>
      <c r="H78" s="58">
        <v>0</v>
      </c>
      <c r="I78" s="58">
        <f>-91.143-104.955</f>
        <v>-196.09800000000001</v>
      </c>
      <c r="J78" s="58">
        <v>-47.192999999999998</v>
      </c>
      <c r="K78" s="58">
        <v>-35.173000000000002</v>
      </c>
      <c r="L78" s="58">
        <v>0</v>
      </c>
      <c r="M78" s="58">
        <v>0</v>
      </c>
      <c r="N78" s="76">
        <v>0</v>
      </c>
      <c r="O78" s="76">
        <v>0</v>
      </c>
      <c r="P78" s="76">
        <v>0</v>
      </c>
      <c r="Q78" s="76">
        <v>0</v>
      </c>
      <c r="R78" s="76">
        <v>0</v>
      </c>
      <c r="S78" s="58">
        <v>0</v>
      </c>
    </row>
    <row r="79" spans="1:19" ht="12" x14ac:dyDescent="0.2">
      <c r="A79" s="8"/>
      <c r="B79" s="2" t="s">
        <v>173</v>
      </c>
      <c r="C79" s="34" t="s">
        <v>174</v>
      </c>
      <c r="D79" s="34" t="s">
        <v>135</v>
      </c>
      <c r="E79" s="11" t="s">
        <v>89</v>
      </c>
      <c r="F79" s="12"/>
      <c r="G79" s="57" t="s">
        <v>175</v>
      </c>
      <c r="H79" s="58">
        <v>0</v>
      </c>
      <c r="I79" s="58">
        <f>-5.389-8.372</f>
        <v>-13.760999999999999</v>
      </c>
      <c r="J79" s="58">
        <v>-2.1669999999999998</v>
      </c>
      <c r="K79" s="58">
        <v>-0.47599999999999998</v>
      </c>
      <c r="L79" s="58">
        <v>-5.0999999999999997E-2</v>
      </c>
      <c r="M79" s="58">
        <v>0</v>
      </c>
      <c r="N79" s="76">
        <v>0</v>
      </c>
      <c r="O79" s="76">
        <v>0</v>
      </c>
      <c r="P79" s="76">
        <v>0</v>
      </c>
      <c r="Q79" s="76">
        <v>0</v>
      </c>
      <c r="R79" s="76">
        <v>0</v>
      </c>
      <c r="S79" s="58">
        <v>0</v>
      </c>
    </row>
    <row r="80" spans="1:19" ht="12" x14ac:dyDescent="0.2">
      <c r="A80" s="8"/>
      <c r="B80" s="2" t="s">
        <v>176</v>
      </c>
      <c r="C80" s="34" t="s">
        <v>177</v>
      </c>
      <c r="D80" s="34" t="s">
        <v>135</v>
      </c>
      <c r="E80" s="11" t="s">
        <v>89</v>
      </c>
      <c r="F80" s="12"/>
      <c r="G80" s="57" t="s">
        <v>178</v>
      </c>
      <c r="H80" s="58">
        <v>0</v>
      </c>
      <c r="I80" s="58">
        <f>-14.824-24.878</f>
        <v>-39.701999999999998</v>
      </c>
      <c r="J80" s="58">
        <v>0</v>
      </c>
      <c r="K80" s="58">
        <v>0</v>
      </c>
      <c r="L80" s="58">
        <v>0</v>
      </c>
      <c r="M80" s="58">
        <v>0</v>
      </c>
      <c r="N80" s="76">
        <v>0</v>
      </c>
      <c r="O80" s="76">
        <v>0</v>
      </c>
      <c r="P80" s="76">
        <v>0</v>
      </c>
      <c r="Q80" s="76">
        <v>0</v>
      </c>
      <c r="R80" s="76">
        <v>0</v>
      </c>
      <c r="S80" s="58">
        <v>0</v>
      </c>
    </row>
    <row r="81" spans="1:19" ht="12" x14ac:dyDescent="0.2">
      <c r="A81" s="8"/>
      <c r="B81" s="2" t="s">
        <v>179</v>
      </c>
      <c r="C81" s="34" t="s">
        <v>52</v>
      </c>
      <c r="D81" s="34" t="s">
        <v>135</v>
      </c>
      <c r="E81" s="11" t="s">
        <v>89</v>
      </c>
      <c r="F81" s="12"/>
      <c r="G81" s="57" t="s">
        <v>180</v>
      </c>
      <c r="H81" s="58">
        <v>0</v>
      </c>
      <c r="I81" s="58">
        <v>0</v>
      </c>
      <c r="J81" s="58">
        <v>0</v>
      </c>
      <c r="K81" s="58">
        <v>0</v>
      </c>
      <c r="L81" s="58">
        <v>0</v>
      </c>
      <c r="M81" s="58">
        <v>0</v>
      </c>
      <c r="N81" s="76">
        <v>0</v>
      </c>
      <c r="O81" s="76">
        <v>0</v>
      </c>
      <c r="P81" s="76">
        <v>0</v>
      </c>
      <c r="Q81" s="76">
        <v>0</v>
      </c>
      <c r="R81" s="76">
        <v>0</v>
      </c>
      <c r="S81" s="58">
        <v>0</v>
      </c>
    </row>
    <row r="82" spans="1:19" ht="12" x14ac:dyDescent="0.2">
      <c r="A82" s="8"/>
      <c r="B82" s="2" t="s">
        <v>181</v>
      </c>
      <c r="C82" s="34" t="s">
        <v>182</v>
      </c>
      <c r="D82" s="34" t="s">
        <v>131</v>
      </c>
      <c r="E82" s="11" t="s">
        <v>11</v>
      </c>
      <c r="G82" s="57" t="s">
        <v>183</v>
      </c>
      <c r="H82" s="58">
        <v>0</v>
      </c>
      <c r="I82" s="58">
        <v>0</v>
      </c>
      <c r="J82" s="58">
        <v>0</v>
      </c>
      <c r="K82" s="58">
        <v>0</v>
      </c>
      <c r="L82" s="58">
        <v>0</v>
      </c>
      <c r="M82" s="58">
        <v>0</v>
      </c>
      <c r="N82" s="76">
        <v>0</v>
      </c>
      <c r="O82" s="76">
        <v>0</v>
      </c>
      <c r="P82" s="76">
        <v>0</v>
      </c>
      <c r="Q82" s="76">
        <v>0</v>
      </c>
      <c r="R82" s="76">
        <v>0</v>
      </c>
      <c r="S82" s="58">
        <v>0</v>
      </c>
    </row>
    <row r="83" spans="1:19" ht="12" x14ac:dyDescent="0.2">
      <c r="A83" s="8"/>
      <c r="B83" s="2" t="s">
        <v>184</v>
      </c>
      <c r="C83" s="34" t="s">
        <v>182</v>
      </c>
      <c r="D83" s="34" t="s">
        <v>135</v>
      </c>
      <c r="E83" s="11" t="s">
        <v>89</v>
      </c>
      <c r="F83" s="12"/>
      <c r="G83" s="57" t="s">
        <v>374</v>
      </c>
      <c r="H83" s="58">
        <v>0</v>
      </c>
      <c r="I83" s="58">
        <v>0</v>
      </c>
      <c r="J83" s="58">
        <v>0</v>
      </c>
      <c r="K83" s="58">
        <v>0</v>
      </c>
      <c r="L83" s="58">
        <v>0</v>
      </c>
      <c r="M83" s="58">
        <v>0</v>
      </c>
      <c r="N83" s="76">
        <v>0</v>
      </c>
      <c r="O83" s="76">
        <v>0</v>
      </c>
      <c r="P83" s="76">
        <v>0</v>
      </c>
      <c r="Q83" s="76">
        <v>0</v>
      </c>
      <c r="R83" s="76">
        <v>0</v>
      </c>
      <c r="S83" s="58">
        <v>0</v>
      </c>
    </row>
    <row r="84" spans="1:19" ht="12" x14ac:dyDescent="0.2">
      <c r="A84" s="8"/>
      <c r="B84" s="2" t="s">
        <v>185</v>
      </c>
      <c r="C84" s="34" t="s">
        <v>375</v>
      </c>
      <c r="D84" s="34" t="s">
        <v>135</v>
      </c>
      <c r="E84" s="11" t="s">
        <v>89</v>
      </c>
      <c r="F84" s="12"/>
      <c r="G84" s="57" t="s">
        <v>376</v>
      </c>
      <c r="H84" s="58">
        <v>0</v>
      </c>
      <c r="I84" s="58">
        <v>0</v>
      </c>
      <c r="J84" s="58">
        <v>0</v>
      </c>
      <c r="K84" s="58">
        <v>0</v>
      </c>
      <c r="L84" s="58">
        <v>0</v>
      </c>
      <c r="M84" s="58">
        <v>0</v>
      </c>
      <c r="N84" s="76">
        <v>0</v>
      </c>
      <c r="O84" s="76">
        <v>0</v>
      </c>
      <c r="P84" s="76">
        <v>0</v>
      </c>
      <c r="Q84" s="76">
        <v>0</v>
      </c>
      <c r="R84" s="76">
        <v>0</v>
      </c>
      <c r="S84" s="58">
        <v>0</v>
      </c>
    </row>
    <row r="85" spans="1:19" ht="12" x14ac:dyDescent="0.2">
      <c r="A85" s="8"/>
      <c r="B85" s="2" t="s">
        <v>186</v>
      </c>
      <c r="C85" s="36">
        <v>68</v>
      </c>
      <c r="D85" s="34" t="s">
        <v>135</v>
      </c>
      <c r="E85" s="11" t="s">
        <v>89</v>
      </c>
      <c r="F85" s="12"/>
      <c r="G85" s="70" t="s">
        <v>111</v>
      </c>
      <c r="H85" s="58">
        <v>0</v>
      </c>
      <c r="I85" s="58">
        <v>0</v>
      </c>
      <c r="J85" s="58">
        <v>0</v>
      </c>
      <c r="K85" s="58">
        <v>0</v>
      </c>
      <c r="L85" s="58">
        <v>0</v>
      </c>
      <c r="M85" s="58">
        <v>0</v>
      </c>
      <c r="N85" s="76">
        <v>0</v>
      </c>
      <c r="O85" s="76">
        <v>0</v>
      </c>
      <c r="P85" s="76">
        <v>0</v>
      </c>
      <c r="Q85" s="76">
        <v>0</v>
      </c>
      <c r="R85" s="76">
        <v>0</v>
      </c>
      <c r="S85" s="58">
        <v>0</v>
      </c>
    </row>
    <row r="86" spans="1:19" x14ac:dyDescent="0.2">
      <c r="A86" s="8"/>
      <c r="B86" s="2" t="s">
        <v>377</v>
      </c>
      <c r="C86" s="10"/>
      <c r="D86" s="10"/>
      <c r="E86" s="9"/>
      <c r="G86" s="70" t="s">
        <v>158</v>
      </c>
      <c r="H86" s="56">
        <f t="shared" ref="H86:R86" si="20">SUM(H74:H85)</f>
        <v>0</v>
      </c>
      <c r="I86" s="56">
        <f t="shared" si="20"/>
        <v>-249.56100000000001</v>
      </c>
      <c r="J86" s="56">
        <f t="shared" si="20"/>
        <v>-49.36</v>
      </c>
      <c r="K86" s="56">
        <f t="shared" si="20"/>
        <v>-35.649000000000001</v>
      </c>
      <c r="L86" s="56">
        <f t="shared" si="20"/>
        <v>-5.0999999999999997E-2</v>
      </c>
      <c r="M86" s="56">
        <f t="shared" si="20"/>
        <v>0</v>
      </c>
      <c r="N86" s="56">
        <f t="shared" si="20"/>
        <v>0</v>
      </c>
      <c r="O86" s="56">
        <f t="shared" si="20"/>
        <v>0</v>
      </c>
      <c r="P86" s="56">
        <f t="shared" si="20"/>
        <v>0</v>
      </c>
      <c r="Q86" s="56">
        <f t="shared" si="20"/>
        <v>0</v>
      </c>
      <c r="R86" s="56">
        <f t="shared" si="20"/>
        <v>0</v>
      </c>
      <c r="S86" s="56">
        <f>SUM(S74:S85)</f>
        <v>0</v>
      </c>
    </row>
    <row r="87" spans="1:19" s="4" customFormat="1" x14ac:dyDescent="0.2">
      <c r="A87" s="8"/>
      <c r="B87" s="2" t="s">
        <v>378</v>
      </c>
      <c r="C87" s="10"/>
      <c r="D87" s="10"/>
      <c r="E87" s="9"/>
      <c r="F87" s="8"/>
      <c r="G87" s="89" t="s">
        <v>379</v>
      </c>
      <c r="H87" s="98"/>
      <c r="I87" s="85">
        <f t="shared" ref="I87:S87" si="21">(I14+I15)-(H14+H15-I58-I59+I45)</f>
        <v>4129.6850000000004</v>
      </c>
      <c r="J87" s="85">
        <f t="shared" si="21"/>
        <v>0.37699999999858846</v>
      </c>
      <c r="K87" s="85">
        <f t="shared" si="21"/>
        <v>0</v>
      </c>
      <c r="L87" s="85">
        <f t="shared" si="21"/>
        <v>697.2609999999986</v>
      </c>
      <c r="M87" s="85">
        <f t="shared" si="21"/>
        <v>0.30000000000291038</v>
      </c>
      <c r="N87" s="85">
        <f t="shared" si="21"/>
        <v>-4.3000000005122274E-4</v>
      </c>
      <c r="O87" s="85">
        <f t="shared" si="21"/>
        <v>0</v>
      </c>
      <c r="P87" s="85">
        <f t="shared" si="21"/>
        <v>0.38492000000042026</v>
      </c>
      <c r="Q87" s="85">
        <f t="shared" si="21"/>
        <v>0</v>
      </c>
      <c r="R87" s="85">
        <f t="shared" si="21"/>
        <v>0</v>
      </c>
      <c r="S87" s="85">
        <f t="shared" si="21"/>
        <v>0</v>
      </c>
    </row>
    <row r="88" spans="1:19" s="4" customFormat="1" x14ac:dyDescent="0.2">
      <c r="A88" s="8"/>
      <c r="B88" s="2" t="s">
        <v>380</v>
      </c>
      <c r="C88" s="10"/>
      <c r="D88" s="10"/>
      <c r="E88" s="9"/>
      <c r="F88" s="8"/>
      <c r="G88" s="89" t="s">
        <v>381</v>
      </c>
      <c r="H88" s="98"/>
      <c r="I88" s="85">
        <f>I24-(H24+(I74+I76)+(I75+I77)+(I78))</f>
        <v>90.129000000000005</v>
      </c>
      <c r="J88" s="85">
        <f>J24-(I24+(J74+J76)+(J75+J77)+(J78))</f>
        <v>0</v>
      </c>
      <c r="K88" s="85">
        <f>K24-(J24+(K74+K76)+(K75+K77)+(K78))</f>
        <v>0</v>
      </c>
      <c r="L88" s="85">
        <f>L24-(K24+(L74+L76)+(L75+L77)+(L78))</f>
        <v>0</v>
      </c>
      <c r="M88" s="85">
        <f>M24-(L24+(M74+M76)+(M75+M77)+(M78))</f>
        <v>0</v>
      </c>
      <c r="N88" s="85">
        <f t="shared" ref="N88:S88" si="22">N24-(M24+(N74+N76)+(N75+N77)+(N78))</f>
        <v>0</v>
      </c>
      <c r="O88" s="85">
        <f t="shared" si="22"/>
        <v>0</v>
      </c>
      <c r="P88" s="85">
        <f t="shared" si="22"/>
        <v>0</v>
      </c>
      <c r="Q88" s="85">
        <f t="shared" si="22"/>
        <v>0</v>
      </c>
      <c r="R88" s="85">
        <f t="shared" si="22"/>
        <v>0</v>
      </c>
      <c r="S88" s="85">
        <f t="shared" si="22"/>
        <v>0</v>
      </c>
    </row>
    <row r="89" spans="1:19" s="4" customFormat="1" x14ac:dyDescent="0.2">
      <c r="A89" s="8"/>
      <c r="B89" s="2" t="s">
        <v>382</v>
      </c>
      <c r="C89" s="10"/>
      <c r="D89" s="10"/>
      <c r="E89" s="9"/>
      <c r="F89" s="8"/>
      <c r="G89" s="89" t="s">
        <v>383</v>
      </c>
      <c r="H89" s="98"/>
      <c r="I89" s="85">
        <f t="shared" ref="I89:S89" si="23">I28-(H28+(I82+I83))</f>
        <v>-9814.9159999999993</v>
      </c>
      <c r="J89" s="85">
        <f t="shared" si="23"/>
        <v>0</v>
      </c>
      <c r="K89" s="85">
        <f t="shared" si="23"/>
        <v>0</v>
      </c>
      <c r="L89" s="85">
        <f t="shared" si="23"/>
        <v>11184.487999999999</v>
      </c>
      <c r="M89" s="85">
        <f t="shared" si="23"/>
        <v>0</v>
      </c>
      <c r="N89" s="85">
        <f t="shared" si="23"/>
        <v>0</v>
      </c>
      <c r="O89" s="85">
        <f t="shared" si="23"/>
        <v>0</v>
      </c>
      <c r="P89" s="85">
        <f t="shared" si="23"/>
        <v>0</v>
      </c>
      <c r="Q89" s="85">
        <f t="shared" si="23"/>
        <v>0</v>
      </c>
      <c r="R89" s="85">
        <f t="shared" si="23"/>
        <v>0</v>
      </c>
      <c r="S89" s="85">
        <f t="shared" si="23"/>
        <v>0</v>
      </c>
    </row>
    <row r="90" spans="1:19" s="4" customFormat="1" x14ac:dyDescent="0.2">
      <c r="A90" s="8"/>
      <c r="B90" s="2" t="s">
        <v>384</v>
      </c>
      <c r="C90" s="10"/>
      <c r="D90" s="10"/>
      <c r="E90" s="9"/>
      <c r="F90" s="8"/>
      <c r="G90" s="89" t="s">
        <v>385</v>
      </c>
      <c r="H90" s="98"/>
      <c r="I90" s="85">
        <f t="shared" ref="I90:S90" si="24">I29-(H29+H30)-I84</f>
        <v>15012.280999999999</v>
      </c>
      <c r="J90" s="85">
        <f t="shared" si="24"/>
        <v>9.9999999838473741E-4</v>
      </c>
      <c r="K90" s="85">
        <f t="shared" si="24"/>
        <v>0</v>
      </c>
      <c r="L90" s="85">
        <f t="shared" si="24"/>
        <v>-11184.486999999999</v>
      </c>
      <c r="M90" s="85">
        <f t="shared" si="24"/>
        <v>5.6843418860808015E-14</v>
      </c>
      <c r="N90" s="85">
        <f t="shared" si="24"/>
        <v>-8.4999999990031938E-4</v>
      </c>
      <c r="O90" s="85">
        <f t="shared" si="24"/>
        <v>0</v>
      </c>
      <c r="P90" s="85">
        <f t="shared" si="24"/>
        <v>0</v>
      </c>
      <c r="Q90" s="85">
        <f t="shared" si="24"/>
        <v>0</v>
      </c>
      <c r="R90" s="85">
        <f t="shared" si="24"/>
        <v>0</v>
      </c>
      <c r="S90" s="85">
        <f t="shared" si="24"/>
        <v>0</v>
      </c>
    </row>
    <row r="91" spans="1:19" s="4" customFormat="1" x14ac:dyDescent="0.2">
      <c r="A91" s="8"/>
      <c r="B91" s="2"/>
      <c r="C91" s="10"/>
      <c r="D91" s="10"/>
      <c r="E91" s="9"/>
      <c r="F91" s="8"/>
      <c r="G91" s="28"/>
      <c r="L91" s="93">
        <f>L90-L87</f>
        <v>-11881.747999999998</v>
      </c>
    </row>
    <row r="92" spans="1:19" s="4" customFormat="1" x14ac:dyDescent="0.2">
      <c r="A92" s="13" t="s">
        <v>0</v>
      </c>
      <c r="B92" s="2"/>
      <c r="C92" s="10"/>
      <c r="D92" s="753" t="s">
        <v>187</v>
      </c>
      <c r="E92" s="754"/>
      <c r="F92" s="8"/>
      <c r="G92" s="94" t="s">
        <v>386</v>
      </c>
      <c r="H92" s="87">
        <f>H73</f>
        <v>2011</v>
      </c>
      <c r="I92" s="87">
        <f t="shared" ref="I92:S92" si="25">I73</f>
        <v>2012</v>
      </c>
      <c r="J92" s="87">
        <f t="shared" si="25"/>
        <v>2013</v>
      </c>
      <c r="K92" s="87">
        <f t="shared" si="25"/>
        <v>2014</v>
      </c>
      <c r="L92" s="87">
        <f t="shared" si="25"/>
        <v>2015</v>
      </c>
      <c r="M92" s="87">
        <f t="shared" si="25"/>
        <v>2016</v>
      </c>
      <c r="N92" s="87">
        <f t="shared" si="25"/>
        <v>2017</v>
      </c>
      <c r="O92" s="87">
        <f t="shared" si="25"/>
        <v>2018</v>
      </c>
      <c r="P92" s="87">
        <f t="shared" si="25"/>
        <v>2019</v>
      </c>
      <c r="Q92" s="87">
        <f t="shared" si="25"/>
        <v>2020</v>
      </c>
      <c r="R92" s="87">
        <f t="shared" si="25"/>
        <v>2021</v>
      </c>
      <c r="S92" s="87">
        <f t="shared" si="25"/>
        <v>2022</v>
      </c>
    </row>
    <row r="93" spans="1:19" s="4" customFormat="1" x14ac:dyDescent="0.2">
      <c r="A93" s="8"/>
      <c r="B93" s="2" t="s">
        <v>387</v>
      </c>
      <c r="C93" s="10" t="s">
        <v>388</v>
      </c>
      <c r="D93" s="10"/>
      <c r="E93" s="9"/>
      <c r="F93" s="8"/>
      <c r="G93" s="95" t="s">
        <v>389</v>
      </c>
      <c r="H93" s="96">
        <f>H5+H11+H12+H13</f>
        <v>572.78200000000004</v>
      </c>
      <c r="I93" s="96">
        <f>I5+I11+I12+I13</f>
        <v>513.18799999999999</v>
      </c>
      <c r="J93" s="96">
        <f t="shared" ref="J93:S93" si="26">J5+J11+J12+J13</f>
        <v>1087.575</v>
      </c>
      <c r="K93" s="96">
        <f t="shared" si="26"/>
        <v>1989.0740000000001</v>
      </c>
      <c r="L93" s="96">
        <f t="shared" si="26"/>
        <v>9455.3629999999994</v>
      </c>
      <c r="M93" s="96">
        <f t="shared" si="26"/>
        <v>1219.105</v>
      </c>
      <c r="N93" s="96">
        <f t="shared" si="26"/>
        <v>1850.3626000000002</v>
      </c>
      <c r="O93" s="96">
        <f t="shared" si="26"/>
        <v>1091</v>
      </c>
      <c r="P93" s="96">
        <f t="shared" si="26"/>
        <v>1096</v>
      </c>
      <c r="Q93" s="96">
        <f t="shared" si="26"/>
        <v>1086</v>
      </c>
      <c r="R93" s="96">
        <f t="shared" si="26"/>
        <v>1067</v>
      </c>
      <c r="S93" s="96">
        <f t="shared" si="26"/>
        <v>1052</v>
      </c>
    </row>
    <row r="94" spans="1:19" s="4" customFormat="1" x14ac:dyDescent="0.2">
      <c r="A94" s="8"/>
      <c r="B94" s="2" t="s">
        <v>390</v>
      </c>
      <c r="C94" s="10"/>
      <c r="D94" s="10"/>
      <c r="E94" s="9"/>
      <c r="F94" s="8"/>
      <c r="G94" s="97" t="s">
        <v>391</v>
      </c>
      <c r="H94" s="98"/>
      <c r="I94" s="96">
        <f>I93-H93</f>
        <v>-59.594000000000051</v>
      </c>
      <c r="J94" s="96">
        <f t="shared" ref="J94:S94" si="27">J93-I93</f>
        <v>574.38700000000006</v>
      </c>
      <c r="K94" s="96">
        <f t="shared" si="27"/>
        <v>901.49900000000002</v>
      </c>
      <c r="L94" s="96">
        <f t="shared" si="27"/>
        <v>7466.2889999999989</v>
      </c>
      <c r="M94" s="96">
        <f t="shared" si="27"/>
        <v>-8236.2579999999998</v>
      </c>
      <c r="N94" s="96">
        <f t="shared" si="27"/>
        <v>631.25760000000014</v>
      </c>
      <c r="O94" s="96">
        <f t="shared" si="27"/>
        <v>-759.36260000000016</v>
      </c>
      <c r="P94" s="96">
        <f t="shared" si="27"/>
        <v>5</v>
      </c>
      <c r="Q94" s="96">
        <f t="shared" si="27"/>
        <v>-10</v>
      </c>
      <c r="R94" s="96">
        <f t="shared" si="27"/>
        <v>-19</v>
      </c>
      <c r="S94" s="96">
        <f t="shared" si="27"/>
        <v>-15</v>
      </c>
    </row>
    <row r="95" spans="1:19" s="4" customFormat="1" x14ac:dyDescent="0.2">
      <c r="A95" s="8"/>
      <c r="B95" s="2" t="s">
        <v>392</v>
      </c>
      <c r="C95" s="10" t="s">
        <v>42</v>
      </c>
      <c r="D95" s="10"/>
      <c r="E95" s="9"/>
      <c r="F95" s="8"/>
      <c r="G95" s="95" t="s">
        <v>393</v>
      </c>
      <c r="H95" s="96">
        <f>H19</f>
        <v>1449.123</v>
      </c>
      <c r="I95" s="96">
        <f t="shared" ref="I95:S95" si="28">I19</f>
        <v>627.18600000000004</v>
      </c>
      <c r="J95" s="96">
        <f t="shared" si="28"/>
        <v>1474.5060000000001</v>
      </c>
      <c r="K95" s="96">
        <f t="shared" si="28"/>
        <v>2640.43</v>
      </c>
      <c r="L95" s="96">
        <f t="shared" si="28"/>
        <v>10099.922999999999</v>
      </c>
      <c r="M95" s="96">
        <f t="shared" si="28"/>
        <v>1914.6509999999998</v>
      </c>
      <c r="N95" s="96">
        <f>N19</f>
        <v>2723.5314099999996</v>
      </c>
      <c r="O95" s="96">
        <f t="shared" si="28"/>
        <v>1964</v>
      </c>
      <c r="P95" s="96">
        <f t="shared" si="28"/>
        <v>1964</v>
      </c>
      <c r="Q95" s="96">
        <f t="shared" si="28"/>
        <v>1964</v>
      </c>
      <c r="R95" s="96">
        <f t="shared" si="28"/>
        <v>1964</v>
      </c>
      <c r="S95" s="96">
        <f t="shared" si="28"/>
        <v>1964</v>
      </c>
    </row>
    <row r="96" spans="1:19" s="4" customFormat="1" x14ac:dyDescent="0.2">
      <c r="A96" s="8"/>
      <c r="B96" s="2" t="s">
        <v>394</v>
      </c>
      <c r="C96" s="10"/>
      <c r="D96" s="10"/>
      <c r="E96" s="9"/>
      <c r="F96" s="8"/>
      <c r="G96" s="97" t="s">
        <v>391</v>
      </c>
      <c r="H96" s="98"/>
      <c r="I96" s="96">
        <f>I95-H95</f>
        <v>-821.93700000000001</v>
      </c>
      <c r="J96" s="96">
        <f t="shared" ref="J96:S96" si="29">J95-I95</f>
        <v>847.32</v>
      </c>
      <c r="K96" s="96">
        <f t="shared" si="29"/>
        <v>1165.9239999999998</v>
      </c>
      <c r="L96" s="96">
        <f t="shared" si="29"/>
        <v>7459.4929999999986</v>
      </c>
      <c r="M96" s="96">
        <f t="shared" si="29"/>
        <v>-8185.271999999999</v>
      </c>
      <c r="N96" s="96">
        <f t="shared" si="29"/>
        <v>808.88040999999976</v>
      </c>
      <c r="O96" s="96">
        <f t="shared" si="29"/>
        <v>-759.5314099999996</v>
      </c>
      <c r="P96" s="96">
        <f t="shared" si="29"/>
        <v>0</v>
      </c>
      <c r="Q96" s="96">
        <f t="shared" si="29"/>
        <v>0</v>
      </c>
      <c r="R96" s="96">
        <f t="shared" si="29"/>
        <v>0</v>
      </c>
      <c r="S96" s="96">
        <f t="shared" si="29"/>
        <v>0</v>
      </c>
    </row>
    <row r="97" spans="1:20" s="40" customFormat="1" x14ac:dyDescent="0.2">
      <c r="A97" s="29" t="s">
        <v>395</v>
      </c>
      <c r="B97" s="2" t="s">
        <v>188</v>
      </c>
      <c r="C97" s="10" t="s">
        <v>396</v>
      </c>
      <c r="D97" s="99"/>
      <c r="E97" s="30"/>
      <c r="F97" s="29"/>
      <c r="G97" s="100" t="s">
        <v>386</v>
      </c>
      <c r="H97" s="101"/>
      <c r="I97" s="102">
        <f>I94-I96</f>
        <v>762.34299999999996</v>
      </c>
      <c r="J97" s="102">
        <f t="shared" ref="J97:S97" si="30">J94-J96</f>
        <v>-272.93299999999999</v>
      </c>
      <c r="K97" s="102">
        <f t="shared" si="30"/>
        <v>-264.42499999999973</v>
      </c>
      <c r="L97" s="102">
        <f t="shared" si="30"/>
        <v>6.7960000000002765</v>
      </c>
      <c r="M97" s="102">
        <f t="shared" si="30"/>
        <v>-50.986000000000786</v>
      </c>
      <c r="N97" s="102">
        <f t="shared" si="30"/>
        <v>-177.62280999999962</v>
      </c>
      <c r="O97" s="102">
        <f t="shared" si="30"/>
        <v>0.16880999999943924</v>
      </c>
      <c r="P97" s="102">
        <f t="shared" si="30"/>
        <v>5</v>
      </c>
      <c r="Q97" s="102">
        <f t="shared" si="30"/>
        <v>-10</v>
      </c>
      <c r="R97" s="102">
        <f t="shared" si="30"/>
        <v>-19</v>
      </c>
      <c r="S97" s="102">
        <f t="shared" si="30"/>
        <v>-15</v>
      </c>
    </row>
    <row r="98" spans="1:20" s="4" customFormat="1" x14ac:dyDescent="0.2">
      <c r="A98" s="8"/>
      <c r="B98" s="2"/>
      <c r="C98" s="10"/>
      <c r="D98" s="10"/>
      <c r="E98" s="9"/>
      <c r="F98" s="8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</row>
    <row r="99" spans="1:20" s="4" customFormat="1" x14ac:dyDescent="0.2">
      <c r="A99" s="8"/>
      <c r="B99" s="2" t="s">
        <v>397</v>
      </c>
      <c r="C99" s="10" t="s">
        <v>398</v>
      </c>
      <c r="D99" s="10"/>
      <c r="E99" s="9"/>
      <c r="F99" s="8"/>
      <c r="G99" s="95" t="s">
        <v>399</v>
      </c>
      <c r="H99" s="96">
        <f>H4-H93</f>
        <v>6668.1819999999998</v>
      </c>
      <c r="I99" s="96">
        <f t="shared" ref="I99:S99" si="31">I4-I93</f>
        <v>11071.573</v>
      </c>
      <c r="J99" s="96">
        <f t="shared" si="31"/>
        <v>10985.772999999999</v>
      </c>
      <c r="K99" s="96">
        <f t="shared" si="31"/>
        <v>11106.146000000001</v>
      </c>
      <c r="L99" s="96">
        <f t="shared" si="31"/>
        <v>11415.004999999999</v>
      </c>
      <c r="M99" s="96">
        <f t="shared" si="31"/>
        <v>14865.522000000001</v>
      </c>
      <c r="N99" s="96">
        <f t="shared" si="31"/>
        <v>21695.61508</v>
      </c>
      <c r="O99" s="96">
        <f t="shared" si="31"/>
        <v>20099.61508</v>
      </c>
      <c r="P99" s="96">
        <f t="shared" si="31"/>
        <v>18606</v>
      </c>
      <c r="Q99" s="96">
        <f t="shared" si="31"/>
        <v>17596</v>
      </c>
      <c r="R99" s="96">
        <f t="shared" si="31"/>
        <v>21377</v>
      </c>
      <c r="S99" s="96">
        <f t="shared" si="31"/>
        <v>25262</v>
      </c>
    </row>
    <row r="100" spans="1:20" s="4" customFormat="1" x14ac:dyDescent="0.2">
      <c r="A100" s="8"/>
      <c r="B100" s="2" t="s">
        <v>400</v>
      </c>
      <c r="C100" s="10"/>
      <c r="D100" s="10"/>
      <c r="E100" s="9"/>
      <c r="F100" s="8"/>
      <c r="G100" s="97" t="s">
        <v>391</v>
      </c>
      <c r="H100" s="98"/>
      <c r="I100" s="96">
        <f>I99-H99</f>
        <v>4403.3910000000005</v>
      </c>
      <c r="J100" s="96">
        <f t="shared" ref="J100:S100" si="32">J99-I99</f>
        <v>-85.800000000001091</v>
      </c>
      <c r="K100" s="96">
        <f t="shared" si="32"/>
        <v>120.37300000000141</v>
      </c>
      <c r="L100" s="96">
        <f t="shared" si="32"/>
        <v>308.85899999999856</v>
      </c>
      <c r="M100" s="96">
        <f t="shared" si="32"/>
        <v>3450.5170000000016</v>
      </c>
      <c r="N100" s="96">
        <f t="shared" si="32"/>
        <v>6830.0930799999987</v>
      </c>
      <c r="O100" s="96">
        <f t="shared" si="32"/>
        <v>-1596</v>
      </c>
      <c r="P100" s="96">
        <f t="shared" si="32"/>
        <v>-1493.6150799999996</v>
      </c>
      <c r="Q100" s="96">
        <f t="shared" si="32"/>
        <v>-1010</v>
      </c>
      <c r="R100" s="96">
        <f t="shared" si="32"/>
        <v>3781</v>
      </c>
      <c r="S100" s="96">
        <f t="shared" si="32"/>
        <v>3885</v>
      </c>
    </row>
    <row r="101" spans="1:20" s="4" customFormat="1" x14ac:dyDescent="0.2">
      <c r="A101" s="8"/>
      <c r="B101" s="2" t="s">
        <v>401</v>
      </c>
      <c r="C101" s="10" t="s">
        <v>64</v>
      </c>
      <c r="D101" s="10"/>
      <c r="E101" s="9"/>
      <c r="F101" s="8"/>
      <c r="G101" s="95" t="s">
        <v>402</v>
      </c>
      <c r="H101" s="96">
        <f>H27</f>
        <v>5791.8409999999994</v>
      </c>
      <c r="I101" s="96">
        <f t="shared" ref="I101:S101" si="33">I27</f>
        <v>10957.575000000001</v>
      </c>
      <c r="J101" s="96">
        <f t="shared" si="33"/>
        <v>10598.840999999999</v>
      </c>
      <c r="K101" s="96">
        <f t="shared" si="33"/>
        <v>10454.789999999999</v>
      </c>
      <c r="L101" s="96">
        <f t="shared" si="33"/>
        <v>10770.446</v>
      </c>
      <c r="M101" s="96">
        <f t="shared" si="33"/>
        <v>14169.976999999999</v>
      </c>
      <c r="N101" s="96">
        <f t="shared" si="33"/>
        <v>20822.44627</v>
      </c>
      <c r="O101" s="96">
        <f t="shared" si="33"/>
        <v>19226.44627</v>
      </c>
      <c r="P101" s="96">
        <f t="shared" si="33"/>
        <v>17738.44627</v>
      </c>
      <c r="Q101" s="96">
        <f t="shared" si="33"/>
        <v>16718.44627</v>
      </c>
      <c r="R101" s="96">
        <f t="shared" si="33"/>
        <v>20480.44627</v>
      </c>
      <c r="S101" s="96">
        <f t="shared" si="33"/>
        <v>24350.44627</v>
      </c>
    </row>
    <row r="102" spans="1:20" s="4" customFormat="1" x14ac:dyDescent="0.2">
      <c r="A102" s="8"/>
      <c r="B102" s="2" t="s">
        <v>403</v>
      </c>
      <c r="C102" s="10"/>
      <c r="D102" s="10"/>
      <c r="E102" s="9"/>
      <c r="F102" s="8"/>
      <c r="G102" s="97" t="s">
        <v>391</v>
      </c>
      <c r="H102" s="98"/>
      <c r="I102" s="96">
        <f>I101-H101</f>
        <v>5165.7340000000013</v>
      </c>
      <c r="J102" s="96">
        <f t="shared" ref="J102:S102" si="34">J101-I101</f>
        <v>-358.7340000000022</v>
      </c>
      <c r="K102" s="96">
        <f t="shared" si="34"/>
        <v>-144.05099999999948</v>
      </c>
      <c r="L102" s="96">
        <f t="shared" si="34"/>
        <v>315.65600000000086</v>
      </c>
      <c r="M102" s="96">
        <f t="shared" si="34"/>
        <v>3399.530999999999</v>
      </c>
      <c r="N102" s="96">
        <f t="shared" si="34"/>
        <v>6652.4692700000014</v>
      </c>
      <c r="O102" s="96">
        <f t="shared" si="34"/>
        <v>-1596</v>
      </c>
      <c r="P102" s="96">
        <f t="shared" si="34"/>
        <v>-1488</v>
      </c>
      <c r="Q102" s="96">
        <f t="shared" si="34"/>
        <v>-1020</v>
      </c>
      <c r="R102" s="96">
        <f t="shared" si="34"/>
        <v>3762</v>
      </c>
      <c r="S102" s="96">
        <f t="shared" si="34"/>
        <v>3870</v>
      </c>
    </row>
    <row r="103" spans="1:20" s="40" customFormat="1" x14ac:dyDescent="0.2">
      <c r="A103" s="29" t="s">
        <v>404</v>
      </c>
      <c r="B103" s="2" t="s">
        <v>189</v>
      </c>
      <c r="C103" s="10" t="s">
        <v>405</v>
      </c>
      <c r="D103" s="10"/>
      <c r="E103" s="9"/>
      <c r="F103" s="8"/>
      <c r="G103" s="100" t="s">
        <v>406</v>
      </c>
      <c r="H103" s="101"/>
      <c r="I103" s="102">
        <f>I102-I100</f>
        <v>762.34300000000076</v>
      </c>
      <c r="J103" s="102">
        <f t="shared" ref="J103:S103" si="35">J102-J100</f>
        <v>-272.93400000000111</v>
      </c>
      <c r="K103" s="102">
        <f t="shared" si="35"/>
        <v>-264.42400000000089</v>
      </c>
      <c r="L103" s="102">
        <f t="shared" si="35"/>
        <v>6.7970000000022992</v>
      </c>
      <c r="M103" s="102">
        <f t="shared" si="35"/>
        <v>-50.986000000002605</v>
      </c>
      <c r="N103" s="102">
        <f t="shared" si="35"/>
        <v>-177.62380999999732</v>
      </c>
      <c r="O103" s="102">
        <f t="shared" si="35"/>
        <v>0</v>
      </c>
      <c r="P103" s="102">
        <f t="shared" si="35"/>
        <v>5.6150799999995797</v>
      </c>
      <c r="Q103" s="102">
        <f t="shared" si="35"/>
        <v>-10</v>
      </c>
      <c r="R103" s="102">
        <f t="shared" si="35"/>
        <v>-19</v>
      </c>
      <c r="S103" s="102">
        <f t="shared" si="35"/>
        <v>-15</v>
      </c>
    </row>
    <row r="104" spans="1:20" s="4" customFormat="1" x14ac:dyDescent="0.2">
      <c r="A104" s="8"/>
      <c r="B104" s="2"/>
      <c r="C104" s="10"/>
      <c r="D104" s="10"/>
      <c r="E104" s="9"/>
      <c r="F104" s="8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</row>
    <row r="105" spans="1:20" s="4" customFormat="1" x14ac:dyDescent="0.2">
      <c r="A105" s="13"/>
      <c r="B105" s="2"/>
      <c r="C105" s="10"/>
      <c r="D105" s="10"/>
      <c r="E105" s="9"/>
      <c r="F105" s="8"/>
      <c r="G105" s="94" t="s">
        <v>407</v>
      </c>
      <c r="H105" s="87">
        <f t="shared" ref="H105:S105" si="36">H32</f>
        <v>2011</v>
      </c>
      <c r="I105" s="87">
        <f t="shared" si="36"/>
        <v>2012</v>
      </c>
      <c r="J105" s="87">
        <f t="shared" si="36"/>
        <v>2013</v>
      </c>
      <c r="K105" s="87">
        <f t="shared" si="36"/>
        <v>2014</v>
      </c>
      <c r="L105" s="87">
        <f t="shared" si="36"/>
        <v>2015</v>
      </c>
      <c r="M105" s="87">
        <f t="shared" si="36"/>
        <v>2016</v>
      </c>
      <c r="N105" s="87">
        <f t="shared" si="36"/>
        <v>2017</v>
      </c>
      <c r="O105" s="87">
        <f t="shared" si="36"/>
        <v>2018</v>
      </c>
      <c r="P105" s="87">
        <f t="shared" si="36"/>
        <v>2019</v>
      </c>
      <c r="Q105" s="87">
        <f t="shared" si="36"/>
        <v>2020</v>
      </c>
      <c r="R105" s="87">
        <f t="shared" si="36"/>
        <v>2021</v>
      </c>
      <c r="S105" s="87">
        <f t="shared" si="36"/>
        <v>2022</v>
      </c>
    </row>
    <row r="106" spans="1:20" s="40" customFormat="1" x14ac:dyDescent="0.2">
      <c r="A106" s="29" t="s">
        <v>408</v>
      </c>
      <c r="B106" s="2" t="s">
        <v>192</v>
      </c>
      <c r="C106" s="29" t="s">
        <v>409</v>
      </c>
      <c r="D106" s="10"/>
      <c r="E106" s="9"/>
      <c r="F106" s="8"/>
      <c r="G106" s="103" t="s">
        <v>407</v>
      </c>
      <c r="H106" s="101" t="s">
        <v>358</v>
      </c>
      <c r="I106" s="104">
        <f t="shared" ref="I106:N106" si="37">(I48-I45+I50)+(I58+I59)+(I82+I83+I84+I85)-(I85-I49)</f>
        <v>-305.33700000000124</v>
      </c>
      <c r="J106" s="104">
        <f t="shared" si="37"/>
        <v>-272.7309999999984</v>
      </c>
      <c r="K106" s="104">
        <f t="shared" si="37"/>
        <v>-264.4710000000016</v>
      </c>
      <c r="L106" s="104">
        <f t="shared" si="37"/>
        <v>704.0569999999999</v>
      </c>
      <c r="M106" s="104">
        <f t="shared" si="37"/>
        <v>-50.687999999998283</v>
      </c>
      <c r="N106" s="104">
        <f t="shared" si="37"/>
        <v>-177.91138999999839</v>
      </c>
      <c r="O106" s="104">
        <f>(O48-O45+O50)+(O58+O59)+(O82+O83+O84+O85)-(O85-O49)</f>
        <v>0</v>
      </c>
      <c r="P106" s="104">
        <f>(P48-P45+P50)+(P58+P59)+(P82+P83+P84+P85)-(P85-P49)</f>
        <v>5.5828999999994267</v>
      </c>
      <c r="Q106" s="104">
        <f>(Q48-Q45+Q50)+(Q58+Q59)+(Q82+Q83+Q84+Q85)-(Q85-Q49)</f>
        <v>-9.9245450000016717</v>
      </c>
      <c r="R106" s="104">
        <f>(R48-R45+R50)+(R58+R59)+(R82+R83+R84+R85)-(R85-R49)</f>
        <v>-18.931073050003761</v>
      </c>
      <c r="S106" s="104">
        <f>(S48-S45+S50)+(S58+S59)+(S82+S83+S84+S85)-(S85-S49)</f>
        <v>-14.806158502500693</v>
      </c>
    </row>
    <row r="107" spans="1:20" s="40" customFormat="1" x14ac:dyDescent="0.2">
      <c r="A107" s="29" t="s">
        <v>410</v>
      </c>
      <c r="B107" s="2" t="s">
        <v>194</v>
      </c>
      <c r="C107" s="29" t="s">
        <v>411</v>
      </c>
      <c r="D107" s="10"/>
      <c r="E107" s="9"/>
      <c r="F107" s="8"/>
      <c r="G107" s="89" t="s">
        <v>412</v>
      </c>
      <c r="H107" s="101" t="s">
        <v>358</v>
      </c>
      <c r="I107" s="85">
        <f>I97-I106</f>
        <v>1067.6800000000012</v>
      </c>
      <c r="J107" s="85">
        <f t="shared" ref="J107:S107" si="38">J97-J106</f>
        <v>-0.2020000000015898</v>
      </c>
      <c r="K107" s="85">
        <f t="shared" si="38"/>
        <v>4.6000000001868102E-2</v>
      </c>
      <c r="L107" s="85">
        <f t="shared" si="38"/>
        <v>-697.26099999999963</v>
      </c>
      <c r="M107" s="85">
        <f t="shared" si="38"/>
        <v>-0.29800000000250293</v>
      </c>
      <c r="N107" s="85">
        <f t="shared" si="38"/>
        <v>0.28857999999877393</v>
      </c>
      <c r="O107" s="85">
        <f t="shared" si="38"/>
        <v>0.16880999999943924</v>
      </c>
      <c r="P107" s="85">
        <f t="shared" si="38"/>
        <v>-0.58289999999942665</v>
      </c>
      <c r="Q107" s="85">
        <f t="shared" si="38"/>
        <v>-7.5454999998328276E-2</v>
      </c>
      <c r="R107" s="85">
        <f t="shared" si="38"/>
        <v>-6.8926949996239273E-2</v>
      </c>
      <c r="S107" s="85">
        <f t="shared" si="38"/>
        <v>-0.19384149749930657</v>
      </c>
    </row>
    <row r="108" spans="1:20" s="40" customFormat="1" x14ac:dyDescent="0.2">
      <c r="A108" s="29"/>
      <c r="B108" s="2"/>
      <c r="C108" s="29"/>
      <c r="D108" s="10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</row>
    <row r="109" spans="1:20" s="40" customFormat="1" x14ac:dyDescent="0.2">
      <c r="A109" s="29"/>
      <c r="B109" s="2"/>
      <c r="C109" s="29"/>
      <c r="D109" s="10"/>
      <c r="E109" s="9"/>
      <c r="F109" s="8"/>
      <c r="G109" s="94" t="s">
        <v>413</v>
      </c>
      <c r="H109" s="87">
        <f>H105</f>
        <v>2011</v>
      </c>
      <c r="I109" s="87">
        <f t="shared" ref="I109:S109" si="39">I105</f>
        <v>2012</v>
      </c>
      <c r="J109" s="87">
        <f t="shared" si="39"/>
        <v>2013</v>
      </c>
      <c r="K109" s="87">
        <f t="shared" si="39"/>
        <v>2014</v>
      </c>
      <c r="L109" s="87">
        <f t="shared" si="39"/>
        <v>2015</v>
      </c>
      <c r="M109" s="87">
        <f t="shared" si="39"/>
        <v>2016</v>
      </c>
      <c r="N109" s="87">
        <f t="shared" si="39"/>
        <v>2017</v>
      </c>
      <c r="O109" s="87">
        <f t="shared" si="39"/>
        <v>2018</v>
      </c>
      <c r="P109" s="87">
        <f t="shared" si="39"/>
        <v>2019</v>
      </c>
      <c r="Q109" s="87">
        <f t="shared" si="39"/>
        <v>2020</v>
      </c>
      <c r="R109" s="87">
        <f t="shared" si="39"/>
        <v>2021</v>
      </c>
      <c r="S109" s="87">
        <f t="shared" si="39"/>
        <v>2022</v>
      </c>
    </row>
    <row r="110" spans="1:20" s="4" customFormat="1" x14ac:dyDescent="0.2">
      <c r="A110" s="8" t="s">
        <v>414</v>
      </c>
      <c r="B110" s="2" t="s">
        <v>415</v>
      </c>
      <c r="C110" s="34" t="s">
        <v>190</v>
      </c>
      <c r="D110" s="10"/>
      <c r="E110" s="9"/>
      <c r="F110" s="8"/>
      <c r="G110" s="103" t="s">
        <v>191</v>
      </c>
      <c r="H110" s="105">
        <f t="shared" ref="H110:S110" si="40">H33+H38+H41-H45</f>
        <v>-3802.0179999999996</v>
      </c>
      <c r="I110" s="77">
        <f t="shared" si="40"/>
        <v>248.01999999999867</v>
      </c>
      <c r="J110" s="77">
        <f t="shared" si="40"/>
        <v>160.35600000000159</v>
      </c>
      <c r="K110" s="77">
        <f t="shared" si="40"/>
        <v>381.22299999999836</v>
      </c>
      <c r="L110" s="77">
        <f t="shared" si="40"/>
        <v>834.29299999999989</v>
      </c>
      <c r="M110" s="77">
        <f t="shared" si="40"/>
        <v>4112.6410000000024</v>
      </c>
      <c r="N110" s="77">
        <f t="shared" si="40"/>
        <v>7671.8806700000014</v>
      </c>
      <c r="O110" s="77">
        <f t="shared" si="40"/>
        <v>0</v>
      </c>
      <c r="P110" s="77">
        <f t="shared" si="40"/>
        <v>5.5828999999994267</v>
      </c>
      <c r="Q110" s="77">
        <f t="shared" si="40"/>
        <v>190.07545499999833</v>
      </c>
      <c r="R110" s="77">
        <f t="shared" si="40"/>
        <v>4981.0689269499962</v>
      </c>
      <c r="S110" s="77">
        <f t="shared" si="40"/>
        <v>4985.1938414974993</v>
      </c>
    </row>
    <row r="111" spans="1:20" s="4" customFormat="1" x14ac:dyDescent="0.2">
      <c r="A111" s="8" t="s">
        <v>416</v>
      </c>
      <c r="B111" s="2" t="s">
        <v>197</v>
      </c>
      <c r="C111" s="8" t="s">
        <v>417</v>
      </c>
      <c r="D111" s="10"/>
      <c r="E111" s="106">
        <v>0</v>
      </c>
      <c r="F111" s="8"/>
      <c r="G111" s="46" t="s">
        <v>193</v>
      </c>
      <c r="H111" s="107">
        <f t="shared" ref="H111:S111" si="41">H110/H33</f>
        <v>-1.4754918929827145</v>
      </c>
      <c r="I111" s="108">
        <f t="shared" si="41"/>
        <v>3.1114734737539985E-2</v>
      </c>
      <c r="J111" s="108">
        <f t="shared" si="41"/>
        <v>2.0467415651173437E-2</v>
      </c>
      <c r="K111" s="108">
        <f t="shared" si="41"/>
        <v>4.6236001627622335E-2</v>
      </c>
      <c r="L111" s="108">
        <f t="shared" si="41"/>
        <v>9.2238745905164538E-2</v>
      </c>
      <c r="M111" s="108">
        <f t="shared" si="41"/>
        <v>0.31374885404537545</v>
      </c>
      <c r="N111" s="108">
        <f t="shared" si="41"/>
        <v>0.4532541706782186</v>
      </c>
      <c r="O111" s="108">
        <f t="shared" si="41"/>
        <v>0</v>
      </c>
      <c r="P111" s="108">
        <f t="shared" si="41"/>
        <v>5.0845923100766033E-4</v>
      </c>
      <c r="Q111" s="108">
        <f t="shared" si="41"/>
        <v>1.5524620319222728E-2</v>
      </c>
      <c r="R111" s="108">
        <f t="shared" si="41"/>
        <v>0.27321954904600709</v>
      </c>
      <c r="S111" s="108">
        <f t="shared" si="41"/>
        <v>0.25833015073796661</v>
      </c>
    </row>
    <row r="112" spans="1:20" s="4" customFormat="1" x14ac:dyDescent="0.2">
      <c r="A112" s="8" t="s">
        <v>418</v>
      </c>
      <c r="B112" s="2" t="s">
        <v>200</v>
      </c>
      <c r="C112" s="34" t="s">
        <v>195</v>
      </c>
      <c r="D112" s="10"/>
      <c r="E112" s="109"/>
      <c r="F112" s="8"/>
      <c r="G112" s="110" t="s">
        <v>196</v>
      </c>
      <c r="H112" s="111">
        <f t="shared" ref="H112:S112" si="42">-H33/(H38+H41)</f>
        <v>0.39091684729972798</v>
      </c>
      <c r="I112" s="111">
        <f t="shared" si="42"/>
        <v>0.99669462429750588</v>
      </c>
      <c r="J112" s="111">
        <f t="shared" si="42"/>
        <v>0.95644263801842344</v>
      </c>
      <c r="K112" s="111">
        <f t="shared" si="42"/>
        <v>0.98287376156657935</v>
      </c>
      <c r="L112" s="111">
        <f t="shared" si="42"/>
        <v>1.0343107960469695</v>
      </c>
      <c r="M112" s="111">
        <f t="shared" si="42"/>
        <v>1.3481316110357813</v>
      </c>
      <c r="N112" s="111">
        <f t="shared" si="42"/>
        <v>1.6474748261097352</v>
      </c>
      <c r="O112" s="111">
        <f t="shared" si="42"/>
        <v>0.86382189815550348</v>
      </c>
      <c r="P112" s="111">
        <f t="shared" si="42"/>
        <v>0.88062534756720956</v>
      </c>
      <c r="Q112" s="111">
        <f t="shared" si="42"/>
        <v>0.92310238581279169</v>
      </c>
      <c r="R112" s="111">
        <f t="shared" si="42"/>
        <v>1.260009930283053</v>
      </c>
      <c r="S112" s="111">
        <f t="shared" si="42"/>
        <v>1.2508622051625424</v>
      </c>
    </row>
    <row r="113" spans="1:20" s="4" customFormat="1" x14ac:dyDescent="0.2">
      <c r="A113" s="8" t="s">
        <v>419</v>
      </c>
      <c r="B113" s="2" t="s">
        <v>420</v>
      </c>
      <c r="C113" s="8" t="s">
        <v>198</v>
      </c>
      <c r="D113" s="10"/>
      <c r="E113" s="109"/>
      <c r="F113" s="8"/>
      <c r="G113" s="103" t="s">
        <v>199</v>
      </c>
      <c r="H113" s="105">
        <f t="shared" ref="H113:S113" si="43">H46</f>
        <v>-4014.8519999999994</v>
      </c>
      <c r="I113" s="105">
        <f t="shared" si="43"/>
        <v>-26.43500000000131</v>
      </c>
      <c r="J113" s="105">
        <f t="shared" si="43"/>
        <v>-356.79999999999836</v>
      </c>
      <c r="K113" s="105">
        <f t="shared" si="43"/>
        <v>-143.66900000000169</v>
      </c>
      <c r="L113" s="105">
        <f t="shared" si="43"/>
        <v>300.04399999999987</v>
      </c>
      <c r="M113" s="105">
        <f t="shared" si="43"/>
        <v>3384.9310000000023</v>
      </c>
      <c r="N113" s="105">
        <f t="shared" si="43"/>
        <v>6652.1821200000013</v>
      </c>
      <c r="O113" s="105">
        <f t="shared" si="43"/>
        <v>-1596</v>
      </c>
      <c r="P113" s="105">
        <f t="shared" si="43"/>
        <v>-1488.4171000000006</v>
      </c>
      <c r="Q113" s="105">
        <f t="shared" si="43"/>
        <v>-1019.9245450000017</v>
      </c>
      <c r="R113" s="105">
        <f t="shared" si="43"/>
        <v>3762.0689269499962</v>
      </c>
      <c r="S113" s="105">
        <f t="shared" si="43"/>
        <v>3870.1938414974993</v>
      </c>
    </row>
    <row r="114" spans="1:20" s="4" customFormat="1" x14ac:dyDescent="0.2">
      <c r="A114" s="8" t="s">
        <v>421</v>
      </c>
      <c r="B114" s="2" t="s">
        <v>422</v>
      </c>
      <c r="C114" s="8" t="s">
        <v>201</v>
      </c>
      <c r="D114" s="106">
        <v>-0.3</v>
      </c>
      <c r="E114" s="106">
        <v>0</v>
      </c>
      <c r="F114" s="8"/>
      <c r="G114" s="110" t="s">
        <v>202</v>
      </c>
      <c r="H114" s="112">
        <f t="shared" ref="H114:S114" si="44">H46/H33</f>
        <v>-1.55808877746645</v>
      </c>
      <c r="I114" s="113">
        <f t="shared" si="44"/>
        <v>-3.3163374437017766E-3</v>
      </c>
      <c r="J114" s="113">
        <f t="shared" si="44"/>
        <v>-4.5541008158962407E-2</v>
      </c>
      <c r="K114" s="113">
        <f t="shared" si="44"/>
        <v>-1.7424657268420268E-2</v>
      </c>
      <c r="L114" s="113">
        <f t="shared" si="44"/>
        <v>3.3172617145737986E-2</v>
      </c>
      <c r="M114" s="113">
        <f t="shared" si="44"/>
        <v>0.25823265932345341</v>
      </c>
      <c r="N114" s="113">
        <f t="shared" si="44"/>
        <v>0.39301045202532769</v>
      </c>
      <c r="O114" s="113">
        <f t="shared" si="44"/>
        <v>-0.15764604038780927</v>
      </c>
      <c r="P114" s="113">
        <f t="shared" si="44"/>
        <v>-0.13555668453397515</v>
      </c>
      <c r="Q114" s="113">
        <f t="shared" si="44"/>
        <v>-8.3303450807897111E-2</v>
      </c>
      <c r="R114" s="113">
        <f t="shared" si="44"/>
        <v>0.20635546120231241</v>
      </c>
      <c r="S114" s="113">
        <f t="shared" si="44"/>
        <v>0.20055143094673994</v>
      </c>
    </row>
    <row r="115" spans="1:20" s="4" customFormat="1" x14ac:dyDescent="0.2">
      <c r="A115" s="8" t="s">
        <v>423</v>
      </c>
      <c r="B115" s="2" t="s">
        <v>424</v>
      </c>
      <c r="C115" s="8" t="s">
        <v>204</v>
      </c>
      <c r="D115" s="10"/>
      <c r="E115" s="109"/>
      <c r="F115" s="8"/>
      <c r="G115" s="46" t="s">
        <v>205</v>
      </c>
      <c r="H115" s="105">
        <f t="shared" ref="H115:S115" si="45">H29+H30</f>
        <v>-4023.0749999999998</v>
      </c>
      <c r="I115" s="105">
        <f t="shared" si="45"/>
        <v>10957.575000000001</v>
      </c>
      <c r="J115" s="105">
        <f t="shared" si="45"/>
        <v>10598.840999999999</v>
      </c>
      <c r="K115" s="105">
        <f t="shared" si="45"/>
        <v>10454.789999999999</v>
      </c>
      <c r="L115" s="105">
        <f t="shared" si="45"/>
        <v>-414.04200000000003</v>
      </c>
      <c r="M115" s="105">
        <f t="shared" si="45"/>
        <v>2985.489</v>
      </c>
      <c r="N115" s="105">
        <f t="shared" si="45"/>
        <v>9637.9582699999992</v>
      </c>
      <c r="O115" s="105">
        <f t="shared" si="45"/>
        <v>8041.9582699999992</v>
      </c>
      <c r="P115" s="105">
        <f t="shared" si="45"/>
        <v>6553.9582699999992</v>
      </c>
      <c r="Q115" s="105">
        <f t="shared" si="45"/>
        <v>5533.9582699999992</v>
      </c>
      <c r="R115" s="105">
        <f t="shared" si="45"/>
        <v>9295.9582699999992</v>
      </c>
      <c r="S115" s="105">
        <f t="shared" si="45"/>
        <v>13165.958269999999</v>
      </c>
    </row>
    <row r="116" spans="1:20" s="4" customFormat="1" x14ac:dyDescent="0.2">
      <c r="A116" s="8"/>
      <c r="B116" s="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</row>
    <row r="117" spans="1:20" s="4" customFormat="1" x14ac:dyDescent="0.2">
      <c r="A117" s="8"/>
      <c r="B117" s="2"/>
      <c r="C117" s="10"/>
      <c r="D117" s="10"/>
      <c r="E117" s="8"/>
      <c r="F117" s="8"/>
      <c r="G117" s="94" t="s">
        <v>206</v>
      </c>
      <c r="H117" s="87">
        <f t="shared" ref="H117:S117" si="46">H105</f>
        <v>2011</v>
      </c>
      <c r="I117" s="87">
        <f t="shared" si="46"/>
        <v>2012</v>
      </c>
      <c r="J117" s="87">
        <f t="shared" si="46"/>
        <v>2013</v>
      </c>
      <c r="K117" s="87">
        <f t="shared" si="46"/>
        <v>2014</v>
      </c>
      <c r="L117" s="87">
        <f t="shared" si="46"/>
        <v>2015</v>
      </c>
      <c r="M117" s="87">
        <f t="shared" si="46"/>
        <v>2016</v>
      </c>
      <c r="N117" s="87">
        <f t="shared" si="46"/>
        <v>2017</v>
      </c>
      <c r="O117" s="87">
        <f t="shared" si="46"/>
        <v>2018</v>
      </c>
      <c r="P117" s="87">
        <f t="shared" si="46"/>
        <v>2019</v>
      </c>
      <c r="Q117" s="87">
        <f t="shared" si="46"/>
        <v>2020</v>
      </c>
      <c r="R117" s="87">
        <f t="shared" si="46"/>
        <v>2021</v>
      </c>
      <c r="S117" s="87">
        <f t="shared" si="46"/>
        <v>2022</v>
      </c>
    </row>
    <row r="118" spans="1:20" s="4" customFormat="1" x14ac:dyDescent="0.2">
      <c r="A118" s="34" t="s">
        <v>425</v>
      </c>
      <c r="B118" s="2" t="s">
        <v>426</v>
      </c>
      <c r="C118" s="10" t="s">
        <v>208</v>
      </c>
      <c r="D118" s="10"/>
      <c r="E118" s="109"/>
      <c r="F118" s="37"/>
      <c r="G118" s="103" t="s">
        <v>209</v>
      </c>
      <c r="H118" s="105">
        <f t="shared" ref="H118:S118" si="47">H6+H12</f>
        <v>58.613999999999997</v>
      </c>
      <c r="I118" s="77">
        <f t="shared" si="47"/>
        <v>402.851</v>
      </c>
      <c r="J118" s="77">
        <f t="shared" si="47"/>
        <v>649.46199999999999</v>
      </c>
      <c r="K118" s="77">
        <f t="shared" si="47"/>
        <v>1552.807</v>
      </c>
      <c r="L118" s="77">
        <f t="shared" si="47"/>
        <v>9023.2919999999995</v>
      </c>
      <c r="M118" s="77">
        <f t="shared" si="47"/>
        <v>656.08</v>
      </c>
      <c r="N118" s="77">
        <f t="shared" si="47"/>
        <v>1222.27323</v>
      </c>
      <c r="O118" s="77">
        <f t="shared" si="47"/>
        <v>501</v>
      </c>
      <c r="P118" s="77">
        <f t="shared" si="47"/>
        <v>500</v>
      </c>
      <c r="Q118" s="77">
        <f t="shared" si="47"/>
        <v>500</v>
      </c>
      <c r="R118" s="77">
        <f t="shared" si="47"/>
        <v>500</v>
      </c>
      <c r="S118" s="77">
        <f t="shared" si="47"/>
        <v>500</v>
      </c>
    </row>
    <row r="119" spans="1:20" s="4" customFormat="1" x14ac:dyDescent="0.2">
      <c r="A119" s="8" t="s">
        <v>427</v>
      </c>
      <c r="B119" s="2" t="s">
        <v>428</v>
      </c>
      <c r="C119" s="8" t="s">
        <v>42</v>
      </c>
      <c r="D119" s="10"/>
      <c r="E119" s="109"/>
      <c r="F119" s="37"/>
      <c r="G119" s="110" t="s">
        <v>211</v>
      </c>
      <c r="H119" s="105">
        <f t="shared" ref="H119:S119" si="48">H19</f>
        <v>1449.123</v>
      </c>
      <c r="I119" s="105">
        <f t="shared" si="48"/>
        <v>627.18600000000004</v>
      </c>
      <c r="J119" s="105">
        <f t="shared" si="48"/>
        <v>1474.5060000000001</v>
      </c>
      <c r="K119" s="105">
        <f t="shared" si="48"/>
        <v>2640.43</v>
      </c>
      <c r="L119" s="105">
        <f t="shared" si="48"/>
        <v>10099.922999999999</v>
      </c>
      <c r="M119" s="105">
        <f t="shared" si="48"/>
        <v>1914.6509999999998</v>
      </c>
      <c r="N119" s="105">
        <f t="shared" si="48"/>
        <v>2723.5314099999996</v>
      </c>
      <c r="O119" s="105">
        <f t="shared" si="48"/>
        <v>1964</v>
      </c>
      <c r="P119" s="105">
        <f t="shared" si="48"/>
        <v>1964</v>
      </c>
      <c r="Q119" s="105">
        <f t="shared" si="48"/>
        <v>1964</v>
      </c>
      <c r="R119" s="105">
        <f t="shared" si="48"/>
        <v>1964</v>
      </c>
      <c r="S119" s="105">
        <f t="shared" si="48"/>
        <v>1964</v>
      </c>
    </row>
    <row r="120" spans="1:20" s="4" customFormat="1" x14ac:dyDescent="0.2">
      <c r="A120" s="8" t="s">
        <v>429</v>
      </c>
      <c r="B120" s="2" t="s">
        <v>203</v>
      </c>
      <c r="C120" s="8" t="s">
        <v>430</v>
      </c>
      <c r="D120" s="10"/>
      <c r="E120" s="109"/>
      <c r="F120" s="37"/>
      <c r="G120" s="110" t="s">
        <v>212</v>
      </c>
      <c r="H120" s="105">
        <f t="shared" ref="H120:S120" si="49">H119-H118</f>
        <v>1390.509</v>
      </c>
      <c r="I120" s="77">
        <f t="shared" si="49"/>
        <v>224.33500000000004</v>
      </c>
      <c r="J120" s="77">
        <f t="shared" si="49"/>
        <v>825.0440000000001</v>
      </c>
      <c r="K120" s="77">
        <f t="shared" si="49"/>
        <v>1087.6229999999998</v>
      </c>
      <c r="L120" s="77">
        <f t="shared" si="49"/>
        <v>1076.6309999999994</v>
      </c>
      <c r="M120" s="77">
        <f>M119-M118</f>
        <v>1258.5709999999999</v>
      </c>
      <c r="N120" s="77">
        <f t="shared" si="49"/>
        <v>1501.2581799999996</v>
      </c>
      <c r="O120" s="77">
        <f t="shared" si="49"/>
        <v>1463</v>
      </c>
      <c r="P120" s="77">
        <f t="shared" si="49"/>
        <v>1464</v>
      </c>
      <c r="Q120" s="77">
        <f t="shared" si="49"/>
        <v>1464</v>
      </c>
      <c r="R120" s="77">
        <f t="shared" si="49"/>
        <v>1464</v>
      </c>
      <c r="S120" s="77">
        <f t="shared" si="49"/>
        <v>1464</v>
      </c>
    </row>
    <row r="121" spans="1:20" s="4" customFormat="1" x14ac:dyDescent="0.2">
      <c r="A121" s="34" t="s">
        <v>431</v>
      </c>
      <c r="B121" s="2" t="s">
        <v>207</v>
      </c>
      <c r="C121" s="8" t="s">
        <v>432</v>
      </c>
      <c r="D121" s="10"/>
      <c r="E121" s="106">
        <v>0.4</v>
      </c>
      <c r="F121" s="114" t="s">
        <v>433</v>
      </c>
      <c r="G121" s="46" t="s">
        <v>213</v>
      </c>
      <c r="H121" s="115">
        <f t="shared" ref="H121:S121" si="50">H120/H33</f>
        <v>0.53963046903499712</v>
      </c>
      <c r="I121" s="108">
        <f t="shared" si="50"/>
        <v>2.8143391731900939E-2</v>
      </c>
      <c r="J121" s="108">
        <f t="shared" si="50"/>
        <v>0.10530643367573755</v>
      </c>
      <c r="K121" s="108">
        <f t="shared" si="50"/>
        <v>0.13191055838246823</v>
      </c>
      <c r="L121" s="108">
        <f t="shared" si="50"/>
        <v>0.11903143529026752</v>
      </c>
      <c r="M121" s="108">
        <f t="shared" si="50"/>
        <v>9.6014995956306887E-2</v>
      </c>
      <c r="N121" s="108">
        <f t="shared" si="50"/>
        <v>8.8694227741395709E-2</v>
      </c>
      <c r="O121" s="108">
        <f t="shared" si="50"/>
        <v>0.14450887035549181</v>
      </c>
      <c r="P121" s="108">
        <f t="shared" si="50"/>
        <v>0.13333291196247313</v>
      </c>
      <c r="Q121" s="108">
        <f t="shared" si="50"/>
        <v>0.11957379845463094</v>
      </c>
      <c r="R121" s="108">
        <f t="shared" si="50"/>
        <v>8.0302727320073042E-2</v>
      </c>
      <c r="S121" s="108">
        <f t="shared" si="50"/>
        <v>7.586371818327875E-2</v>
      </c>
    </row>
    <row r="122" spans="1:20" s="4" customFormat="1" x14ac:dyDescent="0.2">
      <c r="A122" s="8" t="s">
        <v>434</v>
      </c>
      <c r="B122" s="2" t="s">
        <v>210</v>
      </c>
      <c r="C122" s="8" t="s">
        <v>435</v>
      </c>
      <c r="D122" s="116">
        <v>0</v>
      </c>
      <c r="E122" s="116">
        <v>5</v>
      </c>
      <c r="F122" s="37"/>
      <c r="G122" s="100" t="s">
        <v>215</v>
      </c>
      <c r="H122" s="111">
        <f t="shared" ref="H122:S122" si="51">H120/H110</f>
        <v>-0.36572919959873945</v>
      </c>
      <c r="I122" s="111">
        <f t="shared" si="51"/>
        <v>0.90450366905895185</v>
      </c>
      <c r="J122" s="111">
        <f t="shared" si="51"/>
        <v>5.1450772032227787</v>
      </c>
      <c r="K122" s="111">
        <f t="shared" si="51"/>
        <v>2.8529836867135625</v>
      </c>
      <c r="L122" s="111">
        <f t="shared" si="51"/>
        <v>1.2904710934887378</v>
      </c>
      <c r="M122" s="111">
        <f>M120/M110</f>
        <v>0.30602500923372578</v>
      </c>
      <c r="N122" s="111">
        <f t="shared" si="51"/>
        <v>0.19568320266900074</v>
      </c>
      <c r="O122" s="111" t="e">
        <f t="shared" si="51"/>
        <v>#DIV/0!</v>
      </c>
      <c r="P122" s="111">
        <f t="shared" si="51"/>
        <v>262.22930734925404</v>
      </c>
      <c r="Q122" s="111">
        <f t="shared" si="51"/>
        <v>7.7022043693122439</v>
      </c>
      <c r="R122" s="111">
        <f t="shared" si="51"/>
        <v>0.29391281700179867</v>
      </c>
      <c r="S122" s="111">
        <f t="shared" si="51"/>
        <v>0.29366962379946893</v>
      </c>
    </row>
    <row r="123" spans="1:20" s="4" customFormat="1" x14ac:dyDescent="0.2">
      <c r="A123" s="8" t="s">
        <v>436</v>
      </c>
      <c r="B123" s="2" t="s">
        <v>437</v>
      </c>
      <c r="C123" s="8" t="s">
        <v>217</v>
      </c>
      <c r="D123" s="10"/>
      <c r="E123" s="109"/>
      <c r="F123" s="37"/>
      <c r="G123" s="110" t="s">
        <v>218</v>
      </c>
      <c r="H123" s="105">
        <f t="shared" ref="H123:S123" si="52">-(H75+H77+H78+H79+H80+H81)</f>
        <v>0</v>
      </c>
      <c r="I123" s="105">
        <f t="shared" si="52"/>
        <v>249.56100000000001</v>
      </c>
      <c r="J123" s="105">
        <f t="shared" si="52"/>
        <v>49.36</v>
      </c>
      <c r="K123" s="105">
        <f t="shared" si="52"/>
        <v>35.649000000000001</v>
      </c>
      <c r="L123" s="105">
        <f t="shared" si="52"/>
        <v>5.0999999999999997E-2</v>
      </c>
      <c r="M123" s="105">
        <f t="shared" si="52"/>
        <v>0</v>
      </c>
      <c r="N123" s="105">
        <f t="shared" si="52"/>
        <v>0</v>
      </c>
      <c r="O123" s="105">
        <f t="shared" si="52"/>
        <v>0</v>
      </c>
      <c r="P123" s="105">
        <f t="shared" si="52"/>
        <v>0</v>
      </c>
      <c r="Q123" s="105">
        <f t="shared" si="52"/>
        <v>0</v>
      </c>
      <c r="R123" s="105">
        <f t="shared" si="52"/>
        <v>0</v>
      </c>
      <c r="S123" s="105">
        <f t="shared" si="52"/>
        <v>0</v>
      </c>
    </row>
    <row r="124" spans="1:20" s="4" customFormat="1" x14ac:dyDescent="0.2">
      <c r="A124" s="8" t="s">
        <v>438</v>
      </c>
      <c r="B124" s="2" t="s">
        <v>439</v>
      </c>
      <c r="C124" s="8" t="s">
        <v>440</v>
      </c>
      <c r="D124" s="10"/>
      <c r="E124" s="116">
        <v>1.2</v>
      </c>
      <c r="F124" s="114" t="s">
        <v>433</v>
      </c>
      <c r="G124" s="110" t="s">
        <v>220</v>
      </c>
      <c r="H124" s="117" t="e">
        <f t="shared" ref="H124:S124" si="53">H110/H123</f>
        <v>#DIV/0!</v>
      </c>
      <c r="I124" s="111">
        <f t="shared" si="53"/>
        <v>0.99382515697564389</v>
      </c>
      <c r="J124" s="111">
        <f t="shared" si="53"/>
        <v>3.2487034035656723</v>
      </c>
      <c r="K124" s="111">
        <f t="shared" si="53"/>
        <v>10.693792252237044</v>
      </c>
      <c r="L124" s="111">
        <f t="shared" si="53"/>
        <v>16358.686274509802</v>
      </c>
      <c r="M124" s="111" t="e">
        <f t="shared" si="53"/>
        <v>#DIV/0!</v>
      </c>
      <c r="N124" s="111" t="e">
        <f t="shared" si="53"/>
        <v>#DIV/0!</v>
      </c>
      <c r="O124" s="111" t="e">
        <f t="shared" si="53"/>
        <v>#DIV/0!</v>
      </c>
      <c r="P124" s="111" t="e">
        <f t="shared" si="53"/>
        <v>#DIV/0!</v>
      </c>
      <c r="Q124" s="111" t="e">
        <f t="shared" si="53"/>
        <v>#DIV/0!</v>
      </c>
      <c r="R124" s="111" t="e">
        <f t="shared" si="53"/>
        <v>#DIV/0!</v>
      </c>
      <c r="S124" s="111" t="e">
        <f t="shared" si="53"/>
        <v>#DIV/0!</v>
      </c>
    </row>
    <row r="125" spans="1:20" s="4" customFormat="1" x14ac:dyDescent="0.2">
      <c r="A125" s="38" t="s">
        <v>441</v>
      </c>
      <c r="B125" s="2" t="s">
        <v>442</v>
      </c>
      <c r="C125" s="8" t="s">
        <v>222</v>
      </c>
      <c r="D125" s="10"/>
      <c r="E125" s="116">
        <v>0</v>
      </c>
      <c r="F125" s="37"/>
      <c r="G125" s="103" t="s">
        <v>223</v>
      </c>
      <c r="H125" s="105">
        <f t="shared" ref="H125:S125" si="54">H5-H20</f>
        <v>-793.97400000000005</v>
      </c>
      <c r="I125" s="105">
        <f t="shared" si="54"/>
        <v>-78.823999999999955</v>
      </c>
      <c r="J125" s="105">
        <f t="shared" si="54"/>
        <v>-386.93100000000004</v>
      </c>
      <c r="K125" s="105">
        <f t="shared" si="54"/>
        <v>-651.35500000000002</v>
      </c>
      <c r="L125" s="105">
        <f t="shared" si="54"/>
        <v>-644.56000000000131</v>
      </c>
      <c r="M125" s="105">
        <f t="shared" si="54"/>
        <v>-695.54600000000005</v>
      </c>
      <c r="N125" s="105">
        <f t="shared" si="54"/>
        <v>-873.16880999999944</v>
      </c>
      <c r="O125" s="105">
        <f t="shared" si="54"/>
        <v>-873</v>
      </c>
      <c r="P125" s="105">
        <f t="shared" si="54"/>
        <v>-868</v>
      </c>
      <c r="Q125" s="105">
        <f t="shared" si="54"/>
        <v>-878</v>
      </c>
      <c r="R125" s="105">
        <f t="shared" si="54"/>
        <v>-897</v>
      </c>
      <c r="S125" s="105">
        <f t="shared" si="54"/>
        <v>-912</v>
      </c>
    </row>
    <row r="126" spans="1:20" s="4" customFormat="1" x14ac:dyDescent="0.2">
      <c r="A126" s="34" t="s">
        <v>443</v>
      </c>
      <c r="B126" s="2" t="s">
        <v>444</v>
      </c>
      <c r="C126" s="8" t="s">
        <v>225</v>
      </c>
      <c r="D126" s="10"/>
      <c r="E126" s="116">
        <v>1</v>
      </c>
      <c r="F126" s="114" t="s">
        <v>433</v>
      </c>
      <c r="G126" s="110" t="s">
        <v>226</v>
      </c>
      <c r="H126" s="117">
        <f t="shared" ref="H126:S126" si="55">H5/H20</f>
        <v>0.41908138687519936</v>
      </c>
      <c r="I126" s="117">
        <f t="shared" si="55"/>
        <v>0.86685405025573814</v>
      </c>
      <c r="J126" s="117">
        <f t="shared" si="55"/>
        <v>0.73758601185753059</v>
      </c>
      <c r="K126" s="117">
        <f t="shared" si="55"/>
        <v>0.7533147075721407</v>
      </c>
      <c r="L126" s="117">
        <f t="shared" si="55"/>
        <v>0.93618169168220378</v>
      </c>
      <c r="M126" s="117">
        <f t="shared" si="55"/>
        <v>0.63672439520309443</v>
      </c>
      <c r="N126" s="117">
        <f t="shared" si="55"/>
        <v>0.67939829634643367</v>
      </c>
      <c r="O126" s="117">
        <f t="shared" si="55"/>
        <v>0.55549898167006106</v>
      </c>
      <c r="P126" s="117">
        <f t="shared" si="55"/>
        <v>0.55804480651731159</v>
      </c>
      <c r="Q126" s="117">
        <f t="shared" si="55"/>
        <v>0.55295315682281054</v>
      </c>
      <c r="R126" s="117">
        <f t="shared" si="55"/>
        <v>0.54327902240325865</v>
      </c>
      <c r="S126" s="117">
        <f t="shared" si="55"/>
        <v>0.53564154786150708</v>
      </c>
    </row>
    <row r="127" spans="1:20" s="4" customFormat="1" x14ac:dyDescent="0.2">
      <c r="A127" s="34" t="s">
        <v>445</v>
      </c>
      <c r="B127" s="2" t="s">
        <v>214</v>
      </c>
      <c r="C127" s="34" t="s">
        <v>228</v>
      </c>
      <c r="D127" s="10"/>
      <c r="E127" s="116">
        <v>1</v>
      </c>
      <c r="F127" s="37"/>
      <c r="G127" s="46" t="s">
        <v>229</v>
      </c>
      <c r="H127" s="117">
        <f t="shared" ref="H127:S127" si="56">-H6/((H38+H41-H45+H47)/12)</f>
        <v>0.11012457920523511</v>
      </c>
      <c r="I127" s="117">
        <f t="shared" si="56"/>
        <v>0.62551921058124016</v>
      </c>
      <c r="J127" s="117">
        <f t="shared" si="56"/>
        <v>1.0152537976869254</v>
      </c>
      <c r="K127" s="117">
        <f t="shared" si="56"/>
        <v>2.369383094189089</v>
      </c>
      <c r="L127" s="117">
        <f t="shared" si="56"/>
        <v>13.212832271673086</v>
      </c>
      <c r="M127" s="117">
        <f t="shared" si="56"/>
        <v>0.87664077298886034</v>
      </c>
      <c r="N127" s="117">
        <f t="shared" si="56"/>
        <v>1.5849079254234502</v>
      </c>
      <c r="O127" s="117">
        <f t="shared" si="56"/>
        <v>0.59383959574655976</v>
      </c>
      <c r="P127" s="117">
        <f t="shared" si="56"/>
        <v>0.54672434754326404</v>
      </c>
      <c r="Q127" s="117">
        <f t="shared" si="56"/>
        <v>0.49778446587711878</v>
      </c>
      <c r="R127" s="117">
        <f t="shared" si="56"/>
        <v>0.45283212800374861</v>
      </c>
      <c r="S127" s="117">
        <f t="shared" si="56"/>
        <v>0.41921196892348689</v>
      </c>
    </row>
    <row r="128" spans="1:20" s="4" customFormat="1" x14ac:dyDescent="0.2">
      <c r="A128" s="34"/>
      <c r="B128" s="2"/>
      <c r="C128" s="34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</row>
    <row r="129" spans="1:21" s="4" customFormat="1" x14ac:dyDescent="0.2">
      <c r="A129" s="8"/>
      <c r="B129" s="2"/>
      <c r="C129" s="8"/>
      <c r="D129" s="10"/>
      <c r="E129" s="9"/>
      <c r="F129" s="37"/>
      <c r="G129" s="94" t="s">
        <v>230</v>
      </c>
      <c r="H129" s="87">
        <f t="shared" ref="H129:S129" si="57">H117</f>
        <v>2011</v>
      </c>
      <c r="I129" s="87">
        <f t="shared" si="57"/>
        <v>2012</v>
      </c>
      <c r="J129" s="87">
        <f t="shared" si="57"/>
        <v>2013</v>
      </c>
      <c r="K129" s="87">
        <f t="shared" si="57"/>
        <v>2014</v>
      </c>
      <c r="L129" s="87">
        <f t="shared" si="57"/>
        <v>2015</v>
      </c>
      <c r="M129" s="87">
        <f t="shared" si="57"/>
        <v>2016</v>
      </c>
      <c r="N129" s="87">
        <f t="shared" si="57"/>
        <v>2017</v>
      </c>
      <c r="O129" s="87">
        <f t="shared" si="57"/>
        <v>2018</v>
      </c>
      <c r="P129" s="87">
        <f t="shared" si="57"/>
        <v>2019</v>
      </c>
      <c r="Q129" s="87">
        <f t="shared" si="57"/>
        <v>2020</v>
      </c>
      <c r="R129" s="87">
        <f t="shared" si="57"/>
        <v>2021</v>
      </c>
      <c r="S129" s="87">
        <f t="shared" si="57"/>
        <v>2022</v>
      </c>
    </row>
    <row r="130" spans="1:21" s="4" customFormat="1" x14ac:dyDescent="0.2">
      <c r="A130" s="34" t="s">
        <v>446</v>
      </c>
      <c r="B130" s="2" t="s">
        <v>216</v>
      </c>
      <c r="C130" s="34" t="s">
        <v>232</v>
      </c>
      <c r="D130" s="10"/>
      <c r="E130" s="106">
        <v>0.6</v>
      </c>
      <c r="F130" s="37"/>
      <c r="G130" s="103" t="s">
        <v>233</v>
      </c>
      <c r="H130" s="115">
        <f t="shared" ref="H130:S130" si="58">H17/H4</f>
        <v>0</v>
      </c>
      <c r="I130" s="115">
        <f t="shared" si="58"/>
        <v>0</v>
      </c>
      <c r="J130" s="115">
        <f t="shared" si="58"/>
        <v>0</v>
      </c>
      <c r="K130" s="115">
        <f t="shared" si="58"/>
        <v>0</v>
      </c>
      <c r="L130" s="115">
        <f t="shared" si="58"/>
        <v>0</v>
      </c>
      <c r="M130" s="115">
        <f t="shared" si="58"/>
        <v>0</v>
      </c>
      <c r="N130" s="115">
        <f t="shared" si="58"/>
        <v>0</v>
      </c>
      <c r="O130" s="115">
        <f t="shared" si="58"/>
        <v>0</v>
      </c>
      <c r="P130" s="115">
        <f t="shared" si="58"/>
        <v>0</v>
      </c>
      <c r="Q130" s="115">
        <f t="shared" si="58"/>
        <v>0</v>
      </c>
      <c r="R130" s="115">
        <f t="shared" si="58"/>
        <v>0</v>
      </c>
      <c r="S130" s="115">
        <f t="shared" si="58"/>
        <v>0</v>
      </c>
    </row>
    <row r="131" spans="1:21" s="4" customFormat="1" x14ac:dyDescent="0.2">
      <c r="A131" s="34" t="s">
        <v>447</v>
      </c>
      <c r="B131" s="2" t="s">
        <v>219</v>
      </c>
      <c r="C131" s="34" t="s">
        <v>235</v>
      </c>
      <c r="D131" s="10"/>
      <c r="E131" s="106">
        <v>0.4</v>
      </c>
      <c r="F131" s="37"/>
      <c r="G131" s="46" t="s">
        <v>236</v>
      </c>
      <c r="H131" s="115" t="e">
        <f t="shared" ref="H131:S131" si="59">H27/H17</f>
        <v>#DIV/0!</v>
      </c>
      <c r="I131" s="115" t="e">
        <f t="shared" si="59"/>
        <v>#DIV/0!</v>
      </c>
      <c r="J131" s="115" t="e">
        <f t="shared" si="59"/>
        <v>#DIV/0!</v>
      </c>
      <c r="K131" s="115" t="e">
        <f t="shared" si="59"/>
        <v>#DIV/0!</v>
      </c>
      <c r="L131" s="115" t="e">
        <f t="shared" si="59"/>
        <v>#DIV/0!</v>
      </c>
      <c r="M131" s="115" t="e">
        <f t="shared" si="59"/>
        <v>#DIV/0!</v>
      </c>
      <c r="N131" s="115" t="e">
        <f t="shared" si="59"/>
        <v>#DIV/0!</v>
      </c>
      <c r="O131" s="115" t="e">
        <f t="shared" si="59"/>
        <v>#DIV/0!</v>
      </c>
      <c r="P131" s="115" t="e">
        <f t="shared" si="59"/>
        <v>#DIV/0!</v>
      </c>
      <c r="Q131" s="115" t="e">
        <f t="shared" si="59"/>
        <v>#DIV/0!</v>
      </c>
      <c r="R131" s="115" t="e">
        <f t="shared" si="59"/>
        <v>#DIV/0!</v>
      </c>
      <c r="S131" s="115" t="e">
        <f t="shared" si="59"/>
        <v>#DIV/0!</v>
      </c>
    </row>
    <row r="132" spans="1:21" s="4" customFormat="1" x14ac:dyDescent="0.2">
      <c r="A132" s="34"/>
      <c r="B132" s="2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</row>
    <row r="133" spans="1:21" s="4" customFormat="1" x14ac:dyDescent="0.2">
      <c r="A133" s="8"/>
      <c r="B133" s="2"/>
      <c r="C133" s="8"/>
      <c r="D133" s="10"/>
      <c r="E133" s="9"/>
      <c r="F133" s="37"/>
      <c r="G133" s="94" t="s">
        <v>237</v>
      </c>
      <c r="H133" s="87">
        <f t="shared" ref="H133:S133" si="60">H117</f>
        <v>2011</v>
      </c>
      <c r="I133" s="87">
        <f t="shared" si="60"/>
        <v>2012</v>
      </c>
      <c r="J133" s="87">
        <f t="shared" si="60"/>
        <v>2013</v>
      </c>
      <c r="K133" s="87">
        <f t="shared" si="60"/>
        <v>2014</v>
      </c>
      <c r="L133" s="87">
        <f t="shared" si="60"/>
        <v>2015</v>
      </c>
      <c r="M133" s="87">
        <f t="shared" si="60"/>
        <v>2016</v>
      </c>
      <c r="N133" s="87">
        <f t="shared" si="60"/>
        <v>2017</v>
      </c>
      <c r="O133" s="87">
        <f t="shared" si="60"/>
        <v>2018</v>
      </c>
      <c r="P133" s="87">
        <f t="shared" si="60"/>
        <v>2019</v>
      </c>
      <c r="Q133" s="87">
        <f t="shared" si="60"/>
        <v>2020</v>
      </c>
      <c r="R133" s="87">
        <f t="shared" si="60"/>
        <v>2021</v>
      </c>
      <c r="S133" s="87">
        <f t="shared" si="60"/>
        <v>2022</v>
      </c>
    </row>
    <row r="134" spans="1:21" s="4" customFormat="1" x14ac:dyDescent="0.2">
      <c r="A134" s="34" t="s">
        <v>448</v>
      </c>
      <c r="B134" s="2" t="s">
        <v>221</v>
      </c>
      <c r="C134" s="39" t="s">
        <v>239</v>
      </c>
      <c r="D134" s="10"/>
      <c r="E134" s="109"/>
      <c r="F134" s="37"/>
      <c r="G134" s="110" t="s">
        <v>240</v>
      </c>
      <c r="H134" s="118">
        <f t="shared" ref="H134:S134" si="61">H10/H4</f>
        <v>0.92089699658774715</v>
      </c>
      <c r="I134" s="118">
        <f t="shared" si="61"/>
        <v>0.95570145987474409</v>
      </c>
      <c r="J134" s="118">
        <f t="shared" si="61"/>
        <v>0.90991935294170256</v>
      </c>
      <c r="K134" s="118">
        <f t="shared" si="61"/>
        <v>0.84810686647494271</v>
      </c>
      <c r="L134" s="118">
        <f t="shared" si="61"/>
        <v>0.54694795031884436</v>
      </c>
      <c r="M134" s="118">
        <f t="shared" si="61"/>
        <v>0.92420682183055913</v>
      </c>
      <c r="N134" s="118">
        <f t="shared" si="61"/>
        <v>0.92141491743739734</v>
      </c>
      <c r="O134" s="118">
        <f t="shared" si="61"/>
        <v>0.94851494419198334</v>
      </c>
      <c r="P134" s="118">
        <f t="shared" si="61"/>
        <v>0.94437112983453453</v>
      </c>
      <c r="Q134" s="118">
        <f t="shared" si="61"/>
        <v>0.94186917888876998</v>
      </c>
      <c r="R134" s="118">
        <f t="shared" si="61"/>
        <v>0.95245945464266624</v>
      </c>
      <c r="S134" s="118">
        <f t="shared" si="61"/>
        <v>0.96002128144713839</v>
      </c>
    </row>
    <row r="135" spans="1:21" s="4" customFormat="1" x14ac:dyDescent="0.2">
      <c r="A135" s="34" t="s">
        <v>449</v>
      </c>
      <c r="B135" s="2" t="s">
        <v>224</v>
      </c>
      <c r="C135" s="39" t="s">
        <v>242</v>
      </c>
      <c r="D135" s="10"/>
      <c r="E135" s="109"/>
      <c r="F135" s="37"/>
      <c r="G135" s="110" t="s">
        <v>243</v>
      </c>
      <c r="H135" s="118">
        <f t="shared" ref="H135:S135" si="62">-(H58)/H15</f>
        <v>1.8800176719831582E-2</v>
      </c>
      <c r="I135" s="118">
        <f t="shared" si="62"/>
        <v>4.9510670254353191E-2</v>
      </c>
      <c r="J135" s="118">
        <f t="shared" si="62"/>
        <v>3.9264965696997382E-2</v>
      </c>
      <c r="K135" s="118">
        <f t="shared" si="62"/>
        <v>5.8099812482205797E-2</v>
      </c>
      <c r="L135" s="118">
        <f t="shared" si="62"/>
        <v>1.2776779335620091E-2</v>
      </c>
      <c r="M135" s="118">
        <f t="shared" si="62"/>
        <v>0.28126338247657906</v>
      </c>
      <c r="N135" s="118">
        <f t="shared" si="62"/>
        <v>0.36181468149461654</v>
      </c>
      <c r="O135" s="118">
        <f t="shared" si="62"/>
        <v>0</v>
      </c>
      <c r="P135" s="118">
        <f t="shared" si="62"/>
        <v>0</v>
      </c>
      <c r="Q135" s="118">
        <f t="shared" si="62"/>
        <v>1.1366219595362582E-2</v>
      </c>
      <c r="R135" s="118">
        <f t="shared" si="62"/>
        <v>0.23389624362632735</v>
      </c>
      <c r="S135" s="118">
        <f t="shared" si="62"/>
        <v>0.19792573826300372</v>
      </c>
    </row>
    <row r="136" spans="1:21" s="4" customFormat="1" x14ac:dyDescent="0.2">
      <c r="A136" s="34" t="s">
        <v>450</v>
      </c>
      <c r="B136" s="2" t="s">
        <v>227</v>
      </c>
      <c r="C136" s="8" t="s">
        <v>245</v>
      </c>
      <c r="D136" s="10"/>
      <c r="E136" s="109"/>
      <c r="F136" s="37"/>
      <c r="G136" s="103" t="s">
        <v>246</v>
      </c>
      <c r="H136" s="111">
        <f t="shared" ref="H136:S136" si="63">H33/H4</f>
        <v>0.35586145712090272</v>
      </c>
      <c r="I136" s="111">
        <f t="shared" si="63"/>
        <v>0.68807142417525913</v>
      </c>
      <c r="J136" s="111">
        <f t="shared" si="63"/>
        <v>0.64892497093598234</v>
      </c>
      <c r="K136" s="111">
        <f t="shared" si="63"/>
        <v>0.62963088821722724</v>
      </c>
      <c r="L136" s="111">
        <f t="shared" si="63"/>
        <v>0.43338622490988182</v>
      </c>
      <c r="M136" s="111">
        <f t="shared" si="63"/>
        <v>0.8149437969559381</v>
      </c>
      <c r="N136" s="111">
        <f t="shared" si="63"/>
        <v>0.71885831754513074</v>
      </c>
      <c r="O136" s="111">
        <f t="shared" si="63"/>
        <v>0.47775611806356305</v>
      </c>
      <c r="P136" s="111">
        <f t="shared" si="63"/>
        <v>0.55730558826515075</v>
      </c>
      <c r="Q136" s="111">
        <f t="shared" si="63"/>
        <v>0.65536264505941544</v>
      </c>
      <c r="R136" s="111">
        <f t="shared" si="63"/>
        <v>0.81228890490777028</v>
      </c>
      <c r="S136" s="111">
        <f t="shared" si="63"/>
        <v>0.73336483586066359</v>
      </c>
    </row>
    <row r="137" spans="1:21" s="4" customFormat="1" x14ac:dyDescent="0.2">
      <c r="A137" s="34" t="s">
        <v>451</v>
      </c>
      <c r="B137" s="2" t="s">
        <v>231</v>
      </c>
      <c r="C137" s="39" t="s">
        <v>248</v>
      </c>
      <c r="D137" s="10"/>
      <c r="E137" s="109"/>
      <c r="F137" s="37"/>
      <c r="G137" s="46" t="s">
        <v>249</v>
      </c>
      <c r="H137" s="111">
        <f t="shared" ref="H137:S137" si="64">H33/H15</f>
        <v>0.3864291646508749</v>
      </c>
      <c r="I137" s="111">
        <f t="shared" si="64"/>
        <v>0.71996481439448567</v>
      </c>
      <c r="J137" s="111">
        <f t="shared" si="64"/>
        <v>0.71316756681573534</v>
      </c>
      <c r="K137" s="111">
        <f t="shared" si="64"/>
        <v>0.74239569694113494</v>
      </c>
      <c r="L137" s="111">
        <f t="shared" si="64"/>
        <v>0.79237197005169957</v>
      </c>
      <c r="M137" s="111">
        <f t="shared" si="64"/>
        <v>0.88177643543227069</v>
      </c>
      <c r="N137" s="111">
        <f t="shared" si="64"/>
        <v>0.78016787436477697</v>
      </c>
      <c r="O137" s="111">
        <f t="shared" si="64"/>
        <v>0.50368855123368861</v>
      </c>
      <c r="P137" s="111">
        <f t="shared" si="64"/>
        <v>0.5901340804041707</v>
      </c>
      <c r="Q137" s="111">
        <f t="shared" si="64"/>
        <v>0.69581069191861777</v>
      </c>
      <c r="R137" s="111">
        <f t="shared" si="64"/>
        <v>0.85283305336342785</v>
      </c>
      <c r="S137" s="111">
        <f t="shared" si="64"/>
        <v>0.76390476964759324</v>
      </c>
    </row>
    <row r="138" spans="1:21" s="4" customFormat="1" x14ac:dyDescent="0.2">
      <c r="A138" s="8" t="s">
        <v>452</v>
      </c>
      <c r="B138" s="2" t="s">
        <v>234</v>
      </c>
      <c r="C138" s="39" t="s">
        <v>251</v>
      </c>
      <c r="D138" s="106">
        <v>0.5</v>
      </c>
      <c r="E138" s="106">
        <f>1/3</f>
        <v>0.33333333333333331</v>
      </c>
      <c r="F138" s="114" t="s">
        <v>433</v>
      </c>
      <c r="G138" s="100" t="s">
        <v>252</v>
      </c>
      <c r="H138" s="118">
        <f t="shared" ref="H138:S138" si="65">H27/H4</f>
        <v>0.79987153644183284</v>
      </c>
      <c r="I138" s="118">
        <f t="shared" si="65"/>
        <v>0.94586111875765067</v>
      </c>
      <c r="J138" s="118">
        <f t="shared" si="65"/>
        <v>0.87787091037216836</v>
      </c>
      <c r="K138" s="118">
        <f t="shared" si="65"/>
        <v>0.79836688501605912</v>
      </c>
      <c r="L138" s="118">
        <f t="shared" si="65"/>
        <v>0.51606401957071391</v>
      </c>
      <c r="M138" s="118">
        <f t="shared" si="65"/>
        <v>0.88096397883519451</v>
      </c>
      <c r="N138" s="118">
        <f t="shared" si="65"/>
        <v>0.88433135174873745</v>
      </c>
      <c r="O138" s="118">
        <f t="shared" si="65"/>
        <v>0.90730949514279036</v>
      </c>
      <c r="P138" s="118">
        <f t="shared" si="65"/>
        <v>0.90033733986397324</v>
      </c>
      <c r="Q138" s="118">
        <f t="shared" si="65"/>
        <v>0.89489595707097747</v>
      </c>
      <c r="R138" s="118">
        <f t="shared" si="65"/>
        <v>0.91251320040990913</v>
      </c>
      <c r="S138" s="118">
        <f t="shared" si="65"/>
        <v>0.92537988409211824</v>
      </c>
    </row>
    <row r="139" spans="1:21" s="4" customFormat="1" x14ac:dyDescent="0.2">
      <c r="A139" s="8"/>
      <c r="B139" s="2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</row>
    <row r="140" spans="1:21" s="4" customFormat="1" x14ac:dyDescent="0.2">
      <c r="A140" s="40"/>
      <c r="B140" s="2"/>
      <c r="C140" s="2"/>
      <c r="D140" s="41"/>
      <c r="E140" s="42"/>
      <c r="F140" s="37"/>
      <c r="G140" s="94" t="s">
        <v>253</v>
      </c>
      <c r="H140" s="87">
        <f t="shared" ref="H140:S140" si="66">H133</f>
        <v>2011</v>
      </c>
      <c r="I140" s="87">
        <f t="shared" si="66"/>
        <v>2012</v>
      </c>
      <c r="J140" s="87">
        <f t="shared" si="66"/>
        <v>2013</v>
      </c>
      <c r="K140" s="87">
        <f t="shared" si="66"/>
        <v>2014</v>
      </c>
      <c r="L140" s="87">
        <f t="shared" si="66"/>
        <v>2015</v>
      </c>
      <c r="M140" s="87">
        <f t="shared" si="66"/>
        <v>2016</v>
      </c>
      <c r="N140" s="87">
        <f t="shared" si="66"/>
        <v>2017</v>
      </c>
      <c r="O140" s="87">
        <f t="shared" si="66"/>
        <v>2018</v>
      </c>
      <c r="P140" s="87">
        <f t="shared" si="66"/>
        <v>2019</v>
      </c>
      <c r="Q140" s="87">
        <f t="shared" si="66"/>
        <v>2020</v>
      </c>
      <c r="R140" s="87">
        <f t="shared" si="66"/>
        <v>2021</v>
      </c>
      <c r="S140" s="87">
        <f t="shared" si="66"/>
        <v>2022</v>
      </c>
    </row>
    <row r="141" spans="1:21" s="4" customFormat="1" x14ac:dyDescent="0.2">
      <c r="A141" s="8" t="s">
        <v>453</v>
      </c>
      <c r="B141" s="2" t="s">
        <v>238</v>
      </c>
      <c r="C141" s="8" t="s">
        <v>255</v>
      </c>
      <c r="D141" s="43"/>
      <c r="E141" s="106">
        <v>0.05</v>
      </c>
      <c r="F141" s="8"/>
      <c r="G141" s="103" t="s">
        <v>256</v>
      </c>
      <c r="H141" s="108">
        <f t="shared" ref="H141:S141" si="67">H35/H33</f>
        <v>0.87108678272883211</v>
      </c>
      <c r="I141" s="108">
        <f t="shared" si="67"/>
        <v>0.3005309276222996</v>
      </c>
      <c r="J141" s="108">
        <f t="shared" si="67"/>
        <v>0.28813890313818136</v>
      </c>
      <c r="K141" s="108">
        <f t="shared" si="67"/>
        <v>0.29000036991421024</v>
      </c>
      <c r="L141" s="108">
        <f t="shared" si="67"/>
        <v>0.26828952794548988</v>
      </c>
      <c r="M141" s="108">
        <f t="shared" si="67"/>
        <v>0.21088372526628066</v>
      </c>
      <c r="N141" s="108">
        <f t="shared" si="67"/>
        <v>0.16565894365357456</v>
      </c>
      <c r="O141" s="108">
        <f t="shared" si="67"/>
        <v>0.29038222843148315</v>
      </c>
      <c r="P141" s="108">
        <f t="shared" si="67"/>
        <v>0.2811288656492133</v>
      </c>
      <c r="Q141" s="108">
        <f t="shared" si="67"/>
        <v>0.26472405137973903</v>
      </c>
      <c r="R141" s="108">
        <f t="shared" si="67"/>
        <v>0.18667104973780599</v>
      </c>
      <c r="S141" s="108">
        <f t="shared" si="67"/>
        <v>0.18516977445276742</v>
      </c>
    </row>
    <row r="142" spans="1:21" s="4" customFormat="1" x14ac:dyDescent="0.2">
      <c r="A142" s="8" t="s">
        <v>454</v>
      </c>
      <c r="B142" s="2" t="s">
        <v>241</v>
      </c>
      <c r="C142" s="8" t="s">
        <v>258</v>
      </c>
      <c r="D142" s="10"/>
      <c r="E142" s="106">
        <v>0.95</v>
      </c>
      <c r="F142" s="8"/>
      <c r="G142" s="110" t="s">
        <v>259</v>
      </c>
      <c r="H142" s="118">
        <f t="shared" ref="H142:S142" si="68">(H36+H34)/H33</f>
        <v>0.12891321727116786</v>
      </c>
      <c r="I142" s="118">
        <f t="shared" si="68"/>
        <v>0.6994690723777004</v>
      </c>
      <c r="J142" s="118">
        <f t="shared" si="68"/>
        <v>0.71188317812418267</v>
      </c>
      <c r="K142" s="118">
        <f t="shared" si="68"/>
        <v>0.70999963008578981</v>
      </c>
      <c r="L142" s="118">
        <f t="shared" si="68"/>
        <v>0.73157315755898611</v>
      </c>
      <c r="M142" s="118">
        <f t="shared" si="68"/>
        <v>0.78909346435290562</v>
      </c>
      <c r="N142" s="118">
        <f t="shared" si="68"/>
        <v>0.83434105634642541</v>
      </c>
      <c r="O142" s="118">
        <f t="shared" si="68"/>
        <v>0.7096177715685168</v>
      </c>
      <c r="P142" s="118">
        <f t="shared" si="68"/>
        <v>0.71887113435078664</v>
      </c>
      <c r="Q142" s="118">
        <f t="shared" si="68"/>
        <v>0.73527594862026102</v>
      </c>
      <c r="R142" s="118">
        <f t="shared" si="68"/>
        <v>0.81332895026219409</v>
      </c>
      <c r="S142" s="118">
        <f t="shared" si="68"/>
        <v>0.8148302255472325</v>
      </c>
    </row>
    <row r="143" spans="1:21" s="4" customFormat="1" x14ac:dyDescent="0.2">
      <c r="A143" s="8" t="s">
        <v>455</v>
      </c>
      <c r="B143" s="2" t="s">
        <v>244</v>
      </c>
      <c r="C143" s="8" t="s">
        <v>261</v>
      </c>
      <c r="D143" s="10"/>
      <c r="E143" s="106">
        <v>0.95</v>
      </c>
      <c r="F143" s="8"/>
      <c r="G143" s="46" t="s">
        <v>262</v>
      </c>
      <c r="H143" s="108">
        <f t="shared" ref="H143:S143" si="69">H38/(H38+H41)</f>
        <v>0</v>
      </c>
      <c r="I143" s="108">
        <f t="shared" si="69"/>
        <v>5.9739586159709847E-2</v>
      </c>
      <c r="J143" s="108">
        <f t="shared" si="69"/>
        <v>1.6504797596825101E-2</v>
      </c>
      <c r="K143" s="108">
        <f t="shared" si="69"/>
        <v>0</v>
      </c>
      <c r="L143" s="108">
        <f t="shared" si="69"/>
        <v>0</v>
      </c>
      <c r="M143" s="108">
        <f t="shared" si="69"/>
        <v>0</v>
      </c>
      <c r="N143" s="108">
        <f t="shared" si="69"/>
        <v>0</v>
      </c>
      <c r="O143" s="108">
        <f t="shared" si="69"/>
        <v>0</v>
      </c>
      <c r="P143" s="108">
        <f t="shared" si="69"/>
        <v>0</v>
      </c>
      <c r="Q143" s="108">
        <f t="shared" si="69"/>
        <v>0</v>
      </c>
      <c r="R143" s="108">
        <f t="shared" si="69"/>
        <v>0</v>
      </c>
      <c r="S143" s="108">
        <f t="shared" si="69"/>
        <v>0</v>
      </c>
    </row>
    <row r="144" spans="1:21" s="4" customFormat="1" x14ac:dyDescent="0.2">
      <c r="A144" s="8"/>
      <c r="B144" s="2"/>
      <c r="C144" s="8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</row>
    <row r="145" spans="1:19" s="4" customFormat="1" x14ac:dyDescent="0.2">
      <c r="A145" s="40"/>
      <c r="B145" s="2"/>
      <c r="C145" s="119"/>
      <c r="D145" s="41"/>
      <c r="E145" s="42"/>
      <c r="F145" s="37"/>
      <c r="G145" s="94"/>
      <c r="H145" s="87">
        <f>H140</f>
        <v>2011</v>
      </c>
      <c r="I145" s="87">
        <f t="shared" ref="I145:S145" si="70">I140</f>
        <v>2012</v>
      </c>
      <c r="J145" s="87">
        <f t="shared" si="70"/>
        <v>2013</v>
      </c>
      <c r="K145" s="87">
        <f t="shared" si="70"/>
        <v>2014</v>
      </c>
      <c r="L145" s="87">
        <f t="shared" si="70"/>
        <v>2015</v>
      </c>
      <c r="M145" s="87">
        <f t="shared" si="70"/>
        <v>2016</v>
      </c>
      <c r="N145" s="87">
        <f t="shared" si="70"/>
        <v>2017</v>
      </c>
      <c r="O145" s="87">
        <f t="shared" si="70"/>
        <v>2018</v>
      </c>
      <c r="P145" s="87">
        <f t="shared" si="70"/>
        <v>2019</v>
      </c>
      <c r="Q145" s="87">
        <f t="shared" si="70"/>
        <v>2020</v>
      </c>
      <c r="R145" s="87">
        <f t="shared" si="70"/>
        <v>2021</v>
      </c>
      <c r="S145" s="87">
        <f t="shared" si="70"/>
        <v>2022</v>
      </c>
    </row>
    <row r="146" spans="1:19" s="4" customFormat="1" x14ac:dyDescent="0.2">
      <c r="A146" s="4" t="s">
        <v>456</v>
      </c>
      <c r="B146" s="2" t="s">
        <v>247</v>
      </c>
      <c r="C146" s="8" t="s">
        <v>264</v>
      </c>
      <c r="D146" s="120">
        <v>0.5</v>
      </c>
      <c r="E146" s="121" t="s">
        <v>265</v>
      </c>
      <c r="G146" s="103" t="s">
        <v>266</v>
      </c>
      <c r="H146" s="111">
        <f t="shared" ref="H146:S146" si="71">IF(H141&lt;$D$146,$E$146,H35/H4)</f>
        <v>0.3099862117806414</v>
      </c>
      <c r="I146" s="111" t="str">
        <f t="shared" si="71"/>
        <v>N/A</v>
      </c>
      <c r="J146" s="111" t="str">
        <f t="shared" si="71"/>
        <v>N/A</v>
      </c>
      <c r="K146" s="111" t="str">
        <f t="shared" si="71"/>
        <v>N/A</v>
      </c>
      <c r="L146" s="111" t="str">
        <f t="shared" si="71"/>
        <v>N/A</v>
      </c>
      <c r="M146" s="111" t="str">
        <f t="shared" si="71"/>
        <v>N/A</v>
      </c>
      <c r="N146" s="111" t="str">
        <f t="shared" si="71"/>
        <v>N/A</v>
      </c>
      <c r="O146" s="111" t="str">
        <f t="shared" si="71"/>
        <v>N/A</v>
      </c>
      <c r="P146" s="111" t="str">
        <f t="shared" si="71"/>
        <v>N/A</v>
      </c>
      <c r="Q146" s="111" t="str">
        <f t="shared" si="71"/>
        <v>N/A</v>
      </c>
      <c r="R146" s="111" t="str">
        <f t="shared" si="71"/>
        <v>N/A</v>
      </c>
      <c r="S146" s="111" t="str">
        <f t="shared" si="71"/>
        <v>N/A</v>
      </c>
    </row>
    <row r="147" spans="1:19" s="4" customFormat="1" x14ac:dyDescent="0.2">
      <c r="A147" s="4" t="s">
        <v>457</v>
      </c>
      <c r="B147" s="2" t="s">
        <v>250</v>
      </c>
      <c r="C147" s="8" t="s">
        <v>267</v>
      </c>
      <c r="D147" s="120">
        <v>0.5</v>
      </c>
      <c r="E147" s="121" t="s">
        <v>265</v>
      </c>
      <c r="G147" s="110" t="s">
        <v>268</v>
      </c>
      <c r="H147" s="111">
        <f t="shared" ref="H147:S147" si="72">IF(H141&lt;$D$147,$E$147,H35/H15)</f>
        <v>0.33661333778832075</v>
      </c>
      <c r="I147" s="111" t="str">
        <f t="shared" si="72"/>
        <v>N/A</v>
      </c>
      <c r="J147" s="111" t="str">
        <f t="shared" si="72"/>
        <v>N/A</v>
      </c>
      <c r="K147" s="111" t="str">
        <f t="shared" si="72"/>
        <v>N/A</v>
      </c>
      <c r="L147" s="111" t="str">
        <f t="shared" si="72"/>
        <v>N/A</v>
      </c>
      <c r="M147" s="111" t="str">
        <f t="shared" si="72"/>
        <v>N/A</v>
      </c>
      <c r="N147" s="111" t="str">
        <f t="shared" si="72"/>
        <v>N/A</v>
      </c>
      <c r="O147" s="111" t="str">
        <f t="shared" si="72"/>
        <v>N/A</v>
      </c>
      <c r="P147" s="111" t="str">
        <f t="shared" si="72"/>
        <v>N/A</v>
      </c>
      <c r="Q147" s="111" t="str">
        <f t="shared" si="72"/>
        <v>N/A</v>
      </c>
      <c r="R147" s="111" t="str">
        <f t="shared" si="72"/>
        <v>N/A</v>
      </c>
      <c r="S147" s="111" t="str">
        <f t="shared" si="72"/>
        <v>N/A</v>
      </c>
    </row>
    <row r="148" spans="1:19" s="4" customFormat="1" x14ac:dyDescent="0.2">
      <c r="A148" s="4" t="s">
        <v>458</v>
      </c>
      <c r="B148" s="2" t="s">
        <v>254</v>
      </c>
      <c r="C148" s="8" t="s">
        <v>201</v>
      </c>
      <c r="D148" s="120">
        <v>0.5</v>
      </c>
      <c r="E148" s="121" t="s">
        <v>265</v>
      </c>
      <c r="G148" s="103" t="s">
        <v>269</v>
      </c>
      <c r="H148" s="118">
        <f t="shared" ref="H148:S148" si="73">IF(H141&lt;$D$148,$E$148,H46/H33)</f>
        <v>-1.55808877746645</v>
      </c>
      <c r="I148" s="118" t="str">
        <f t="shared" si="73"/>
        <v>N/A</v>
      </c>
      <c r="J148" s="118" t="str">
        <f t="shared" si="73"/>
        <v>N/A</v>
      </c>
      <c r="K148" s="118" t="str">
        <f t="shared" si="73"/>
        <v>N/A</v>
      </c>
      <c r="L148" s="118" t="str">
        <f t="shared" si="73"/>
        <v>N/A</v>
      </c>
      <c r="M148" s="118" t="str">
        <f t="shared" si="73"/>
        <v>N/A</v>
      </c>
      <c r="N148" s="118" t="str">
        <f t="shared" si="73"/>
        <v>N/A</v>
      </c>
      <c r="O148" s="118" t="str">
        <f t="shared" si="73"/>
        <v>N/A</v>
      </c>
      <c r="P148" s="118" t="str">
        <f t="shared" si="73"/>
        <v>N/A</v>
      </c>
      <c r="Q148" s="118" t="str">
        <f t="shared" si="73"/>
        <v>N/A</v>
      </c>
      <c r="R148" s="118" t="str">
        <f t="shared" si="73"/>
        <v>N/A</v>
      </c>
      <c r="S148" s="118" t="str">
        <f t="shared" si="73"/>
        <v>N/A</v>
      </c>
    </row>
    <row r="149" spans="1:19" s="4" customFormat="1" x14ac:dyDescent="0.2">
      <c r="A149" s="4" t="s">
        <v>459</v>
      </c>
      <c r="B149" s="2" t="s">
        <v>257</v>
      </c>
      <c r="C149" s="8" t="s">
        <v>270</v>
      </c>
      <c r="D149" s="120">
        <v>0.5</v>
      </c>
      <c r="E149" s="121" t="s">
        <v>265</v>
      </c>
      <c r="G149" s="110" t="s">
        <v>271</v>
      </c>
      <c r="H149" s="118">
        <f t="shared" ref="H149:S149" si="74">IF(H141&lt;$D$148,$E$149,H51/H33)</f>
        <v>-1.5612799695744297</v>
      </c>
      <c r="I149" s="118" t="str">
        <f t="shared" si="74"/>
        <v>N/A</v>
      </c>
      <c r="J149" s="118" t="str">
        <f t="shared" si="74"/>
        <v>N/A</v>
      </c>
      <c r="K149" s="118" t="str">
        <f t="shared" si="74"/>
        <v>N/A</v>
      </c>
      <c r="L149" s="118" t="str">
        <f t="shared" si="74"/>
        <v>N/A</v>
      </c>
      <c r="M149" s="118" t="str">
        <f t="shared" si="74"/>
        <v>N/A</v>
      </c>
      <c r="N149" s="118" t="str">
        <f t="shared" si="74"/>
        <v>N/A</v>
      </c>
      <c r="O149" s="118" t="str">
        <f t="shared" si="74"/>
        <v>N/A</v>
      </c>
      <c r="P149" s="118" t="str">
        <f t="shared" si="74"/>
        <v>N/A</v>
      </c>
      <c r="Q149" s="118" t="str">
        <f t="shared" si="74"/>
        <v>N/A</v>
      </c>
      <c r="R149" s="118" t="str">
        <f t="shared" si="74"/>
        <v>N/A</v>
      </c>
      <c r="S149" s="118" t="str">
        <f t="shared" si="74"/>
        <v>N/A</v>
      </c>
    </row>
    <row r="150" spans="1:19" s="4" customFormat="1" x14ac:dyDescent="0.2">
      <c r="A150" s="4" t="s">
        <v>460</v>
      </c>
      <c r="B150" s="2" t="s">
        <v>260</v>
      </c>
      <c r="C150" s="8" t="s">
        <v>272</v>
      </c>
      <c r="D150" s="120">
        <v>0.5</v>
      </c>
      <c r="E150" s="121" t="s">
        <v>265</v>
      </c>
      <c r="G150" s="110" t="s">
        <v>273</v>
      </c>
      <c r="H150" s="118">
        <f t="shared" ref="H150:S150" si="75">IF(H141&lt;$D$150,$E$150,H51/H4)</f>
        <v>-0.55559936494643525</v>
      </c>
      <c r="I150" s="118" t="str">
        <f t="shared" si="75"/>
        <v>N/A</v>
      </c>
      <c r="J150" s="118" t="str">
        <f t="shared" si="75"/>
        <v>N/A</v>
      </c>
      <c r="K150" s="118" t="str">
        <f t="shared" si="75"/>
        <v>N/A</v>
      </c>
      <c r="L150" s="118" t="str">
        <f t="shared" si="75"/>
        <v>N/A</v>
      </c>
      <c r="M150" s="118" t="str">
        <f t="shared" si="75"/>
        <v>N/A</v>
      </c>
      <c r="N150" s="118" t="str">
        <f t="shared" si="75"/>
        <v>N/A</v>
      </c>
      <c r="O150" s="118" t="str">
        <f t="shared" si="75"/>
        <v>N/A</v>
      </c>
      <c r="P150" s="118" t="str">
        <f t="shared" si="75"/>
        <v>N/A</v>
      </c>
      <c r="Q150" s="118" t="str">
        <f t="shared" si="75"/>
        <v>N/A</v>
      </c>
      <c r="R150" s="118" t="str">
        <f t="shared" si="75"/>
        <v>N/A</v>
      </c>
      <c r="S150" s="118" t="str">
        <f t="shared" si="75"/>
        <v>N/A</v>
      </c>
    </row>
    <row r="151" spans="1:19" s="4" customFormat="1" x14ac:dyDescent="0.2">
      <c r="A151" s="4" t="s">
        <v>461</v>
      </c>
      <c r="B151" s="2" t="s">
        <v>263</v>
      </c>
      <c r="C151" s="8" t="s">
        <v>274</v>
      </c>
      <c r="D151" s="120">
        <v>0.5</v>
      </c>
      <c r="E151" s="121" t="s">
        <v>265</v>
      </c>
      <c r="G151" s="46" t="s">
        <v>275</v>
      </c>
      <c r="H151" s="118">
        <f>IF(H141&lt;$D$151,$E$151,H51/H27)</f>
        <v>-0.69461074639307252</v>
      </c>
      <c r="I151" s="118" t="str">
        <f>IF(I141&lt;$D$151,$E$151,I51/((H27+I27)/2))</f>
        <v>N/A</v>
      </c>
      <c r="J151" s="118" t="str">
        <f>IF(J141&lt;$D$151,$E$151,J51/((I27+J27)/2))</f>
        <v>N/A</v>
      </c>
      <c r="K151" s="118" t="str">
        <f>IF(K141&lt;$D$151,$E$151,K51/((J27+K27)/2))</f>
        <v>N/A</v>
      </c>
      <c r="L151" s="118" t="str">
        <f>IF(L141&lt;$D$151,$E$151,L51/((K27+L27)/2))</f>
        <v>N/A</v>
      </c>
      <c r="M151" s="118" t="str">
        <f>IF(M141&lt;$D$151,$E$151,M51/((L27+M27)/2))</f>
        <v>N/A</v>
      </c>
      <c r="N151" s="118" t="str">
        <f t="shared" ref="N151:S151" si="76">IF(N141&lt;$D$151,$E$151,N51/((M27+N27)/2))</f>
        <v>N/A</v>
      </c>
      <c r="O151" s="118" t="str">
        <f t="shared" si="76"/>
        <v>N/A</v>
      </c>
      <c r="P151" s="118" t="str">
        <f t="shared" si="76"/>
        <v>N/A</v>
      </c>
      <c r="Q151" s="118" t="str">
        <f t="shared" si="76"/>
        <v>N/A</v>
      </c>
      <c r="R151" s="118" t="str">
        <f t="shared" si="76"/>
        <v>N/A</v>
      </c>
      <c r="S151" s="118" t="str">
        <f t="shared" si="76"/>
        <v>N/A</v>
      </c>
    </row>
    <row r="152" spans="1:19" s="4" customFormat="1" x14ac:dyDescent="0.2">
      <c r="A152" s="8"/>
      <c r="B152" s="2"/>
      <c r="C152" s="119"/>
      <c r="D152" s="41"/>
      <c r="E152" s="42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</row>
    <row r="153" spans="1:19" s="4" customFormat="1" x14ac:dyDescent="0.2">
      <c r="A153" s="8"/>
      <c r="B153" s="2"/>
      <c r="C153" s="10"/>
      <c r="D153" s="10"/>
      <c r="E153" s="9"/>
      <c r="F153" s="8"/>
      <c r="G153" s="94" t="s">
        <v>462</v>
      </c>
      <c r="H153" s="87">
        <f>H145</f>
        <v>2011</v>
      </c>
      <c r="I153" s="87">
        <f t="shared" ref="I153:S153" si="77">I145</f>
        <v>2012</v>
      </c>
      <c r="J153" s="87">
        <f t="shared" si="77"/>
        <v>2013</v>
      </c>
      <c r="K153" s="87">
        <f t="shared" si="77"/>
        <v>2014</v>
      </c>
      <c r="L153" s="87">
        <f t="shared" si="77"/>
        <v>2015</v>
      </c>
      <c r="M153" s="87">
        <f t="shared" si="77"/>
        <v>2016</v>
      </c>
      <c r="N153" s="87">
        <f t="shared" si="77"/>
        <v>2017</v>
      </c>
      <c r="O153" s="87">
        <f t="shared" si="77"/>
        <v>2018</v>
      </c>
      <c r="P153" s="87">
        <f t="shared" si="77"/>
        <v>2019</v>
      </c>
      <c r="Q153" s="87">
        <f t="shared" si="77"/>
        <v>2020</v>
      </c>
      <c r="R153" s="87">
        <f t="shared" si="77"/>
        <v>2021</v>
      </c>
      <c r="S153" s="87">
        <f t="shared" si="77"/>
        <v>2022</v>
      </c>
    </row>
    <row r="154" spans="1:19" s="4" customFormat="1" x14ac:dyDescent="0.2">
      <c r="A154" s="8"/>
      <c r="B154" s="2"/>
      <c r="C154" s="10"/>
      <c r="D154" s="10"/>
      <c r="E154" s="9"/>
      <c r="F154" s="8"/>
      <c r="G154" s="95" t="s">
        <v>276</v>
      </c>
      <c r="H154" s="96">
        <f t="shared" ref="H154:S154" si="78">H33</f>
        <v>2576.7800000000002</v>
      </c>
      <c r="I154" s="96">
        <f t="shared" si="78"/>
        <v>7971.1429999999991</v>
      </c>
      <c r="J154" s="96">
        <f t="shared" si="78"/>
        <v>7834.697000000001</v>
      </c>
      <c r="K154" s="96">
        <f t="shared" si="78"/>
        <v>8245.1549999999988</v>
      </c>
      <c r="L154" s="96">
        <f>L33</f>
        <v>9044.93</v>
      </c>
      <c r="M154" s="96">
        <f t="shared" si="78"/>
        <v>13108.067000000001</v>
      </c>
      <c r="N154" s="96">
        <f t="shared" si="78"/>
        <v>16926.2219</v>
      </c>
      <c r="O154" s="96">
        <f t="shared" si="78"/>
        <v>10123.946</v>
      </c>
      <c r="P154" s="96">
        <f t="shared" si="78"/>
        <v>10980.0347</v>
      </c>
      <c r="Q154" s="96">
        <f t="shared" si="78"/>
        <v>12243.484934999999</v>
      </c>
      <c r="R154" s="96">
        <f t="shared" si="78"/>
        <v>18231.012181749997</v>
      </c>
      <c r="S154" s="96">
        <f t="shared" si="78"/>
        <v>19297.762290837501</v>
      </c>
    </row>
    <row r="155" spans="1:19" s="4" customFormat="1" x14ac:dyDescent="0.2">
      <c r="A155" s="8"/>
      <c r="B155" s="2"/>
      <c r="C155" s="10"/>
      <c r="D155" s="10"/>
      <c r="E155" s="9"/>
      <c r="F155" s="8"/>
      <c r="G155" s="95" t="s">
        <v>277</v>
      </c>
      <c r="H155" s="96">
        <f t="shared" ref="H155:S156" si="79">H35</f>
        <v>2244.5990000000002</v>
      </c>
      <c r="I155" s="96">
        <f t="shared" si="79"/>
        <v>2395.5749999999998</v>
      </c>
      <c r="J155" s="96">
        <f t="shared" si="79"/>
        <v>2257.4810000000002</v>
      </c>
      <c r="K155" s="96">
        <f t="shared" si="79"/>
        <v>2391.098</v>
      </c>
      <c r="L155" s="96">
        <f t="shared" si="79"/>
        <v>2426.66</v>
      </c>
      <c r="M155" s="96">
        <f t="shared" si="79"/>
        <v>2764.2779999999998</v>
      </c>
      <c r="N155" s="96">
        <f t="shared" si="79"/>
        <v>2803.9800399999999</v>
      </c>
      <c r="O155" s="96">
        <f t="shared" si="79"/>
        <v>2939.8139999999999</v>
      </c>
      <c r="P155" s="96">
        <f t="shared" si="79"/>
        <v>3086.8047000000001</v>
      </c>
      <c r="Q155" s="96">
        <f t="shared" si="79"/>
        <v>3241.1449350000003</v>
      </c>
      <c r="R155" s="96">
        <f t="shared" si="79"/>
        <v>3403.2021817500004</v>
      </c>
      <c r="S155" s="96">
        <f t="shared" si="79"/>
        <v>3573.3622908375005</v>
      </c>
    </row>
    <row r="156" spans="1:19" s="4" customFormat="1" x14ac:dyDescent="0.2">
      <c r="A156" s="8"/>
      <c r="B156" s="2"/>
      <c r="C156" s="10"/>
      <c r="D156" s="10"/>
      <c r="E156" s="9"/>
      <c r="F156" s="8"/>
      <c r="G156" s="95" t="s">
        <v>278</v>
      </c>
      <c r="H156" s="96">
        <f t="shared" si="79"/>
        <v>332.18099999999998</v>
      </c>
      <c r="I156" s="96">
        <f t="shared" si="79"/>
        <v>5575.5679999999993</v>
      </c>
      <c r="J156" s="96">
        <f t="shared" si="79"/>
        <v>5577.3890000000001</v>
      </c>
      <c r="K156" s="96">
        <f t="shared" si="79"/>
        <v>5854.0569999999998</v>
      </c>
      <c r="L156" s="96">
        <f t="shared" si="79"/>
        <v>6617.0280000000002</v>
      </c>
      <c r="M156" s="96">
        <f t="shared" si="79"/>
        <v>10343.49</v>
      </c>
      <c r="N156" s="96">
        <f t="shared" si="79"/>
        <v>14122.24186</v>
      </c>
      <c r="O156" s="96">
        <f t="shared" si="79"/>
        <v>7184.1319999999996</v>
      </c>
      <c r="P156" s="96">
        <f t="shared" si="79"/>
        <v>7893.23</v>
      </c>
      <c r="Q156" s="96">
        <f t="shared" si="79"/>
        <v>9002.3399999999983</v>
      </c>
      <c r="R156" s="96">
        <f t="shared" si="79"/>
        <v>14827.809999999998</v>
      </c>
      <c r="S156" s="96">
        <f t="shared" si="79"/>
        <v>15724.4</v>
      </c>
    </row>
    <row r="157" spans="1:19" s="4" customFormat="1" x14ac:dyDescent="0.2">
      <c r="A157" s="8"/>
      <c r="B157" s="2"/>
      <c r="C157" s="10"/>
      <c r="D157" s="10"/>
      <c r="E157" s="9"/>
      <c r="F157" s="8"/>
      <c r="G157" s="95" t="s">
        <v>279</v>
      </c>
      <c r="H157" s="96">
        <f t="shared" ref="H157:S157" si="80">H38+H41</f>
        <v>-6591.6319999999996</v>
      </c>
      <c r="I157" s="96">
        <f t="shared" si="80"/>
        <v>-7997.5780000000004</v>
      </c>
      <c r="J157" s="96">
        <f t="shared" si="80"/>
        <v>-8191.4969999999994</v>
      </c>
      <c r="K157" s="96">
        <f t="shared" si="80"/>
        <v>-8388.8240000000005</v>
      </c>
      <c r="L157" s="96">
        <f t="shared" si="80"/>
        <v>-8744.8860000000004</v>
      </c>
      <c r="M157" s="96">
        <f t="shared" si="80"/>
        <v>-9723.1359999999986</v>
      </c>
      <c r="N157" s="96">
        <f t="shared" si="80"/>
        <v>-10274.039779999999</v>
      </c>
      <c r="O157" s="96">
        <f t="shared" si="80"/>
        <v>-11719.946</v>
      </c>
      <c r="P157" s="96">
        <f t="shared" si="80"/>
        <v>-12468.451800000001</v>
      </c>
      <c r="Q157" s="96">
        <f t="shared" si="80"/>
        <v>-13263.40948</v>
      </c>
      <c r="R157" s="96">
        <f t="shared" si="80"/>
        <v>-14468.9432548</v>
      </c>
      <c r="S157" s="96">
        <f t="shared" si="80"/>
        <v>-15427.568449340002</v>
      </c>
    </row>
    <row r="158" spans="1:19" s="4" customFormat="1" x14ac:dyDescent="0.2">
      <c r="A158" s="8"/>
      <c r="B158" s="2"/>
      <c r="C158" s="10"/>
      <c r="D158" s="10"/>
      <c r="E158" s="9"/>
      <c r="F158" s="8"/>
      <c r="G158" s="95" t="s">
        <v>280</v>
      </c>
      <c r="H158" s="96">
        <f t="shared" ref="H158:S158" si="81">H41</f>
        <v>-6591.6319999999996</v>
      </c>
      <c r="I158" s="96">
        <f t="shared" si="81"/>
        <v>-7519.8060000000005</v>
      </c>
      <c r="J158" s="96">
        <f t="shared" si="81"/>
        <v>-8056.2979999999998</v>
      </c>
      <c r="K158" s="96">
        <f t="shared" si="81"/>
        <v>-8388.8240000000005</v>
      </c>
      <c r="L158" s="96">
        <f t="shared" si="81"/>
        <v>-8744.8860000000004</v>
      </c>
      <c r="M158" s="96">
        <f t="shared" si="81"/>
        <v>-9723.1359999999986</v>
      </c>
      <c r="N158" s="96">
        <f t="shared" si="81"/>
        <v>-10274.039779999999</v>
      </c>
      <c r="O158" s="96">
        <f t="shared" si="81"/>
        <v>-11719.946</v>
      </c>
      <c r="P158" s="96">
        <f t="shared" si="81"/>
        <v>-12468.451800000001</v>
      </c>
      <c r="Q158" s="96">
        <f t="shared" si="81"/>
        <v>-13263.40948</v>
      </c>
      <c r="R158" s="96">
        <f t="shared" si="81"/>
        <v>-14468.9432548</v>
      </c>
      <c r="S158" s="96">
        <f t="shared" si="81"/>
        <v>-15427.568449340002</v>
      </c>
    </row>
    <row r="159" spans="1:19" s="4" customFormat="1" x14ac:dyDescent="0.2">
      <c r="A159" s="8"/>
      <c r="B159" s="2"/>
      <c r="C159" s="10"/>
      <c r="D159" s="10"/>
      <c r="E159" s="9"/>
      <c r="F159" s="8"/>
      <c r="G159" s="95" t="s">
        <v>281</v>
      </c>
      <c r="H159" s="96">
        <f t="shared" ref="H159:S159" si="82">H38</f>
        <v>0</v>
      </c>
      <c r="I159" s="96">
        <f t="shared" si="82"/>
        <v>-477.77199999999999</v>
      </c>
      <c r="J159" s="96">
        <f t="shared" si="82"/>
        <v>-135.19900000000001</v>
      </c>
      <c r="K159" s="96">
        <f t="shared" si="82"/>
        <v>0</v>
      </c>
      <c r="L159" s="96">
        <f t="shared" si="82"/>
        <v>0</v>
      </c>
      <c r="M159" s="96">
        <f t="shared" si="82"/>
        <v>0</v>
      </c>
      <c r="N159" s="96">
        <f t="shared" si="82"/>
        <v>0</v>
      </c>
      <c r="O159" s="96">
        <f t="shared" si="82"/>
        <v>0</v>
      </c>
      <c r="P159" s="96">
        <f t="shared" si="82"/>
        <v>0</v>
      </c>
      <c r="Q159" s="96">
        <f t="shared" si="82"/>
        <v>0</v>
      </c>
      <c r="R159" s="96">
        <f t="shared" si="82"/>
        <v>0</v>
      </c>
      <c r="S159" s="96">
        <f t="shared" si="82"/>
        <v>0</v>
      </c>
    </row>
    <row r="160" spans="1:19" s="4" customFormat="1" x14ac:dyDescent="0.2">
      <c r="A160" s="8"/>
      <c r="B160" s="2"/>
      <c r="C160" s="10"/>
      <c r="D160" s="10"/>
      <c r="E160" s="9"/>
      <c r="F160" s="8"/>
      <c r="G160" s="95" t="s">
        <v>282</v>
      </c>
      <c r="H160" s="96">
        <f t="shared" ref="H160:S160" si="83">H46</f>
        <v>-4014.8519999999994</v>
      </c>
      <c r="I160" s="96">
        <f t="shared" si="83"/>
        <v>-26.43500000000131</v>
      </c>
      <c r="J160" s="96">
        <f t="shared" si="83"/>
        <v>-356.79999999999836</v>
      </c>
      <c r="K160" s="96">
        <f t="shared" si="83"/>
        <v>-143.66900000000169</v>
      </c>
      <c r="L160" s="96">
        <f t="shared" si="83"/>
        <v>300.04399999999987</v>
      </c>
      <c r="M160" s="96">
        <f t="shared" si="83"/>
        <v>3384.9310000000023</v>
      </c>
      <c r="N160" s="96">
        <f t="shared" si="83"/>
        <v>6652.1821200000013</v>
      </c>
      <c r="O160" s="96">
        <f t="shared" si="83"/>
        <v>-1596</v>
      </c>
      <c r="P160" s="96">
        <f t="shared" si="83"/>
        <v>-1488.4171000000006</v>
      </c>
      <c r="Q160" s="96">
        <f t="shared" si="83"/>
        <v>-1019.9245450000017</v>
      </c>
      <c r="R160" s="96">
        <f t="shared" si="83"/>
        <v>3762.0689269499962</v>
      </c>
      <c r="S160" s="96">
        <f t="shared" si="83"/>
        <v>3870.1938414974993</v>
      </c>
    </row>
    <row r="161" spans="1:19" s="4" customFormat="1" x14ac:dyDescent="0.2">
      <c r="A161" s="8"/>
      <c r="B161" s="2"/>
      <c r="C161" s="10"/>
      <c r="D161" s="10"/>
      <c r="E161" s="9"/>
      <c r="F161" s="8"/>
      <c r="G161" s="95" t="s">
        <v>283</v>
      </c>
      <c r="H161" s="96">
        <f t="shared" ref="H161:S161" si="84">H51</f>
        <v>-4023.0749999999994</v>
      </c>
      <c r="I161" s="96">
        <f t="shared" si="84"/>
        <v>-31.631000000001308</v>
      </c>
      <c r="J161" s="96">
        <f t="shared" si="84"/>
        <v>-358.90799999999837</v>
      </c>
      <c r="K161" s="96">
        <f t="shared" si="84"/>
        <v>-144.09800000000169</v>
      </c>
      <c r="L161" s="96">
        <f t="shared" si="84"/>
        <v>315.65499999999986</v>
      </c>
      <c r="M161" s="96">
        <f t="shared" si="84"/>
        <v>3399.5290000000023</v>
      </c>
      <c r="N161" s="96">
        <f t="shared" si="84"/>
        <v>6652.1821200000013</v>
      </c>
      <c r="O161" s="96">
        <f t="shared" si="84"/>
        <v>-1596</v>
      </c>
      <c r="P161" s="96">
        <f t="shared" si="84"/>
        <v>-1488.4171000000006</v>
      </c>
      <c r="Q161" s="96">
        <f t="shared" si="84"/>
        <v>-1019.9245450000017</v>
      </c>
      <c r="R161" s="96">
        <f t="shared" si="84"/>
        <v>3762.0689269499962</v>
      </c>
      <c r="S161" s="96">
        <f t="shared" si="84"/>
        <v>3870.1938414974993</v>
      </c>
    </row>
    <row r="162" spans="1:19" s="4" customFormat="1" x14ac:dyDescent="0.2">
      <c r="A162" s="8"/>
      <c r="B162" s="2"/>
      <c r="C162" s="10"/>
      <c r="D162" s="10"/>
      <c r="E162" s="9"/>
      <c r="F162" s="8"/>
      <c r="G162" s="95" t="s">
        <v>284</v>
      </c>
      <c r="H162" s="96">
        <f t="shared" ref="H162:S163" si="85">H4</f>
        <v>7240.9639999999999</v>
      </c>
      <c r="I162" s="96">
        <f t="shared" si="85"/>
        <v>11584.761</v>
      </c>
      <c r="J162" s="96">
        <f t="shared" si="85"/>
        <v>12073.348</v>
      </c>
      <c r="K162" s="96">
        <f t="shared" si="85"/>
        <v>13095.220000000001</v>
      </c>
      <c r="L162" s="96">
        <f t="shared" si="85"/>
        <v>20870.367999999999</v>
      </c>
      <c r="M162" s="96">
        <f t="shared" si="85"/>
        <v>16084.627</v>
      </c>
      <c r="N162" s="96">
        <f t="shared" si="85"/>
        <v>23545.97768</v>
      </c>
      <c r="O162" s="96">
        <f t="shared" si="85"/>
        <v>21190.61508</v>
      </c>
      <c r="P162" s="96">
        <f t="shared" si="85"/>
        <v>19702</v>
      </c>
      <c r="Q162" s="96">
        <f t="shared" si="85"/>
        <v>18682</v>
      </c>
      <c r="R162" s="96">
        <f t="shared" si="85"/>
        <v>22444</v>
      </c>
      <c r="S162" s="96">
        <f t="shared" si="85"/>
        <v>26314</v>
      </c>
    </row>
    <row r="163" spans="1:19" s="4" customFormat="1" x14ac:dyDescent="0.2">
      <c r="A163" s="8"/>
      <c r="B163" s="2"/>
      <c r="C163" s="10"/>
      <c r="D163" s="10"/>
      <c r="E163" s="9"/>
      <c r="F163" s="8"/>
      <c r="G163" s="95" t="s">
        <v>285</v>
      </c>
      <c r="H163" s="96">
        <f t="shared" si="85"/>
        <v>572.78200000000004</v>
      </c>
      <c r="I163" s="96">
        <f t="shared" si="85"/>
        <v>513.18799999999999</v>
      </c>
      <c r="J163" s="96">
        <f t="shared" si="85"/>
        <v>1087.575</v>
      </c>
      <c r="K163" s="96">
        <f t="shared" si="85"/>
        <v>1989.0740000000001</v>
      </c>
      <c r="L163" s="96">
        <f t="shared" si="85"/>
        <v>9455.3629999999994</v>
      </c>
      <c r="M163" s="96">
        <f t="shared" si="85"/>
        <v>1219.105</v>
      </c>
      <c r="N163" s="96">
        <f t="shared" si="85"/>
        <v>1850.3626000000002</v>
      </c>
      <c r="O163" s="96">
        <f t="shared" si="85"/>
        <v>1091</v>
      </c>
      <c r="P163" s="96">
        <f t="shared" si="85"/>
        <v>1096</v>
      </c>
      <c r="Q163" s="96">
        <f t="shared" si="85"/>
        <v>1086</v>
      </c>
      <c r="R163" s="96">
        <f t="shared" si="85"/>
        <v>1067</v>
      </c>
      <c r="S163" s="96">
        <f t="shared" si="85"/>
        <v>1052</v>
      </c>
    </row>
    <row r="164" spans="1:19" s="4" customFormat="1" x14ac:dyDescent="0.2">
      <c r="A164" s="8"/>
      <c r="B164" s="2"/>
      <c r="C164" s="10"/>
      <c r="D164" s="10"/>
      <c r="E164" s="9"/>
      <c r="F164" s="8"/>
      <c r="G164" s="95" t="s">
        <v>286</v>
      </c>
      <c r="H164" s="96">
        <f t="shared" ref="H164:S164" si="86">H10</f>
        <v>6668.1819999999998</v>
      </c>
      <c r="I164" s="96">
        <f t="shared" si="86"/>
        <v>11071.573</v>
      </c>
      <c r="J164" s="96">
        <f t="shared" si="86"/>
        <v>10985.772999999999</v>
      </c>
      <c r="K164" s="96">
        <f t="shared" si="86"/>
        <v>11106.146000000001</v>
      </c>
      <c r="L164" s="96">
        <f t="shared" si="86"/>
        <v>11415.004999999999</v>
      </c>
      <c r="M164" s="96">
        <f t="shared" si="86"/>
        <v>14865.522000000001</v>
      </c>
      <c r="N164" s="96">
        <f t="shared" si="86"/>
        <v>21695.61508</v>
      </c>
      <c r="O164" s="96">
        <f t="shared" si="86"/>
        <v>20099.61508</v>
      </c>
      <c r="P164" s="96">
        <f t="shared" si="86"/>
        <v>18606</v>
      </c>
      <c r="Q164" s="96">
        <f t="shared" si="86"/>
        <v>17596</v>
      </c>
      <c r="R164" s="96">
        <f t="shared" si="86"/>
        <v>21377</v>
      </c>
      <c r="S164" s="96">
        <f t="shared" si="86"/>
        <v>25262</v>
      </c>
    </row>
    <row r="165" spans="1:19" s="4" customFormat="1" x14ac:dyDescent="0.2">
      <c r="A165" s="8"/>
      <c r="B165" s="2"/>
      <c r="C165" s="10"/>
      <c r="D165" s="10"/>
      <c r="E165" s="9"/>
      <c r="F165" s="8"/>
      <c r="G165" s="95" t="s">
        <v>287</v>
      </c>
      <c r="H165" s="96">
        <f t="shared" ref="H165:S166" si="87">H19</f>
        <v>1449.123</v>
      </c>
      <c r="I165" s="96">
        <f t="shared" si="87"/>
        <v>627.18600000000004</v>
      </c>
      <c r="J165" s="96">
        <f t="shared" si="87"/>
        <v>1474.5060000000001</v>
      </c>
      <c r="K165" s="96">
        <f t="shared" si="87"/>
        <v>2640.43</v>
      </c>
      <c r="L165" s="96">
        <f t="shared" si="87"/>
        <v>10099.922999999999</v>
      </c>
      <c r="M165" s="96">
        <f t="shared" si="87"/>
        <v>1914.6509999999998</v>
      </c>
      <c r="N165" s="96">
        <f t="shared" si="87"/>
        <v>2723.5314099999996</v>
      </c>
      <c r="O165" s="96">
        <f t="shared" si="87"/>
        <v>1964</v>
      </c>
      <c r="P165" s="96">
        <f t="shared" si="87"/>
        <v>1964</v>
      </c>
      <c r="Q165" s="96">
        <f t="shared" si="87"/>
        <v>1964</v>
      </c>
      <c r="R165" s="96">
        <f t="shared" si="87"/>
        <v>1964</v>
      </c>
      <c r="S165" s="96">
        <f t="shared" si="87"/>
        <v>1964</v>
      </c>
    </row>
    <row r="166" spans="1:19" s="4" customFormat="1" x14ac:dyDescent="0.2">
      <c r="A166" s="8"/>
      <c r="B166" s="2"/>
      <c r="C166" s="10"/>
      <c r="D166" s="10"/>
      <c r="E166" s="9"/>
      <c r="F166" s="8"/>
      <c r="G166" s="95" t="s">
        <v>288</v>
      </c>
      <c r="H166" s="96">
        <f t="shared" si="87"/>
        <v>1366.7560000000001</v>
      </c>
      <c r="I166" s="96">
        <f t="shared" si="87"/>
        <v>592.01199999999994</v>
      </c>
      <c r="J166" s="96">
        <f t="shared" si="87"/>
        <v>1474.5060000000001</v>
      </c>
      <c r="K166" s="96">
        <f t="shared" si="87"/>
        <v>2640.4290000000001</v>
      </c>
      <c r="L166" s="96">
        <f t="shared" si="87"/>
        <v>10099.923000000001</v>
      </c>
      <c r="M166" s="96">
        <f t="shared" si="87"/>
        <v>1914.6510000000001</v>
      </c>
      <c r="N166" s="96">
        <f t="shared" si="87"/>
        <v>2723.5314099999996</v>
      </c>
      <c r="O166" s="96">
        <f t="shared" si="87"/>
        <v>1964</v>
      </c>
      <c r="P166" s="96">
        <f t="shared" si="87"/>
        <v>1964</v>
      </c>
      <c r="Q166" s="96">
        <f t="shared" si="87"/>
        <v>1964</v>
      </c>
      <c r="R166" s="96">
        <f t="shared" si="87"/>
        <v>1964</v>
      </c>
      <c r="S166" s="96">
        <f t="shared" si="87"/>
        <v>1964</v>
      </c>
    </row>
    <row r="167" spans="1:19" s="4" customFormat="1" x14ac:dyDescent="0.2">
      <c r="A167" s="8"/>
      <c r="B167" s="2"/>
      <c r="C167" s="10"/>
      <c r="D167" s="10"/>
      <c r="E167" s="9"/>
      <c r="F167" s="8"/>
      <c r="G167" s="95" t="s">
        <v>289</v>
      </c>
      <c r="H167" s="96">
        <f t="shared" ref="H167:S167" si="88">H24</f>
        <v>188.33500000000001</v>
      </c>
      <c r="I167" s="96">
        <f t="shared" si="88"/>
        <v>82.366</v>
      </c>
      <c r="J167" s="96">
        <f t="shared" si="88"/>
        <v>35.173000000000002</v>
      </c>
      <c r="K167" s="96">
        <f t="shared" si="88"/>
        <v>0</v>
      </c>
      <c r="L167" s="96">
        <f t="shared" si="88"/>
        <v>0</v>
      </c>
      <c r="M167" s="96">
        <f t="shared" si="88"/>
        <v>0</v>
      </c>
      <c r="N167" s="96">
        <f t="shared" si="88"/>
        <v>0</v>
      </c>
      <c r="O167" s="96">
        <f t="shared" si="88"/>
        <v>0</v>
      </c>
      <c r="P167" s="96">
        <f t="shared" si="88"/>
        <v>0</v>
      </c>
      <c r="Q167" s="96">
        <f t="shared" si="88"/>
        <v>0</v>
      </c>
      <c r="R167" s="96">
        <f t="shared" si="88"/>
        <v>0</v>
      </c>
      <c r="S167" s="96">
        <f t="shared" si="88"/>
        <v>0</v>
      </c>
    </row>
    <row r="168" spans="1:19" s="4" customFormat="1" x14ac:dyDescent="0.2">
      <c r="A168" s="8"/>
      <c r="B168" s="2"/>
      <c r="C168" s="10"/>
      <c r="D168" s="10"/>
      <c r="E168" s="9"/>
      <c r="F168" s="8"/>
      <c r="G168" s="95" t="s">
        <v>290</v>
      </c>
      <c r="H168" s="96">
        <f t="shared" ref="H168:S168" si="89">H27</f>
        <v>5791.8409999999994</v>
      </c>
      <c r="I168" s="96">
        <f t="shared" si="89"/>
        <v>10957.575000000001</v>
      </c>
      <c r="J168" s="96">
        <f t="shared" si="89"/>
        <v>10598.840999999999</v>
      </c>
      <c r="K168" s="96">
        <f t="shared" si="89"/>
        <v>10454.789999999999</v>
      </c>
      <c r="L168" s="96">
        <f t="shared" si="89"/>
        <v>10770.446</v>
      </c>
      <c r="M168" s="96">
        <f t="shared" si="89"/>
        <v>14169.976999999999</v>
      </c>
      <c r="N168" s="96">
        <f t="shared" si="89"/>
        <v>20822.44627</v>
      </c>
      <c r="O168" s="96">
        <f t="shared" si="89"/>
        <v>19226.44627</v>
      </c>
      <c r="P168" s="96">
        <f t="shared" si="89"/>
        <v>17738.44627</v>
      </c>
      <c r="Q168" s="96">
        <f t="shared" si="89"/>
        <v>16718.44627</v>
      </c>
      <c r="R168" s="96">
        <f t="shared" si="89"/>
        <v>20480.44627</v>
      </c>
      <c r="S168" s="96">
        <f t="shared" si="89"/>
        <v>24350.44627</v>
      </c>
    </row>
    <row r="169" spans="1:19" s="4" customFormat="1" x14ac:dyDescent="0.2">
      <c r="A169" s="8"/>
      <c r="B169" s="2"/>
      <c r="C169" s="119"/>
      <c r="D169" s="41"/>
      <c r="E169" s="42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</row>
    <row r="170" spans="1:19" s="4" customFormat="1" x14ac:dyDescent="0.2">
      <c r="A170" s="8"/>
      <c r="B170" s="2"/>
      <c r="C170" s="119" t="s">
        <v>463</v>
      </c>
      <c r="D170" s="41"/>
      <c r="E170" s="42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</row>
    <row r="171" spans="1:19" s="4" customFormat="1" x14ac:dyDescent="0.2">
      <c r="A171" s="8"/>
      <c r="B171" s="2"/>
      <c r="C171" s="119"/>
      <c r="D171" s="41"/>
      <c r="E171" s="42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</row>
    <row r="172" spans="1:19" s="40" customFormat="1" x14ac:dyDescent="0.2">
      <c r="A172" s="29"/>
      <c r="B172" s="2"/>
      <c r="C172" s="29" t="s">
        <v>464</v>
      </c>
      <c r="D172" s="99"/>
      <c r="E172" s="30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</row>
    <row r="173" spans="1:19" s="4" customFormat="1" x14ac:dyDescent="0.2">
      <c r="A173" s="8"/>
      <c r="B173" s="2"/>
      <c r="C173" s="8"/>
      <c r="D173" s="10"/>
      <c r="E173" s="9"/>
      <c r="F173" s="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</row>
    <row r="174" spans="1:19" s="4" customFormat="1" x14ac:dyDescent="0.2">
      <c r="A174" s="8"/>
      <c r="B174" s="2"/>
      <c r="C174" s="8" t="s">
        <v>291</v>
      </c>
      <c r="D174" s="10"/>
      <c r="E174" s="9"/>
      <c r="F174" s="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</row>
    <row r="175" spans="1:19" s="4" customFormat="1" x14ac:dyDescent="0.2">
      <c r="A175" s="8"/>
      <c r="B175" s="2"/>
      <c r="C175" s="8" t="s">
        <v>292</v>
      </c>
      <c r="D175" s="10"/>
      <c r="E175" s="9"/>
      <c r="F175" s="12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  <c r="R175" s="44"/>
    </row>
    <row r="176" spans="1:19" s="4" customFormat="1" x14ac:dyDescent="0.2">
      <c r="A176" s="8"/>
      <c r="B176" s="2"/>
      <c r="C176" s="8"/>
      <c r="D176" s="10"/>
      <c r="E176" s="9"/>
      <c r="F176" s="12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</row>
    <row r="177" spans="1:7" s="4" customFormat="1" x14ac:dyDescent="0.2">
      <c r="A177" s="8"/>
      <c r="B177" s="2"/>
      <c r="C177" s="8" t="s">
        <v>293</v>
      </c>
      <c r="D177" s="10"/>
      <c r="E177" s="9"/>
      <c r="F177" s="12"/>
      <c r="G177" s="28"/>
    </row>
    <row r="178" spans="1:7" s="4" customFormat="1" x14ac:dyDescent="0.2">
      <c r="A178" s="8"/>
      <c r="B178" s="2"/>
      <c r="C178" s="8" t="s">
        <v>294</v>
      </c>
      <c r="D178" s="10"/>
      <c r="E178" s="9"/>
      <c r="F178" s="12"/>
      <c r="G178" s="28"/>
    </row>
    <row r="179" spans="1:7" s="4" customFormat="1" x14ac:dyDescent="0.2">
      <c r="A179" s="8"/>
      <c r="B179" s="2"/>
      <c r="C179" s="10"/>
      <c r="D179" s="10"/>
      <c r="E179" s="9"/>
      <c r="F179" s="8"/>
      <c r="G179" s="28"/>
    </row>
    <row r="180" spans="1:7" s="4" customFormat="1" x14ac:dyDescent="0.2">
      <c r="A180" s="8"/>
      <c r="B180" s="2"/>
      <c r="C180" s="10"/>
      <c r="D180" s="10"/>
      <c r="E180" s="9"/>
      <c r="F180" s="8"/>
      <c r="G180" s="28"/>
    </row>
    <row r="181" spans="1:7" s="4" customFormat="1" x14ac:dyDescent="0.2">
      <c r="A181" s="8"/>
      <c r="B181" s="2"/>
      <c r="C181" s="10"/>
      <c r="D181" s="10"/>
      <c r="E181" s="9"/>
      <c r="F181" s="8"/>
      <c r="G181" s="28"/>
    </row>
    <row r="182" spans="1:7" s="4" customFormat="1" x14ac:dyDescent="0.2">
      <c r="A182" s="8"/>
      <c r="B182" s="2"/>
      <c r="C182" s="10"/>
      <c r="D182" s="10"/>
      <c r="E182" s="9"/>
      <c r="F182" s="8"/>
      <c r="G182" s="28"/>
    </row>
    <row r="183" spans="1:7" s="4" customFormat="1" x14ac:dyDescent="0.2">
      <c r="A183" s="8"/>
      <c r="B183" s="2"/>
      <c r="C183" s="10"/>
      <c r="D183" s="10"/>
      <c r="E183" s="9"/>
      <c r="F183" s="8"/>
      <c r="G183" s="28"/>
    </row>
    <row r="184" spans="1:7" s="4" customFormat="1" x14ac:dyDescent="0.2">
      <c r="A184" s="8"/>
      <c r="B184" s="2"/>
      <c r="C184" s="10"/>
      <c r="D184" s="10"/>
      <c r="E184" s="9"/>
      <c r="F184" s="8"/>
      <c r="G184" s="28"/>
    </row>
    <row r="185" spans="1:7" s="4" customFormat="1" x14ac:dyDescent="0.2">
      <c r="A185" s="8"/>
      <c r="B185" s="2"/>
      <c r="C185" s="10"/>
      <c r="D185" s="10"/>
      <c r="E185" s="9"/>
      <c r="F185" s="8"/>
      <c r="G185" s="28"/>
    </row>
    <row r="186" spans="1:7" s="4" customFormat="1" x14ac:dyDescent="0.2">
      <c r="A186" s="8"/>
      <c r="B186" s="2"/>
      <c r="C186" s="10"/>
      <c r="D186" s="10"/>
      <c r="E186" s="9"/>
      <c r="F186" s="8"/>
      <c r="G186" s="28"/>
    </row>
    <row r="187" spans="1:7" s="4" customFormat="1" x14ac:dyDescent="0.2">
      <c r="A187" s="8"/>
      <c r="B187" s="2"/>
      <c r="C187" s="10"/>
      <c r="D187" s="10"/>
      <c r="E187" s="9"/>
      <c r="F187" s="8"/>
      <c r="G187" s="28"/>
    </row>
    <row r="188" spans="1:7" s="4" customFormat="1" x14ac:dyDescent="0.2">
      <c r="A188" s="8"/>
      <c r="B188" s="2"/>
      <c r="C188" s="10"/>
      <c r="D188" s="10"/>
      <c r="E188" s="9"/>
      <c r="F188" s="8"/>
      <c r="G188" s="28"/>
    </row>
    <row r="189" spans="1:7" s="4" customFormat="1" x14ac:dyDescent="0.2">
      <c r="A189" s="8"/>
      <c r="B189" s="2"/>
      <c r="C189" s="10"/>
      <c r="D189" s="10"/>
      <c r="E189" s="9"/>
      <c r="F189" s="8"/>
      <c r="G189" s="28"/>
    </row>
    <row r="190" spans="1:7" s="4" customFormat="1" x14ac:dyDescent="0.2">
      <c r="A190" s="8"/>
      <c r="B190" s="2"/>
      <c r="C190" s="10"/>
      <c r="D190" s="10"/>
      <c r="E190" s="9"/>
      <c r="F190" s="8"/>
      <c r="G190" s="28"/>
    </row>
    <row r="191" spans="1:7" s="4" customFormat="1" x14ac:dyDescent="0.2">
      <c r="A191" s="8"/>
      <c r="B191" s="2"/>
      <c r="C191" s="10"/>
      <c r="D191" s="10"/>
      <c r="E191" s="9"/>
      <c r="F191" s="8"/>
      <c r="G191" s="28"/>
    </row>
    <row r="192" spans="1:7" s="4" customFormat="1" x14ac:dyDescent="0.2">
      <c r="A192" s="8"/>
      <c r="B192" s="2"/>
      <c r="C192" s="10"/>
      <c r="D192" s="10"/>
      <c r="E192" s="9"/>
      <c r="F192" s="8"/>
      <c r="G192" s="28"/>
    </row>
    <row r="193" spans="1:7" s="4" customFormat="1" x14ac:dyDescent="0.2">
      <c r="A193" s="8"/>
      <c r="B193" s="2"/>
      <c r="C193" s="10"/>
      <c r="D193" s="10"/>
      <c r="E193" s="9"/>
      <c r="F193" s="8"/>
      <c r="G193" s="28"/>
    </row>
    <row r="194" spans="1:7" s="4" customFormat="1" x14ac:dyDescent="0.2">
      <c r="A194" s="8"/>
      <c r="B194" s="2"/>
      <c r="C194" s="10"/>
      <c r="D194" s="10"/>
      <c r="E194" s="9"/>
      <c r="F194" s="8"/>
      <c r="G194" s="28"/>
    </row>
    <row r="195" spans="1:7" s="4" customFormat="1" x14ac:dyDescent="0.2">
      <c r="A195" s="8"/>
      <c r="B195" s="2"/>
      <c r="C195" s="10"/>
      <c r="D195" s="10"/>
      <c r="E195" s="9"/>
      <c r="F195" s="8"/>
      <c r="G195" s="28"/>
    </row>
    <row r="196" spans="1:7" s="4" customFormat="1" x14ac:dyDescent="0.2">
      <c r="A196" s="8"/>
      <c r="B196" s="2"/>
      <c r="C196" s="10"/>
      <c r="D196" s="10"/>
      <c r="E196" s="9"/>
      <c r="F196" s="8"/>
      <c r="G196" s="28"/>
    </row>
    <row r="197" spans="1:7" s="4" customFormat="1" x14ac:dyDescent="0.2">
      <c r="A197" s="8"/>
      <c r="B197" s="2"/>
      <c r="C197" s="10"/>
      <c r="D197" s="10"/>
      <c r="E197" s="9"/>
      <c r="F197" s="8"/>
      <c r="G197" s="28"/>
    </row>
    <row r="198" spans="1:7" s="4" customFormat="1" x14ac:dyDescent="0.2">
      <c r="A198" s="8"/>
      <c r="B198" s="2"/>
      <c r="C198" s="10"/>
      <c r="D198" s="10"/>
      <c r="E198" s="9"/>
      <c r="F198" s="8"/>
      <c r="G198" s="28"/>
    </row>
    <row r="199" spans="1:7" s="4" customFormat="1" x14ac:dyDescent="0.2">
      <c r="A199" s="8"/>
      <c r="B199" s="2"/>
      <c r="C199" s="10"/>
      <c r="D199" s="10"/>
      <c r="E199" s="9"/>
      <c r="F199" s="8"/>
      <c r="G199" s="28"/>
    </row>
    <row r="200" spans="1:7" s="4" customFormat="1" x14ac:dyDescent="0.2">
      <c r="A200" s="8"/>
      <c r="B200" s="2"/>
      <c r="C200" s="10"/>
      <c r="D200" s="10"/>
      <c r="E200" s="9"/>
      <c r="F200" s="8"/>
      <c r="G200" s="28"/>
    </row>
    <row r="201" spans="1:7" s="4" customFormat="1" x14ac:dyDescent="0.2">
      <c r="A201" s="8"/>
      <c r="B201" s="2"/>
      <c r="C201" s="10"/>
      <c r="D201" s="10"/>
      <c r="E201" s="9"/>
      <c r="F201" s="8"/>
      <c r="G201" s="28"/>
    </row>
    <row r="202" spans="1:7" s="4" customFormat="1" x14ac:dyDescent="0.2">
      <c r="A202" s="8"/>
      <c r="B202" s="2"/>
      <c r="C202" s="10"/>
      <c r="D202" s="10"/>
      <c r="E202" s="9"/>
      <c r="F202" s="8"/>
      <c r="G202" s="28"/>
    </row>
  </sheetData>
  <mergeCells count="1">
    <mergeCell ref="D92:E92"/>
  </mergeCells>
  <conditionalFormatting sqref="H141:Q141">
    <cfRule type="cellIs" dxfId="432" priority="51" stopIfTrue="1" operator="greaterThan">
      <formula>$E$141</formula>
    </cfRule>
    <cfRule type="cellIs" dxfId="431" priority="52" stopIfTrue="1" operator="lessThanOrEqual">
      <formula>$E$141</formula>
    </cfRule>
  </conditionalFormatting>
  <conditionalFormatting sqref="H143:Q143">
    <cfRule type="cellIs" dxfId="430" priority="49" stopIfTrue="1" operator="lessThanOrEqual">
      <formula>$E$143</formula>
    </cfRule>
    <cfRule type="cellIs" dxfId="429" priority="50" stopIfTrue="1" operator="greaterThan">
      <formula>$E$143</formula>
    </cfRule>
  </conditionalFormatting>
  <conditionalFormatting sqref="H121:Q121">
    <cfRule type="cellIs" dxfId="428" priority="47" operator="greaterThan">
      <formula>$E$121</formula>
    </cfRule>
    <cfRule type="cellIs" dxfId="427" priority="48" operator="lessThanOrEqual">
      <formula>$E$121</formula>
    </cfRule>
  </conditionalFormatting>
  <conditionalFormatting sqref="H124:Q124">
    <cfRule type="cellIs" dxfId="426" priority="45" stopIfTrue="1" operator="greaterThanOrEqual">
      <formula>$E$124</formula>
    </cfRule>
    <cfRule type="cellIs" dxfId="425" priority="46" stopIfTrue="1" operator="lessThan">
      <formula>$E$124</formula>
    </cfRule>
  </conditionalFormatting>
  <conditionalFormatting sqref="H126:Q126">
    <cfRule type="cellIs" dxfId="424" priority="43" stopIfTrue="1" operator="lessThan">
      <formula>$E$126</formula>
    </cfRule>
    <cfRule type="cellIs" dxfId="423" priority="44" stopIfTrue="1" operator="greaterThanOrEqual">
      <formula>$E$126</formula>
    </cfRule>
  </conditionalFormatting>
  <conditionalFormatting sqref="H125:Q125">
    <cfRule type="cellIs" dxfId="422" priority="41" stopIfTrue="1" operator="greaterThan">
      <formula>$E$125</formula>
    </cfRule>
    <cfRule type="cellIs" dxfId="421" priority="42" stopIfTrue="1" operator="lessThanOrEqual">
      <formula>$E$125</formula>
    </cfRule>
  </conditionalFormatting>
  <conditionalFormatting sqref="H122:Q122">
    <cfRule type="cellIs" dxfId="420" priority="30" stopIfTrue="1" operator="between">
      <formula>$D$122</formula>
      <formula>$E$122</formula>
    </cfRule>
    <cfRule type="cellIs" dxfId="419" priority="39" stopIfTrue="1" operator="lessThanOrEqual">
      <formula>$D$122</formula>
    </cfRule>
    <cfRule type="cellIs" dxfId="418" priority="40" stopIfTrue="1" operator="greaterThan">
      <formula>$E$122</formula>
    </cfRule>
  </conditionalFormatting>
  <conditionalFormatting sqref="H142:Q142">
    <cfRule type="cellIs" dxfId="417" priority="37" stopIfTrue="1" operator="greaterThan">
      <formula>$E$142</formula>
    </cfRule>
    <cfRule type="cellIs" dxfId="416" priority="38" stopIfTrue="1" operator="lessThanOrEqual">
      <formula>$E$142</formula>
    </cfRule>
  </conditionalFormatting>
  <conditionalFormatting sqref="H130:Q130">
    <cfRule type="cellIs" dxfId="415" priority="35" stopIfTrue="1" operator="greaterThan">
      <formula>$E$130</formula>
    </cfRule>
    <cfRule type="cellIs" dxfId="414" priority="36" stopIfTrue="1" operator="lessThanOrEqual">
      <formula>$E$130</formula>
    </cfRule>
  </conditionalFormatting>
  <conditionalFormatting sqref="H131:Q131">
    <cfRule type="cellIs" dxfId="413" priority="33" stopIfTrue="1" operator="lessThan">
      <formula>$E$131</formula>
    </cfRule>
    <cfRule type="cellIs" dxfId="412" priority="34" stopIfTrue="1" operator="greaterThanOrEqual">
      <formula>$E$131</formula>
    </cfRule>
  </conditionalFormatting>
  <conditionalFormatting sqref="H114:Q114">
    <cfRule type="cellIs" dxfId="411" priority="53" stopIfTrue="1" operator="lessThan">
      <formula>$D$114</formula>
    </cfRule>
    <cfRule type="cellIs" dxfId="410" priority="54" stopIfTrue="1" operator="between">
      <formula>$D$114</formula>
      <formula>$E$114</formula>
    </cfRule>
    <cfRule type="cellIs" dxfId="409" priority="55" stopIfTrue="1" operator="greaterThan">
      <formula>$E$114</formula>
    </cfRule>
  </conditionalFormatting>
  <conditionalFormatting sqref="H138:Q138">
    <cfRule type="cellIs" dxfId="408" priority="56" stopIfTrue="1" operator="lessThan">
      <formula>$E$138</formula>
    </cfRule>
    <cfRule type="cellIs" dxfId="407" priority="57" stopIfTrue="1" operator="between">
      <formula>$D$138</formula>
      <formula>$E$138</formula>
    </cfRule>
    <cfRule type="cellIs" dxfId="406" priority="58" stopIfTrue="1" operator="greaterThanOrEqual">
      <formula>$D$138</formula>
    </cfRule>
  </conditionalFormatting>
  <conditionalFormatting sqref="H111:Q111">
    <cfRule type="cellIs" dxfId="405" priority="31" stopIfTrue="1" operator="lessThan">
      <formula>$E$111</formula>
    </cfRule>
    <cfRule type="cellIs" dxfId="404" priority="32" stopIfTrue="1" operator="greaterThan">
      <formula>$E$111</formula>
    </cfRule>
  </conditionalFormatting>
  <conditionalFormatting sqref="R141:S141">
    <cfRule type="cellIs" dxfId="403" priority="22" stopIfTrue="1" operator="greaterThan">
      <formula>$E$141</formula>
    </cfRule>
    <cfRule type="cellIs" dxfId="402" priority="23" stopIfTrue="1" operator="lessThanOrEqual">
      <formula>$E$141</formula>
    </cfRule>
  </conditionalFormatting>
  <conditionalFormatting sqref="R143:S143">
    <cfRule type="cellIs" dxfId="401" priority="20" stopIfTrue="1" operator="lessThanOrEqual">
      <formula>$E$143</formula>
    </cfRule>
    <cfRule type="cellIs" dxfId="400" priority="21" stopIfTrue="1" operator="greaterThan">
      <formula>$E$143</formula>
    </cfRule>
  </conditionalFormatting>
  <conditionalFormatting sqref="R121:S121">
    <cfRule type="cellIs" dxfId="399" priority="18" operator="greaterThan">
      <formula>$E$121</formula>
    </cfRule>
    <cfRule type="cellIs" dxfId="398" priority="19" operator="lessThanOrEqual">
      <formula>$E$121</formula>
    </cfRule>
  </conditionalFormatting>
  <conditionalFormatting sqref="R124:S124">
    <cfRule type="cellIs" dxfId="397" priority="16" stopIfTrue="1" operator="greaterThanOrEqual">
      <formula>$E$124</formula>
    </cfRule>
    <cfRule type="cellIs" dxfId="396" priority="17" stopIfTrue="1" operator="lessThan">
      <formula>$E$124</formula>
    </cfRule>
  </conditionalFormatting>
  <conditionalFormatting sqref="R126:S126">
    <cfRule type="cellIs" dxfId="395" priority="14" stopIfTrue="1" operator="lessThan">
      <formula>$E$126</formula>
    </cfRule>
    <cfRule type="cellIs" dxfId="394" priority="15" stopIfTrue="1" operator="greaterThanOrEqual">
      <formula>$E$126</formula>
    </cfRule>
  </conditionalFormatting>
  <conditionalFormatting sqref="R125:S125">
    <cfRule type="cellIs" dxfId="393" priority="12" stopIfTrue="1" operator="greaterThan">
      <formula>$E$125</formula>
    </cfRule>
    <cfRule type="cellIs" dxfId="392" priority="13" stopIfTrue="1" operator="lessThanOrEqual">
      <formula>$E$125</formula>
    </cfRule>
  </conditionalFormatting>
  <conditionalFormatting sqref="R122:S122">
    <cfRule type="cellIs" dxfId="391" priority="1" stopIfTrue="1" operator="between">
      <formula>$D$122</formula>
      <formula>$E$122</formula>
    </cfRule>
    <cfRule type="cellIs" dxfId="390" priority="10" stopIfTrue="1" operator="lessThanOrEqual">
      <formula>$D$122</formula>
    </cfRule>
    <cfRule type="cellIs" dxfId="389" priority="11" stopIfTrue="1" operator="greaterThan">
      <formula>$E$122</formula>
    </cfRule>
  </conditionalFormatting>
  <conditionalFormatting sqref="R142:S142">
    <cfRule type="cellIs" dxfId="388" priority="8" stopIfTrue="1" operator="greaterThan">
      <formula>$E$142</formula>
    </cfRule>
    <cfRule type="cellIs" dxfId="387" priority="9" stopIfTrue="1" operator="lessThanOrEqual">
      <formula>$E$142</formula>
    </cfRule>
  </conditionalFormatting>
  <conditionalFormatting sqref="R130:S130">
    <cfRule type="cellIs" dxfId="386" priority="6" stopIfTrue="1" operator="greaterThan">
      <formula>$E$130</formula>
    </cfRule>
    <cfRule type="cellIs" dxfId="385" priority="7" stopIfTrue="1" operator="lessThanOrEqual">
      <formula>$E$130</formula>
    </cfRule>
  </conditionalFormatting>
  <conditionalFormatting sqref="R131:S131">
    <cfRule type="cellIs" dxfId="384" priority="4" stopIfTrue="1" operator="lessThan">
      <formula>$E$131</formula>
    </cfRule>
    <cfRule type="cellIs" dxfId="383" priority="5" stopIfTrue="1" operator="greaterThanOrEqual">
      <formula>$E$131</formula>
    </cfRule>
  </conditionalFormatting>
  <conditionalFormatting sqref="R114:S114">
    <cfRule type="cellIs" dxfId="382" priority="24" stopIfTrue="1" operator="lessThan">
      <formula>$D$114</formula>
    </cfRule>
    <cfRule type="cellIs" dxfId="381" priority="25" stopIfTrue="1" operator="between">
      <formula>$D$114</formula>
      <formula>$E$114</formula>
    </cfRule>
    <cfRule type="cellIs" dxfId="380" priority="26" stopIfTrue="1" operator="greaterThan">
      <formula>$E$114</formula>
    </cfRule>
  </conditionalFormatting>
  <conditionalFormatting sqref="R138:S138">
    <cfRule type="cellIs" dxfId="379" priority="27" stopIfTrue="1" operator="lessThan">
      <formula>$E$138</formula>
    </cfRule>
    <cfRule type="cellIs" dxfId="378" priority="28" stopIfTrue="1" operator="between">
      <formula>$D$138</formula>
      <formula>$E$138</formula>
    </cfRule>
    <cfRule type="cellIs" dxfId="377" priority="29" stopIfTrue="1" operator="greaterThanOrEqual">
      <formula>$D$138</formula>
    </cfRule>
  </conditionalFormatting>
  <conditionalFormatting sqref="R111:S111">
    <cfRule type="cellIs" dxfId="376" priority="2" stopIfTrue="1" operator="lessThan">
      <formula>$E$111</formula>
    </cfRule>
    <cfRule type="cellIs" dxfId="375" priority="3" stopIfTrue="1" operator="greaterThan">
      <formula>$E$111</formula>
    </cfRule>
  </conditionalFormatting>
  <pageMargins left="0.7" right="0.7" top="0.75" bottom="0.75" header="0.3" footer="0.3"/>
  <legacy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EA385E-70DF-4841-AC0F-EC1ABB5BAC0C}">
  <dimension ref="A1:S150"/>
  <sheetViews>
    <sheetView workbookViewId="0">
      <pane ySplit="3" topLeftCell="A4" activePane="bottomLeft" state="frozen"/>
      <selection activeCell="W16" sqref="W16"/>
      <selection pane="bottomLeft" activeCell="H2" sqref="H2"/>
    </sheetView>
  </sheetViews>
  <sheetFormatPr defaultRowHeight="11.25" x14ac:dyDescent="0.2"/>
  <cols>
    <col min="1" max="1" width="5.7109375" style="8" hidden="1" customWidth="1"/>
    <col min="2" max="2" width="5" style="2" hidden="1" customWidth="1"/>
    <col min="3" max="3" width="21" style="10" hidden="1" customWidth="1"/>
    <col min="4" max="4" width="7.28515625" style="10" hidden="1" customWidth="1"/>
    <col min="5" max="5" width="5.140625" style="9" hidden="1" customWidth="1"/>
    <col min="6" max="6" width="2.140625" style="8" customWidth="1"/>
    <col min="7" max="7" width="32.7109375" style="28" customWidth="1"/>
    <col min="8" max="15" width="8.7109375" style="4" customWidth="1"/>
    <col min="16" max="18" width="8.7109375" style="4" bestFit="1" customWidth="1"/>
    <col min="19" max="256" width="9.140625" style="4"/>
    <col min="257" max="261" width="0" style="4" hidden="1" customWidth="1"/>
    <col min="262" max="262" width="2.140625" style="4" customWidth="1"/>
    <col min="263" max="263" width="32.7109375" style="4" customWidth="1"/>
    <col min="264" max="271" width="8.7109375" style="4" customWidth="1"/>
    <col min="272" max="274" width="8.7109375" style="4" bestFit="1" customWidth="1"/>
    <col min="275" max="512" width="9.140625" style="4"/>
    <col min="513" max="517" width="0" style="4" hidden="1" customWidth="1"/>
    <col min="518" max="518" width="2.140625" style="4" customWidth="1"/>
    <col min="519" max="519" width="32.7109375" style="4" customWidth="1"/>
    <col min="520" max="527" width="8.7109375" style="4" customWidth="1"/>
    <col min="528" max="530" width="8.7109375" style="4" bestFit="1" customWidth="1"/>
    <col min="531" max="768" width="9.140625" style="4"/>
    <col min="769" max="773" width="0" style="4" hidden="1" customWidth="1"/>
    <col min="774" max="774" width="2.140625" style="4" customWidth="1"/>
    <col min="775" max="775" width="32.7109375" style="4" customWidth="1"/>
    <col min="776" max="783" width="8.7109375" style="4" customWidth="1"/>
    <col min="784" max="786" width="8.7109375" style="4" bestFit="1" customWidth="1"/>
    <col min="787" max="1024" width="9.140625" style="4"/>
    <col min="1025" max="1029" width="0" style="4" hidden="1" customWidth="1"/>
    <col min="1030" max="1030" width="2.140625" style="4" customWidth="1"/>
    <col min="1031" max="1031" width="32.7109375" style="4" customWidth="1"/>
    <col min="1032" max="1039" width="8.7109375" style="4" customWidth="1"/>
    <col min="1040" max="1042" width="8.7109375" style="4" bestFit="1" customWidth="1"/>
    <col min="1043" max="1280" width="9.140625" style="4"/>
    <col min="1281" max="1285" width="0" style="4" hidden="1" customWidth="1"/>
    <col min="1286" max="1286" width="2.140625" style="4" customWidth="1"/>
    <col min="1287" max="1287" width="32.7109375" style="4" customWidth="1"/>
    <col min="1288" max="1295" width="8.7109375" style="4" customWidth="1"/>
    <col min="1296" max="1298" width="8.7109375" style="4" bestFit="1" customWidth="1"/>
    <col min="1299" max="1536" width="9.140625" style="4"/>
    <col min="1537" max="1541" width="0" style="4" hidden="1" customWidth="1"/>
    <col min="1542" max="1542" width="2.140625" style="4" customWidth="1"/>
    <col min="1543" max="1543" width="32.7109375" style="4" customWidth="1"/>
    <col min="1544" max="1551" width="8.7109375" style="4" customWidth="1"/>
    <col min="1552" max="1554" width="8.7109375" style="4" bestFit="1" customWidth="1"/>
    <col min="1555" max="1792" width="9.140625" style="4"/>
    <col min="1793" max="1797" width="0" style="4" hidden="1" customWidth="1"/>
    <col min="1798" max="1798" width="2.140625" style="4" customWidth="1"/>
    <col min="1799" max="1799" width="32.7109375" style="4" customWidth="1"/>
    <col min="1800" max="1807" width="8.7109375" style="4" customWidth="1"/>
    <col min="1808" max="1810" width="8.7109375" style="4" bestFit="1" customWidth="1"/>
    <col min="1811" max="2048" width="9.140625" style="4"/>
    <col min="2049" max="2053" width="0" style="4" hidden="1" customWidth="1"/>
    <col min="2054" max="2054" width="2.140625" style="4" customWidth="1"/>
    <col min="2055" max="2055" width="32.7109375" style="4" customWidth="1"/>
    <col min="2056" max="2063" width="8.7109375" style="4" customWidth="1"/>
    <col min="2064" max="2066" width="8.7109375" style="4" bestFit="1" customWidth="1"/>
    <col min="2067" max="2304" width="9.140625" style="4"/>
    <col min="2305" max="2309" width="0" style="4" hidden="1" customWidth="1"/>
    <col min="2310" max="2310" width="2.140625" style="4" customWidth="1"/>
    <col min="2311" max="2311" width="32.7109375" style="4" customWidth="1"/>
    <col min="2312" max="2319" width="8.7109375" style="4" customWidth="1"/>
    <col min="2320" max="2322" width="8.7109375" style="4" bestFit="1" customWidth="1"/>
    <col min="2323" max="2560" width="9.140625" style="4"/>
    <col min="2561" max="2565" width="0" style="4" hidden="1" customWidth="1"/>
    <col min="2566" max="2566" width="2.140625" style="4" customWidth="1"/>
    <col min="2567" max="2567" width="32.7109375" style="4" customWidth="1"/>
    <col min="2568" max="2575" width="8.7109375" style="4" customWidth="1"/>
    <col min="2576" max="2578" width="8.7109375" style="4" bestFit="1" customWidth="1"/>
    <col min="2579" max="2816" width="9.140625" style="4"/>
    <col min="2817" max="2821" width="0" style="4" hidden="1" customWidth="1"/>
    <col min="2822" max="2822" width="2.140625" style="4" customWidth="1"/>
    <col min="2823" max="2823" width="32.7109375" style="4" customWidth="1"/>
    <col min="2824" max="2831" width="8.7109375" style="4" customWidth="1"/>
    <col min="2832" max="2834" width="8.7109375" style="4" bestFit="1" customWidth="1"/>
    <col min="2835" max="3072" width="9.140625" style="4"/>
    <col min="3073" max="3077" width="0" style="4" hidden="1" customWidth="1"/>
    <col min="3078" max="3078" width="2.140625" style="4" customWidth="1"/>
    <col min="3079" max="3079" width="32.7109375" style="4" customWidth="1"/>
    <col min="3080" max="3087" width="8.7109375" style="4" customWidth="1"/>
    <col min="3088" max="3090" width="8.7109375" style="4" bestFit="1" customWidth="1"/>
    <col min="3091" max="3328" width="9.140625" style="4"/>
    <col min="3329" max="3333" width="0" style="4" hidden="1" customWidth="1"/>
    <col min="3334" max="3334" width="2.140625" style="4" customWidth="1"/>
    <col min="3335" max="3335" width="32.7109375" style="4" customWidth="1"/>
    <col min="3336" max="3343" width="8.7109375" style="4" customWidth="1"/>
    <col min="3344" max="3346" width="8.7109375" style="4" bestFit="1" customWidth="1"/>
    <col min="3347" max="3584" width="9.140625" style="4"/>
    <col min="3585" max="3589" width="0" style="4" hidden="1" customWidth="1"/>
    <col min="3590" max="3590" width="2.140625" style="4" customWidth="1"/>
    <col min="3591" max="3591" width="32.7109375" style="4" customWidth="1"/>
    <col min="3592" max="3599" width="8.7109375" style="4" customWidth="1"/>
    <col min="3600" max="3602" width="8.7109375" style="4" bestFit="1" customWidth="1"/>
    <col min="3603" max="3840" width="9.140625" style="4"/>
    <col min="3841" max="3845" width="0" style="4" hidden="1" customWidth="1"/>
    <col min="3846" max="3846" width="2.140625" style="4" customWidth="1"/>
    <col min="3847" max="3847" width="32.7109375" style="4" customWidth="1"/>
    <col min="3848" max="3855" width="8.7109375" style="4" customWidth="1"/>
    <col min="3856" max="3858" width="8.7109375" style="4" bestFit="1" customWidth="1"/>
    <col min="3859" max="4096" width="9.140625" style="4"/>
    <col min="4097" max="4101" width="0" style="4" hidden="1" customWidth="1"/>
    <col min="4102" max="4102" width="2.140625" style="4" customWidth="1"/>
    <col min="4103" max="4103" width="32.7109375" style="4" customWidth="1"/>
    <col min="4104" max="4111" width="8.7109375" style="4" customWidth="1"/>
    <col min="4112" max="4114" width="8.7109375" style="4" bestFit="1" customWidth="1"/>
    <col min="4115" max="4352" width="9.140625" style="4"/>
    <col min="4353" max="4357" width="0" style="4" hidden="1" customWidth="1"/>
    <col min="4358" max="4358" width="2.140625" style="4" customWidth="1"/>
    <col min="4359" max="4359" width="32.7109375" style="4" customWidth="1"/>
    <col min="4360" max="4367" width="8.7109375" style="4" customWidth="1"/>
    <col min="4368" max="4370" width="8.7109375" style="4" bestFit="1" customWidth="1"/>
    <col min="4371" max="4608" width="9.140625" style="4"/>
    <col min="4609" max="4613" width="0" style="4" hidden="1" customWidth="1"/>
    <col min="4614" max="4614" width="2.140625" style="4" customWidth="1"/>
    <col min="4615" max="4615" width="32.7109375" style="4" customWidth="1"/>
    <col min="4616" max="4623" width="8.7109375" style="4" customWidth="1"/>
    <col min="4624" max="4626" width="8.7109375" style="4" bestFit="1" customWidth="1"/>
    <col min="4627" max="4864" width="9.140625" style="4"/>
    <col min="4865" max="4869" width="0" style="4" hidden="1" customWidth="1"/>
    <col min="4870" max="4870" width="2.140625" style="4" customWidth="1"/>
    <col min="4871" max="4871" width="32.7109375" style="4" customWidth="1"/>
    <col min="4872" max="4879" width="8.7109375" style="4" customWidth="1"/>
    <col min="4880" max="4882" width="8.7109375" style="4" bestFit="1" customWidth="1"/>
    <col min="4883" max="5120" width="9.140625" style="4"/>
    <col min="5121" max="5125" width="0" style="4" hidden="1" customWidth="1"/>
    <col min="5126" max="5126" width="2.140625" style="4" customWidth="1"/>
    <col min="5127" max="5127" width="32.7109375" style="4" customWidth="1"/>
    <col min="5128" max="5135" width="8.7109375" style="4" customWidth="1"/>
    <col min="5136" max="5138" width="8.7109375" style="4" bestFit="1" customWidth="1"/>
    <col min="5139" max="5376" width="9.140625" style="4"/>
    <col min="5377" max="5381" width="0" style="4" hidden="1" customWidth="1"/>
    <col min="5382" max="5382" width="2.140625" style="4" customWidth="1"/>
    <col min="5383" max="5383" width="32.7109375" style="4" customWidth="1"/>
    <col min="5384" max="5391" width="8.7109375" style="4" customWidth="1"/>
    <col min="5392" max="5394" width="8.7109375" style="4" bestFit="1" customWidth="1"/>
    <col min="5395" max="5632" width="9.140625" style="4"/>
    <col min="5633" max="5637" width="0" style="4" hidden="1" customWidth="1"/>
    <col min="5638" max="5638" width="2.140625" style="4" customWidth="1"/>
    <col min="5639" max="5639" width="32.7109375" style="4" customWidth="1"/>
    <col min="5640" max="5647" width="8.7109375" style="4" customWidth="1"/>
    <col min="5648" max="5650" width="8.7109375" style="4" bestFit="1" customWidth="1"/>
    <col min="5651" max="5888" width="9.140625" style="4"/>
    <col min="5889" max="5893" width="0" style="4" hidden="1" customWidth="1"/>
    <col min="5894" max="5894" width="2.140625" style="4" customWidth="1"/>
    <col min="5895" max="5895" width="32.7109375" style="4" customWidth="1"/>
    <col min="5896" max="5903" width="8.7109375" style="4" customWidth="1"/>
    <col min="5904" max="5906" width="8.7109375" style="4" bestFit="1" customWidth="1"/>
    <col min="5907" max="6144" width="9.140625" style="4"/>
    <col min="6145" max="6149" width="0" style="4" hidden="1" customWidth="1"/>
    <col min="6150" max="6150" width="2.140625" style="4" customWidth="1"/>
    <col min="6151" max="6151" width="32.7109375" style="4" customWidth="1"/>
    <col min="6152" max="6159" width="8.7109375" style="4" customWidth="1"/>
    <col min="6160" max="6162" width="8.7109375" style="4" bestFit="1" customWidth="1"/>
    <col min="6163" max="6400" width="9.140625" style="4"/>
    <col min="6401" max="6405" width="0" style="4" hidden="1" customWidth="1"/>
    <col min="6406" max="6406" width="2.140625" style="4" customWidth="1"/>
    <col min="6407" max="6407" width="32.7109375" style="4" customWidth="1"/>
    <col min="6408" max="6415" width="8.7109375" style="4" customWidth="1"/>
    <col min="6416" max="6418" width="8.7109375" style="4" bestFit="1" customWidth="1"/>
    <col min="6419" max="6656" width="9.140625" style="4"/>
    <col min="6657" max="6661" width="0" style="4" hidden="1" customWidth="1"/>
    <col min="6662" max="6662" width="2.140625" style="4" customWidth="1"/>
    <col min="6663" max="6663" width="32.7109375" style="4" customWidth="1"/>
    <col min="6664" max="6671" width="8.7109375" style="4" customWidth="1"/>
    <col min="6672" max="6674" width="8.7109375" style="4" bestFit="1" customWidth="1"/>
    <col min="6675" max="6912" width="9.140625" style="4"/>
    <col min="6913" max="6917" width="0" style="4" hidden="1" customWidth="1"/>
    <col min="6918" max="6918" width="2.140625" style="4" customWidth="1"/>
    <col min="6919" max="6919" width="32.7109375" style="4" customWidth="1"/>
    <col min="6920" max="6927" width="8.7109375" style="4" customWidth="1"/>
    <col min="6928" max="6930" width="8.7109375" style="4" bestFit="1" customWidth="1"/>
    <col min="6931" max="7168" width="9.140625" style="4"/>
    <col min="7169" max="7173" width="0" style="4" hidden="1" customWidth="1"/>
    <col min="7174" max="7174" width="2.140625" style="4" customWidth="1"/>
    <col min="7175" max="7175" width="32.7109375" style="4" customWidth="1"/>
    <col min="7176" max="7183" width="8.7109375" style="4" customWidth="1"/>
    <col min="7184" max="7186" width="8.7109375" style="4" bestFit="1" customWidth="1"/>
    <col min="7187" max="7424" width="9.140625" style="4"/>
    <col min="7425" max="7429" width="0" style="4" hidden="1" customWidth="1"/>
    <col min="7430" max="7430" width="2.140625" style="4" customWidth="1"/>
    <col min="7431" max="7431" width="32.7109375" style="4" customWidth="1"/>
    <col min="7432" max="7439" width="8.7109375" style="4" customWidth="1"/>
    <col min="7440" max="7442" width="8.7109375" style="4" bestFit="1" customWidth="1"/>
    <col min="7443" max="7680" width="9.140625" style="4"/>
    <col min="7681" max="7685" width="0" style="4" hidden="1" customWidth="1"/>
    <col min="7686" max="7686" width="2.140625" style="4" customWidth="1"/>
    <col min="7687" max="7687" width="32.7109375" style="4" customWidth="1"/>
    <col min="7688" max="7695" width="8.7109375" style="4" customWidth="1"/>
    <col min="7696" max="7698" width="8.7109375" style="4" bestFit="1" customWidth="1"/>
    <col min="7699" max="7936" width="9.140625" style="4"/>
    <col min="7937" max="7941" width="0" style="4" hidden="1" customWidth="1"/>
    <col min="7942" max="7942" width="2.140625" style="4" customWidth="1"/>
    <col min="7943" max="7943" width="32.7109375" style="4" customWidth="1"/>
    <col min="7944" max="7951" width="8.7109375" style="4" customWidth="1"/>
    <col min="7952" max="7954" width="8.7109375" style="4" bestFit="1" customWidth="1"/>
    <col min="7955" max="8192" width="9.140625" style="4"/>
    <col min="8193" max="8197" width="0" style="4" hidden="1" customWidth="1"/>
    <col min="8198" max="8198" width="2.140625" style="4" customWidth="1"/>
    <col min="8199" max="8199" width="32.7109375" style="4" customWidth="1"/>
    <col min="8200" max="8207" width="8.7109375" style="4" customWidth="1"/>
    <col min="8208" max="8210" width="8.7109375" style="4" bestFit="1" customWidth="1"/>
    <col min="8211" max="8448" width="9.140625" style="4"/>
    <col min="8449" max="8453" width="0" style="4" hidden="1" customWidth="1"/>
    <col min="8454" max="8454" width="2.140625" style="4" customWidth="1"/>
    <col min="8455" max="8455" width="32.7109375" style="4" customWidth="1"/>
    <col min="8456" max="8463" width="8.7109375" style="4" customWidth="1"/>
    <col min="8464" max="8466" width="8.7109375" style="4" bestFit="1" customWidth="1"/>
    <col min="8467" max="8704" width="9.140625" style="4"/>
    <col min="8705" max="8709" width="0" style="4" hidden="1" customWidth="1"/>
    <col min="8710" max="8710" width="2.140625" style="4" customWidth="1"/>
    <col min="8711" max="8711" width="32.7109375" style="4" customWidth="1"/>
    <col min="8712" max="8719" width="8.7109375" style="4" customWidth="1"/>
    <col min="8720" max="8722" width="8.7109375" style="4" bestFit="1" customWidth="1"/>
    <col min="8723" max="8960" width="9.140625" style="4"/>
    <col min="8961" max="8965" width="0" style="4" hidden="1" customWidth="1"/>
    <col min="8966" max="8966" width="2.140625" style="4" customWidth="1"/>
    <col min="8967" max="8967" width="32.7109375" style="4" customWidth="1"/>
    <col min="8968" max="8975" width="8.7109375" style="4" customWidth="1"/>
    <col min="8976" max="8978" width="8.7109375" style="4" bestFit="1" customWidth="1"/>
    <col min="8979" max="9216" width="9.140625" style="4"/>
    <col min="9217" max="9221" width="0" style="4" hidden="1" customWidth="1"/>
    <col min="9222" max="9222" width="2.140625" style="4" customWidth="1"/>
    <col min="9223" max="9223" width="32.7109375" style="4" customWidth="1"/>
    <col min="9224" max="9231" width="8.7109375" style="4" customWidth="1"/>
    <col min="9232" max="9234" width="8.7109375" style="4" bestFit="1" customWidth="1"/>
    <col min="9235" max="9472" width="9.140625" style="4"/>
    <col min="9473" max="9477" width="0" style="4" hidden="1" customWidth="1"/>
    <col min="9478" max="9478" width="2.140625" style="4" customWidth="1"/>
    <col min="9479" max="9479" width="32.7109375" style="4" customWidth="1"/>
    <col min="9480" max="9487" width="8.7109375" style="4" customWidth="1"/>
    <col min="9488" max="9490" width="8.7109375" style="4" bestFit="1" customWidth="1"/>
    <col min="9491" max="9728" width="9.140625" style="4"/>
    <col min="9729" max="9733" width="0" style="4" hidden="1" customWidth="1"/>
    <col min="9734" max="9734" width="2.140625" style="4" customWidth="1"/>
    <col min="9735" max="9735" width="32.7109375" style="4" customWidth="1"/>
    <col min="9736" max="9743" width="8.7109375" style="4" customWidth="1"/>
    <col min="9744" max="9746" width="8.7109375" style="4" bestFit="1" customWidth="1"/>
    <col min="9747" max="9984" width="9.140625" style="4"/>
    <col min="9985" max="9989" width="0" style="4" hidden="1" customWidth="1"/>
    <col min="9990" max="9990" width="2.140625" style="4" customWidth="1"/>
    <col min="9991" max="9991" width="32.7109375" style="4" customWidth="1"/>
    <col min="9992" max="9999" width="8.7109375" style="4" customWidth="1"/>
    <col min="10000" max="10002" width="8.7109375" style="4" bestFit="1" customWidth="1"/>
    <col min="10003" max="10240" width="9.140625" style="4"/>
    <col min="10241" max="10245" width="0" style="4" hidden="1" customWidth="1"/>
    <col min="10246" max="10246" width="2.140625" style="4" customWidth="1"/>
    <col min="10247" max="10247" width="32.7109375" style="4" customWidth="1"/>
    <col min="10248" max="10255" width="8.7109375" style="4" customWidth="1"/>
    <col min="10256" max="10258" width="8.7109375" style="4" bestFit="1" customWidth="1"/>
    <col min="10259" max="10496" width="9.140625" style="4"/>
    <col min="10497" max="10501" width="0" style="4" hidden="1" customWidth="1"/>
    <col min="10502" max="10502" width="2.140625" style="4" customWidth="1"/>
    <col min="10503" max="10503" width="32.7109375" style="4" customWidth="1"/>
    <col min="10504" max="10511" width="8.7109375" style="4" customWidth="1"/>
    <col min="10512" max="10514" width="8.7109375" style="4" bestFit="1" customWidth="1"/>
    <col min="10515" max="10752" width="9.140625" style="4"/>
    <col min="10753" max="10757" width="0" style="4" hidden="1" customWidth="1"/>
    <col min="10758" max="10758" width="2.140625" style="4" customWidth="1"/>
    <col min="10759" max="10759" width="32.7109375" style="4" customWidth="1"/>
    <col min="10760" max="10767" width="8.7109375" style="4" customWidth="1"/>
    <col min="10768" max="10770" width="8.7109375" style="4" bestFit="1" customWidth="1"/>
    <col min="10771" max="11008" width="9.140625" style="4"/>
    <col min="11009" max="11013" width="0" style="4" hidden="1" customWidth="1"/>
    <col min="11014" max="11014" width="2.140625" style="4" customWidth="1"/>
    <col min="11015" max="11015" width="32.7109375" style="4" customWidth="1"/>
    <col min="11016" max="11023" width="8.7109375" style="4" customWidth="1"/>
    <col min="11024" max="11026" width="8.7109375" style="4" bestFit="1" customWidth="1"/>
    <col min="11027" max="11264" width="9.140625" style="4"/>
    <col min="11265" max="11269" width="0" style="4" hidden="1" customWidth="1"/>
    <col min="11270" max="11270" width="2.140625" style="4" customWidth="1"/>
    <col min="11271" max="11271" width="32.7109375" style="4" customWidth="1"/>
    <col min="11272" max="11279" width="8.7109375" style="4" customWidth="1"/>
    <col min="11280" max="11282" width="8.7109375" style="4" bestFit="1" customWidth="1"/>
    <col min="11283" max="11520" width="9.140625" style="4"/>
    <col min="11521" max="11525" width="0" style="4" hidden="1" customWidth="1"/>
    <col min="11526" max="11526" width="2.140625" style="4" customWidth="1"/>
    <col min="11527" max="11527" width="32.7109375" style="4" customWidth="1"/>
    <col min="11528" max="11535" width="8.7109375" style="4" customWidth="1"/>
    <col min="11536" max="11538" width="8.7109375" style="4" bestFit="1" customWidth="1"/>
    <col min="11539" max="11776" width="9.140625" style="4"/>
    <col min="11777" max="11781" width="0" style="4" hidden="1" customWidth="1"/>
    <col min="11782" max="11782" width="2.140625" style="4" customWidth="1"/>
    <col min="11783" max="11783" width="32.7109375" style="4" customWidth="1"/>
    <col min="11784" max="11791" width="8.7109375" style="4" customWidth="1"/>
    <col min="11792" max="11794" width="8.7109375" style="4" bestFit="1" customWidth="1"/>
    <col min="11795" max="12032" width="9.140625" style="4"/>
    <col min="12033" max="12037" width="0" style="4" hidden="1" customWidth="1"/>
    <col min="12038" max="12038" width="2.140625" style="4" customWidth="1"/>
    <col min="12039" max="12039" width="32.7109375" style="4" customWidth="1"/>
    <col min="12040" max="12047" width="8.7109375" style="4" customWidth="1"/>
    <col min="12048" max="12050" width="8.7109375" style="4" bestFit="1" customWidth="1"/>
    <col min="12051" max="12288" width="9.140625" style="4"/>
    <col min="12289" max="12293" width="0" style="4" hidden="1" customWidth="1"/>
    <col min="12294" max="12294" width="2.140625" style="4" customWidth="1"/>
    <col min="12295" max="12295" width="32.7109375" style="4" customWidth="1"/>
    <col min="12296" max="12303" width="8.7109375" style="4" customWidth="1"/>
    <col min="12304" max="12306" width="8.7109375" style="4" bestFit="1" customWidth="1"/>
    <col min="12307" max="12544" width="9.140625" style="4"/>
    <col min="12545" max="12549" width="0" style="4" hidden="1" customWidth="1"/>
    <col min="12550" max="12550" width="2.140625" style="4" customWidth="1"/>
    <col min="12551" max="12551" width="32.7109375" style="4" customWidth="1"/>
    <col min="12552" max="12559" width="8.7109375" style="4" customWidth="1"/>
    <col min="12560" max="12562" width="8.7109375" style="4" bestFit="1" customWidth="1"/>
    <col min="12563" max="12800" width="9.140625" style="4"/>
    <col min="12801" max="12805" width="0" style="4" hidden="1" customWidth="1"/>
    <col min="12806" max="12806" width="2.140625" style="4" customWidth="1"/>
    <col min="12807" max="12807" width="32.7109375" style="4" customWidth="1"/>
    <col min="12808" max="12815" width="8.7109375" style="4" customWidth="1"/>
    <col min="12816" max="12818" width="8.7109375" style="4" bestFit="1" customWidth="1"/>
    <col min="12819" max="13056" width="9.140625" style="4"/>
    <col min="13057" max="13061" width="0" style="4" hidden="1" customWidth="1"/>
    <col min="13062" max="13062" width="2.140625" style="4" customWidth="1"/>
    <col min="13063" max="13063" width="32.7109375" style="4" customWidth="1"/>
    <col min="13064" max="13071" width="8.7109375" style="4" customWidth="1"/>
    <col min="13072" max="13074" width="8.7109375" style="4" bestFit="1" customWidth="1"/>
    <col min="13075" max="13312" width="9.140625" style="4"/>
    <col min="13313" max="13317" width="0" style="4" hidden="1" customWidth="1"/>
    <col min="13318" max="13318" width="2.140625" style="4" customWidth="1"/>
    <col min="13319" max="13319" width="32.7109375" style="4" customWidth="1"/>
    <col min="13320" max="13327" width="8.7109375" style="4" customWidth="1"/>
    <col min="13328" max="13330" width="8.7109375" style="4" bestFit="1" customWidth="1"/>
    <col min="13331" max="13568" width="9.140625" style="4"/>
    <col min="13569" max="13573" width="0" style="4" hidden="1" customWidth="1"/>
    <col min="13574" max="13574" width="2.140625" style="4" customWidth="1"/>
    <col min="13575" max="13575" width="32.7109375" style="4" customWidth="1"/>
    <col min="13576" max="13583" width="8.7109375" style="4" customWidth="1"/>
    <col min="13584" max="13586" width="8.7109375" style="4" bestFit="1" customWidth="1"/>
    <col min="13587" max="13824" width="9.140625" style="4"/>
    <col min="13825" max="13829" width="0" style="4" hidden="1" customWidth="1"/>
    <col min="13830" max="13830" width="2.140625" style="4" customWidth="1"/>
    <col min="13831" max="13831" width="32.7109375" style="4" customWidth="1"/>
    <col min="13832" max="13839" width="8.7109375" style="4" customWidth="1"/>
    <col min="13840" max="13842" width="8.7109375" style="4" bestFit="1" customWidth="1"/>
    <col min="13843" max="14080" width="9.140625" style="4"/>
    <col min="14081" max="14085" width="0" style="4" hidden="1" customWidth="1"/>
    <col min="14086" max="14086" width="2.140625" style="4" customWidth="1"/>
    <col min="14087" max="14087" width="32.7109375" style="4" customWidth="1"/>
    <col min="14088" max="14095" width="8.7109375" style="4" customWidth="1"/>
    <col min="14096" max="14098" width="8.7109375" style="4" bestFit="1" customWidth="1"/>
    <col min="14099" max="14336" width="9.140625" style="4"/>
    <col min="14337" max="14341" width="0" style="4" hidden="1" customWidth="1"/>
    <col min="14342" max="14342" width="2.140625" style="4" customWidth="1"/>
    <col min="14343" max="14343" width="32.7109375" style="4" customWidth="1"/>
    <col min="14344" max="14351" width="8.7109375" style="4" customWidth="1"/>
    <col min="14352" max="14354" width="8.7109375" style="4" bestFit="1" customWidth="1"/>
    <col min="14355" max="14592" width="9.140625" style="4"/>
    <col min="14593" max="14597" width="0" style="4" hidden="1" customWidth="1"/>
    <col min="14598" max="14598" width="2.140625" style="4" customWidth="1"/>
    <col min="14599" max="14599" width="32.7109375" style="4" customWidth="1"/>
    <col min="14600" max="14607" width="8.7109375" style="4" customWidth="1"/>
    <col min="14608" max="14610" width="8.7109375" style="4" bestFit="1" customWidth="1"/>
    <col min="14611" max="14848" width="9.140625" style="4"/>
    <col min="14849" max="14853" width="0" style="4" hidden="1" customWidth="1"/>
    <col min="14854" max="14854" width="2.140625" style="4" customWidth="1"/>
    <col min="14855" max="14855" width="32.7109375" style="4" customWidth="1"/>
    <col min="14856" max="14863" width="8.7109375" style="4" customWidth="1"/>
    <col min="14864" max="14866" width="8.7109375" style="4" bestFit="1" customWidth="1"/>
    <col min="14867" max="15104" width="9.140625" style="4"/>
    <col min="15105" max="15109" width="0" style="4" hidden="1" customWidth="1"/>
    <col min="15110" max="15110" width="2.140625" style="4" customWidth="1"/>
    <col min="15111" max="15111" width="32.7109375" style="4" customWidth="1"/>
    <col min="15112" max="15119" width="8.7109375" style="4" customWidth="1"/>
    <col min="15120" max="15122" width="8.7109375" style="4" bestFit="1" customWidth="1"/>
    <col min="15123" max="15360" width="9.140625" style="4"/>
    <col min="15361" max="15365" width="0" style="4" hidden="1" customWidth="1"/>
    <col min="15366" max="15366" width="2.140625" style="4" customWidth="1"/>
    <col min="15367" max="15367" width="32.7109375" style="4" customWidth="1"/>
    <col min="15368" max="15375" width="8.7109375" style="4" customWidth="1"/>
    <col min="15376" max="15378" width="8.7109375" style="4" bestFit="1" customWidth="1"/>
    <col min="15379" max="15616" width="9.140625" style="4"/>
    <col min="15617" max="15621" width="0" style="4" hidden="1" customWidth="1"/>
    <col min="15622" max="15622" width="2.140625" style="4" customWidth="1"/>
    <col min="15623" max="15623" width="32.7109375" style="4" customWidth="1"/>
    <col min="15624" max="15631" width="8.7109375" style="4" customWidth="1"/>
    <col min="15632" max="15634" width="8.7109375" style="4" bestFit="1" customWidth="1"/>
    <col min="15635" max="15872" width="9.140625" style="4"/>
    <col min="15873" max="15877" width="0" style="4" hidden="1" customWidth="1"/>
    <col min="15878" max="15878" width="2.140625" style="4" customWidth="1"/>
    <col min="15879" max="15879" width="32.7109375" style="4" customWidth="1"/>
    <col min="15880" max="15887" width="8.7109375" style="4" customWidth="1"/>
    <col min="15888" max="15890" width="8.7109375" style="4" bestFit="1" customWidth="1"/>
    <col min="15891" max="16128" width="9.140625" style="4"/>
    <col min="16129" max="16133" width="0" style="4" hidden="1" customWidth="1"/>
    <col min="16134" max="16134" width="2.140625" style="4" customWidth="1"/>
    <col min="16135" max="16135" width="32.7109375" style="4" customWidth="1"/>
    <col min="16136" max="16143" width="8.7109375" style="4" customWidth="1"/>
    <col min="16144" max="16146" width="8.7109375" style="4" bestFit="1" customWidth="1"/>
    <col min="16147" max="16384" width="9.140625" style="4"/>
  </cols>
  <sheetData>
    <row r="1" spans="1:19" x14ac:dyDescent="0.2">
      <c r="A1" s="1"/>
      <c r="C1" s="3"/>
      <c r="D1" s="3"/>
      <c r="E1" s="1"/>
      <c r="F1" s="1"/>
      <c r="G1" s="4"/>
    </row>
    <row r="2" spans="1:19" x14ac:dyDescent="0.2">
      <c r="A2" s="3" t="s">
        <v>0</v>
      </c>
      <c r="B2" s="5" t="s">
        <v>1</v>
      </c>
      <c r="C2" s="3" t="s">
        <v>2</v>
      </c>
      <c r="D2" s="3"/>
      <c r="E2" s="1" t="s">
        <v>3</v>
      </c>
      <c r="F2" s="1"/>
      <c r="G2" s="124" t="s">
        <v>489</v>
      </c>
      <c r="H2" s="427" t="s">
        <v>490</v>
      </c>
      <c r="I2" s="428"/>
      <c r="J2" s="429"/>
      <c r="K2" s="775" t="s">
        <v>473</v>
      </c>
      <c r="L2" s="776"/>
      <c r="M2" s="777" t="s">
        <v>491</v>
      </c>
      <c r="N2" s="778"/>
      <c r="O2" s="778"/>
      <c r="P2" s="778"/>
      <c r="Q2" s="778"/>
      <c r="R2" s="778"/>
      <c r="S2" s="430"/>
    </row>
    <row r="3" spans="1:19" x14ac:dyDescent="0.2">
      <c r="A3" s="1"/>
      <c r="B3" s="6"/>
      <c r="C3" s="3"/>
      <c r="D3" s="3"/>
      <c r="E3" s="1"/>
      <c r="F3" s="1"/>
      <c r="G3" s="94" t="s">
        <v>4</v>
      </c>
      <c r="H3" s="431">
        <v>40908</v>
      </c>
      <c r="I3" s="431">
        <v>41274</v>
      </c>
      <c r="J3" s="431">
        <v>41639</v>
      </c>
      <c r="K3" s="431">
        <v>42004</v>
      </c>
      <c r="L3" s="431">
        <v>42369</v>
      </c>
      <c r="M3" s="431">
        <v>42735</v>
      </c>
      <c r="N3" s="431">
        <v>43100</v>
      </c>
      <c r="O3" s="431">
        <v>43465</v>
      </c>
      <c r="P3" s="431">
        <v>43830</v>
      </c>
      <c r="Q3" s="431">
        <v>44196</v>
      </c>
      <c r="R3" s="432">
        <v>44561</v>
      </c>
      <c r="S3" s="433">
        <v>44926</v>
      </c>
    </row>
    <row r="4" spans="1:19" x14ac:dyDescent="0.2">
      <c r="A4" s="7"/>
      <c r="B4" s="2" t="s">
        <v>5</v>
      </c>
      <c r="C4" s="3">
        <v>1</v>
      </c>
      <c r="D4" s="3"/>
      <c r="E4" s="5"/>
      <c r="F4" s="7"/>
      <c r="G4" s="103" t="s">
        <v>6</v>
      </c>
      <c r="H4" s="77">
        <f t="shared" ref="H4:S4" si="0">H5+H10</f>
        <v>16630.089</v>
      </c>
      <c r="I4" s="77">
        <f t="shared" si="0"/>
        <v>18704.268</v>
      </c>
      <c r="J4" s="77">
        <f t="shared" si="0"/>
        <v>22020.545999999998</v>
      </c>
      <c r="K4" s="77">
        <f t="shared" si="0"/>
        <v>18644.638999999999</v>
      </c>
      <c r="L4" s="77">
        <f t="shared" si="0"/>
        <v>17494.813999999998</v>
      </c>
      <c r="M4" s="77">
        <f t="shared" si="0"/>
        <v>17853</v>
      </c>
      <c r="N4" s="77">
        <f t="shared" si="0"/>
        <v>17493</v>
      </c>
      <c r="O4" s="77">
        <f t="shared" si="0"/>
        <v>21493</v>
      </c>
      <c r="P4" s="77">
        <f t="shared" si="0"/>
        <v>25932</v>
      </c>
      <c r="Q4" s="77">
        <f t="shared" si="0"/>
        <v>29789</v>
      </c>
      <c r="R4" s="434">
        <f t="shared" si="0"/>
        <v>29574</v>
      </c>
      <c r="S4" s="77">
        <f t="shared" si="0"/>
        <v>29269</v>
      </c>
    </row>
    <row r="5" spans="1:19" x14ac:dyDescent="0.2">
      <c r="B5" s="2" t="s">
        <v>7</v>
      </c>
      <c r="C5" s="3">
        <v>10</v>
      </c>
      <c r="D5" s="3"/>
      <c r="G5" s="110" t="s">
        <v>8</v>
      </c>
      <c r="H5" s="77">
        <f t="shared" ref="H5:Q5" si="1">SUM(H6:H9)</f>
        <v>1145.249</v>
      </c>
      <c r="I5" s="77">
        <f t="shared" si="1"/>
        <v>1259.2250000000001</v>
      </c>
      <c r="J5" s="77">
        <f t="shared" si="1"/>
        <v>2312.9059999999999</v>
      </c>
      <c r="K5" s="77">
        <f t="shared" si="1"/>
        <v>941.47399999999993</v>
      </c>
      <c r="L5" s="77">
        <f t="shared" si="1"/>
        <v>489.06299999999999</v>
      </c>
      <c r="M5" s="77">
        <f t="shared" si="1"/>
        <v>1304</v>
      </c>
      <c r="N5" s="77">
        <f>SUM(N6:N9)</f>
        <v>390</v>
      </c>
      <c r="O5" s="77">
        <f t="shared" si="1"/>
        <v>521</v>
      </c>
      <c r="P5" s="77">
        <f t="shared" si="1"/>
        <v>555</v>
      </c>
      <c r="Q5" s="77">
        <f t="shared" si="1"/>
        <v>590</v>
      </c>
      <c r="R5" s="434">
        <f>SUM(R6:R9)</f>
        <v>625</v>
      </c>
      <c r="S5" s="77">
        <f>SUM(S6:S9)</f>
        <v>625</v>
      </c>
    </row>
    <row r="6" spans="1:19" ht="12" x14ac:dyDescent="0.2">
      <c r="B6" s="2" t="s">
        <v>9</v>
      </c>
      <c r="C6" s="10" t="s">
        <v>10</v>
      </c>
      <c r="E6" s="11" t="s">
        <v>11</v>
      </c>
      <c r="G6" s="110" t="s">
        <v>12</v>
      </c>
      <c r="H6" s="76">
        <v>11.016999999999999</v>
      </c>
      <c r="I6" s="76">
        <v>18.673999999999999</v>
      </c>
      <c r="J6" s="76">
        <v>86.281000000000006</v>
      </c>
      <c r="K6" s="76">
        <v>131.708</v>
      </c>
      <c r="L6" s="76">
        <v>241.791</v>
      </c>
      <c r="M6" s="76">
        <v>1083</v>
      </c>
      <c r="N6" s="76">
        <v>215</v>
      </c>
      <c r="O6" s="76">
        <v>300</v>
      </c>
      <c r="P6" s="76">
        <v>315</v>
      </c>
      <c r="Q6" s="76">
        <v>350</v>
      </c>
      <c r="R6" s="435">
        <v>423</v>
      </c>
      <c r="S6" s="430">
        <v>445</v>
      </c>
    </row>
    <row r="7" spans="1:19" ht="12" x14ac:dyDescent="0.2">
      <c r="B7" s="2" t="s">
        <v>13</v>
      </c>
      <c r="C7" s="10" t="s">
        <v>14</v>
      </c>
      <c r="E7" s="11" t="s">
        <v>11</v>
      </c>
      <c r="G7" s="110" t="s">
        <v>15</v>
      </c>
      <c r="H7" s="76">
        <v>1119.5219999999999</v>
      </c>
      <c r="I7" s="76">
        <v>1205.3320000000001</v>
      </c>
      <c r="J7" s="76">
        <v>2196.3679999999999</v>
      </c>
      <c r="K7" s="76">
        <v>776.76099999999997</v>
      </c>
      <c r="L7" s="76">
        <v>208.99299999999999</v>
      </c>
      <c r="M7" s="76">
        <v>180</v>
      </c>
      <c r="N7" s="76">
        <v>135</v>
      </c>
      <c r="O7" s="76">
        <v>181</v>
      </c>
      <c r="P7" s="76">
        <v>180</v>
      </c>
      <c r="Q7" s="76">
        <v>180</v>
      </c>
      <c r="R7" s="435">
        <v>142</v>
      </c>
      <c r="S7" s="430">
        <v>120</v>
      </c>
    </row>
    <row r="8" spans="1:19" ht="12" x14ac:dyDescent="0.2">
      <c r="B8" s="2" t="s">
        <v>16</v>
      </c>
      <c r="C8" s="10" t="s">
        <v>17</v>
      </c>
      <c r="E8" s="11" t="s">
        <v>11</v>
      </c>
      <c r="G8" s="110" t="s">
        <v>18</v>
      </c>
      <c r="H8" s="76">
        <v>0</v>
      </c>
      <c r="I8" s="76">
        <v>0</v>
      </c>
      <c r="J8" s="76">
        <v>0</v>
      </c>
      <c r="K8" s="76">
        <v>0</v>
      </c>
      <c r="L8" s="76">
        <v>0</v>
      </c>
      <c r="M8" s="76">
        <v>0</v>
      </c>
      <c r="N8" s="76">
        <v>0</v>
      </c>
      <c r="O8" s="76">
        <v>0</v>
      </c>
      <c r="P8" s="76">
        <v>0</v>
      </c>
      <c r="Q8" s="76">
        <v>0</v>
      </c>
      <c r="R8" s="435">
        <v>0</v>
      </c>
      <c r="S8" s="430">
        <v>0</v>
      </c>
    </row>
    <row r="9" spans="1:19" x14ac:dyDescent="0.2">
      <c r="B9" s="2" t="s">
        <v>19</v>
      </c>
      <c r="C9" s="10">
        <v>108</v>
      </c>
      <c r="E9" s="12"/>
      <c r="G9" s="110" t="s">
        <v>20</v>
      </c>
      <c r="H9" s="76">
        <v>14.71</v>
      </c>
      <c r="I9" s="76">
        <v>35.219000000000001</v>
      </c>
      <c r="J9" s="76">
        <v>30.257000000000001</v>
      </c>
      <c r="K9" s="76">
        <v>33.005000000000003</v>
      </c>
      <c r="L9" s="76">
        <v>38.279000000000003</v>
      </c>
      <c r="M9" s="76">
        <v>41</v>
      </c>
      <c r="N9" s="76">
        <v>40</v>
      </c>
      <c r="O9" s="76">
        <v>40</v>
      </c>
      <c r="P9" s="76">
        <v>60</v>
      </c>
      <c r="Q9" s="76">
        <v>60</v>
      </c>
      <c r="R9" s="435">
        <v>60</v>
      </c>
      <c r="S9" s="430">
        <v>60</v>
      </c>
    </row>
    <row r="10" spans="1:19" x14ac:dyDescent="0.2">
      <c r="A10" s="13"/>
      <c r="B10" s="2" t="s">
        <v>21</v>
      </c>
      <c r="C10" s="14">
        <v>15</v>
      </c>
      <c r="D10" s="14"/>
      <c r="E10" s="12"/>
      <c r="F10" s="13"/>
      <c r="G10" s="110" t="s">
        <v>22</v>
      </c>
      <c r="H10" s="77">
        <f>SUM(H11:H16)</f>
        <v>15484.84</v>
      </c>
      <c r="I10" s="77">
        <f t="shared" ref="I10:S10" si="2">SUM(I11:I16)</f>
        <v>17445.043000000001</v>
      </c>
      <c r="J10" s="77">
        <f t="shared" si="2"/>
        <v>19707.64</v>
      </c>
      <c r="K10" s="77">
        <f t="shared" si="2"/>
        <v>17703.165000000001</v>
      </c>
      <c r="L10" s="77">
        <f t="shared" si="2"/>
        <v>17005.751</v>
      </c>
      <c r="M10" s="77">
        <f t="shared" si="2"/>
        <v>16549</v>
      </c>
      <c r="N10" s="77">
        <v>17103</v>
      </c>
      <c r="O10" s="77">
        <f t="shared" si="2"/>
        <v>20972</v>
      </c>
      <c r="P10" s="77">
        <f t="shared" si="2"/>
        <v>25377</v>
      </c>
      <c r="Q10" s="77">
        <v>29199</v>
      </c>
      <c r="R10" s="434">
        <f t="shared" si="2"/>
        <v>28949</v>
      </c>
      <c r="S10" s="77">
        <f t="shared" si="2"/>
        <v>28644</v>
      </c>
    </row>
    <row r="11" spans="1:19" ht="12" x14ac:dyDescent="0.2">
      <c r="A11" s="13"/>
      <c r="B11" s="2" t="s">
        <v>23</v>
      </c>
      <c r="C11" s="14">
        <v>150</v>
      </c>
      <c r="D11" s="14"/>
      <c r="E11" s="11" t="s">
        <v>11</v>
      </c>
      <c r="F11" s="13"/>
      <c r="G11" s="110" t="s">
        <v>24</v>
      </c>
      <c r="H11" s="76">
        <v>0</v>
      </c>
      <c r="I11" s="76">
        <v>0</v>
      </c>
      <c r="J11" s="76">
        <v>0</v>
      </c>
      <c r="K11" s="76">
        <v>0</v>
      </c>
      <c r="L11" s="76">
        <v>0</v>
      </c>
      <c r="M11" s="76">
        <v>0</v>
      </c>
      <c r="N11" s="76">
        <v>0</v>
      </c>
      <c r="O11" s="76">
        <v>0</v>
      </c>
      <c r="P11" s="76">
        <v>0</v>
      </c>
      <c r="Q11" s="76">
        <v>0</v>
      </c>
      <c r="R11" s="435">
        <v>0</v>
      </c>
      <c r="S11" s="430">
        <v>0</v>
      </c>
    </row>
    <row r="12" spans="1:19" ht="12" x14ac:dyDescent="0.2">
      <c r="A12" s="13"/>
      <c r="B12" s="2" t="s">
        <v>25</v>
      </c>
      <c r="C12" s="14">
        <v>151</v>
      </c>
      <c r="D12" s="14"/>
      <c r="E12" s="11" t="s">
        <v>11</v>
      </c>
      <c r="F12" s="13"/>
      <c r="G12" s="110" t="s">
        <v>26</v>
      </c>
      <c r="H12" s="76">
        <v>0</v>
      </c>
      <c r="I12" s="76">
        <v>0</v>
      </c>
      <c r="J12" s="76">
        <v>0</v>
      </c>
      <c r="K12" s="76">
        <v>0</v>
      </c>
      <c r="L12" s="76">
        <v>0</v>
      </c>
      <c r="M12" s="76">
        <v>0</v>
      </c>
      <c r="N12" s="76">
        <v>0</v>
      </c>
      <c r="O12" s="76">
        <v>0</v>
      </c>
      <c r="P12" s="76">
        <v>0</v>
      </c>
      <c r="Q12" s="76">
        <v>0</v>
      </c>
      <c r="R12" s="435">
        <v>0</v>
      </c>
      <c r="S12" s="430">
        <v>0</v>
      </c>
    </row>
    <row r="13" spans="1:19" ht="12" x14ac:dyDescent="0.2">
      <c r="B13" s="2" t="s">
        <v>27</v>
      </c>
      <c r="C13" s="10" t="s">
        <v>28</v>
      </c>
      <c r="E13" s="11" t="s">
        <v>11</v>
      </c>
      <c r="G13" s="110" t="s">
        <v>29</v>
      </c>
      <c r="H13" s="76">
        <v>289.98</v>
      </c>
      <c r="I13" s="76">
        <v>195.274</v>
      </c>
      <c r="J13" s="76">
        <v>722.22699999999998</v>
      </c>
      <c r="K13" s="76">
        <v>62.323999999999998</v>
      </c>
      <c r="L13" s="76">
        <v>6.1680000000000001</v>
      </c>
      <c r="M13" s="76">
        <v>0</v>
      </c>
      <c r="N13" s="76">
        <v>0</v>
      </c>
      <c r="O13" s="76">
        <v>0</v>
      </c>
      <c r="P13" s="76">
        <v>0</v>
      </c>
      <c r="Q13" s="76">
        <v>0</v>
      </c>
      <c r="R13" s="435">
        <v>0</v>
      </c>
      <c r="S13" s="430">
        <v>0</v>
      </c>
    </row>
    <row r="14" spans="1:19" ht="12" x14ac:dyDescent="0.2">
      <c r="B14" s="2" t="s">
        <v>30</v>
      </c>
      <c r="C14" s="10">
        <v>154</v>
      </c>
      <c r="E14" s="11" t="s">
        <v>11</v>
      </c>
      <c r="G14" s="110" t="s">
        <v>31</v>
      </c>
      <c r="H14" s="76">
        <v>0</v>
      </c>
      <c r="I14" s="76">
        <v>0</v>
      </c>
      <c r="J14" s="76">
        <v>0</v>
      </c>
      <c r="K14" s="76">
        <v>0</v>
      </c>
      <c r="L14" s="76">
        <v>0</v>
      </c>
      <c r="M14" s="76">
        <v>0</v>
      </c>
      <c r="N14" s="76">
        <v>0</v>
      </c>
      <c r="O14" s="76">
        <v>0</v>
      </c>
      <c r="P14" s="76">
        <v>0</v>
      </c>
      <c r="Q14" s="76">
        <v>0</v>
      </c>
      <c r="R14" s="435">
        <v>0</v>
      </c>
      <c r="S14" s="430">
        <v>0</v>
      </c>
    </row>
    <row r="15" spans="1:19" ht="12" x14ac:dyDescent="0.2">
      <c r="B15" s="2" t="s">
        <v>32</v>
      </c>
      <c r="C15" s="10" t="s">
        <v>33</v>
      </c>
      <c r="E15" s="11" t="s">
        <v>11</v>
      </c>
      <c r="G15" s="110" t="s">
        <v>34</v>
      </c>
      <c r="H15" s="76">
        <v>15194.86</v>
      </c>
      <c r="I15" s="76">
        <v>17249.769</v>
      </c>
      <c r="J15" s="76">
        <v>18985.413</v>
      </c>
      <c r="K15" s="76">
        <f>17630.411+10.43</f>
        <v>17640.841</v>
      </c>
      <c r="L15" s="76">
        <f>16991.714+7.869</f>
        <v>16999.582999999999</v>
      </c>
      <c r="M15" s="76">
        <v>16549</v>
      </c>
      <c r="N15" s="76">
        <v>20702</v>
      </c>
      <c r="O15" s="76">
        <v>20972</v>
      </c>
      <c r="P15" s="76">
        <v>25377</v>
      </c>
      <c r="Q15" s="76">
        <v>30000</v>
      </c>
      <c r="R15" s="435">
        <v>28949</v>
      </c>
      <c r="S15" s="430">
        <v>28644</v>
      </c>
    </row>
    <row r="16" spans="1:19" ht="12" x14ac:dyDescent="0.2">
      <c r="B16" s="2" t="s">
        <v>35</v>
      </c>
      <c r="C16" s="10">
        <v>157</v>
      </c>
      <c r="E16" s="11" t="s">
        <v>11</v>
      </c>
      <c r="G16" s="110" t="s">
        <v>36</v>
      </c>
      <c r="H16" s="76">
        <v>0</v>
      </c>
      <c r="I16" s="76">
        <v>0</v>
      </c>
      <c r="J16" s="76">
        <v>0</v>
      </c>
      <c r="K16" s="76">
        <v>0</v>
      </c>
      <c r="L16" s="76">
        <v>0</v>
      </c>
      <c r="M16" s="76">
        <v>0</v>
      </c>
      <c r="N16" s="76">
        <v>0</v>
      </c>
      <c r="O16" s="76">
        <v>0</v>
      </c>
      <c r="P16" s="76">
        <v>0</v>
      </c>
      <c r="Q16" s="76">
        <v>0</v>
      </c>
      <c r="R16" s="435">
        <v>0</v>
      </c>
      <c r="S16" s="430">
        <v>0</v>
      </c>
    </row>
    <row r="17" spans="1:19" s="438" customFormat="1" ht="12" x14ac:dyDescent="0.2">
      <c r="A17" s="15"/>
      <c r="B17" s="2" t="s">
        <v>37</v>
      </c>
      <c r="C17" s="15" t="s">
        <v>38</v>
      </c>
      <c r="D17" s="15"/>
      <c r="E17" s="11" t="s">
        <v>11</v>
      </c>
      <c r="F17" s="16"/>
      <c r="G17" s="436" t="s">
        <v>39</v>
      </c>
      <c r="H17" s="80">
        <v>0</v>
      </c>
      <c r="I17" s="80">
        <v>0</v>
      </c>
      <c r="J17" s="80">
        <v>0</v>
      </c>
      <c r="K17" s="80">
        <v>0</v>
      </c>
      <c r="L17" s="80">
        <v>0</v>
      </c>
      <c r="M17" s="80">
        <v>0</v>
      </c>
      <c r="N17" s="80">
        <v>0</v>
      </c>
      <c r="O17" s="80">
        <v>0</v>
      </c>
      <c r="P17" s="80">
        <v>0</v>
      </c>
      <c r="Q17" s="80">
        <v>0</v>
      </c>
      <c r="R17" s="437">
        <v>0</v>
      </c>
      <c r="S17" s="430">
        <v>0</v>
      </c>
    </row>
    <row r="18" spans="1:19" x14ac:dyDescent="0.2">
      <c r="B18" s="2" t="s">
        <v>40</v>
      </c>
      <c r="C18" s="10">
        <v>2</v>
      </c>
      <c r="E18" s="12"/>
      <c r="G18" s="110" t="s">
        <v>41</v>
      </c>
      <c r="H18" s="77">
        <f>H19+H27</f>
        <v>16630.09</v>
      </c>
      <c r="I18" s="77">
        <f t="shared" ref="I18:S18" si="3">I19+I27</f>
        <v>18704.268</v>
      </c>
      <c r="J18" s="77">
        <f t="shared" si="3"/>
        <v>22020.545999999998</v>
      </c>
      <c r="K18" s="77">
        <f t="shared" si="3"/>
        <v>18644.64</v>
      </c>
      <c r="L18" s="77">
        <f t="shared" si="3"/>
        <v>17494.814999999999</v>
      </c>
      <c r="M18" s="77">
        <f t="shared" si="3"/>
        <v>17853</v>
      </c>
      <c r="N18" s="77">
        <f t="shared" si="3"/>
        <v>17493</v>
      </c>
      <c r="O18" s="77">
        <f t="shared" si="3"/>
        <v>21493</v>
      </c>
      <c r="P18" s="77">
        <f t="shared" si="3"/>
        <v>25932</v>
      </c>
      <c r="Q18" s="77">
        <f t="shared" si="3"/>
        <v>29789</v>
      </c>
      <c r="R18" s="434">
        <f t="shared" si="3"/>
        <v>29574</v>
      </c>
      <c r="S18" s="77">
        <f t="shared" si="3"/>
        <v>29269</v>
      </c>
    </row>
    <row r="19" spans="1:19" x14ac:dyDescent="0.2">
      <c r="B19" s="2" t="s">
        <v>42</v>
      </c>
      <c r="C19" s="10" t="s">
        <v>43</v>
      </c>
      <c r="E19" s="12"/>
      <c r="G19" s="110" t="s">
        <v>44</v>
      </c>
      <c r="H19" s="77">
        <f>SUM(H21:H26)</f>
        <v>1496.499</v>
      </c>
      <c r="I19" s="77">
        <f t="shared" ref="I19:S19" si="4">SUM(I21:I26)</f>
        <v>1545.6080000000002</v>
      </c>
      <c r="J19" s="77">
        <f t="shared" si="4"/>
        <v>3026.9259999999999</v>
      </c>
      <c r="K19" s="77">
        <f t="shared" si="4"/>
        <v>949.67100000000005</v>
      </c>
      <c r="L19" s="77">
        <f t="shared" si="4"/>
        <v>355.21</v>
      </c>
      <c r="M19" s="77">
        <f t="shared" si="4"/>
        <v>1151</v>
      </c>
      <c r="N19" s="77">
        <f t="shared" si="4"/>
        <v>225</v>
      </c>
      <c r="O19" s="77">
        <f t="shared" si="4"/>
        <v>352</v>
      </c>
      <c r="P19" s="77">
        <f t="shared" si="4"/>
        <v>350</v>
      </c>
      <c r="Q19" s="77">
        <f t="shared" si="4"/>
        <v>350</v>
      </c>
      <c r="R19" s="434">
        <f t="shared" si="4"/>
        <v>350</v>
      </c>
      <c r="S19" s="77">
        <f t="shared" si="4"/>
        <v>350</v>
      </c>
    </row>
    <row r="20" spans="1:19" s="439" customFormat="1" ht="12" x14ac:dyDescent="0.2">
      <c r="A20" s="17"/>
      <c r="B20" s="2" t="s">
        <v>45</v>
      </c>
      <c r="C20" s="15" t="s">
        <v>46</v>
      </c>
      <c r="D20" s="15"/>
      <c r="E20" s="11" t="s">
        <v>11</v>
      </c>
      <c r="F20" s="17"/>
      <c r="G20" s="436" t="s">
        <v>47</v>
      </c>
      <c r="H20" s="82">
        <v>1244.606</v>
      </c>
      <c r="I20" s="82">
        <v>1319.2080000000001</v>
      </c>
      <c r="J20" s="82">
        <v>2879.53</v>
      </c>
      <c r="K20" s="82">
        <v>871.08500000000004</v>
      </c>
      <c r="L20" s="82">
        <v>344.35</v>
      </c>
      <c r="M20" s="82">
        <v>1149</v>
      </c>
      <c r="N20" s="82">
        <v>225</v>
      </c>
      <c r="O20" s="82">
        <v>350</v>
      </c>
      <c r="P20" s="82">
        <f>P21</f>
        <v>350</v>
      </c>
      <c r="Q20" s="82">
        <f>Q21</f>
        <v>350</v>
      </c>
      <c r="R20" s="82">
        <f>R21</f>
        <v>350</v>
      </c>
      <c r="S20" s="82">
        <f>S21</f>
        <v>350</v>
      </c>
    </row>
    <row r="21" spans="1:19" ht="12" x14ac:dyDescent="0.2">
      <c r="B21" s="2" t="s">
        <v>48</v>
      </c>
      <c r="C21" s="18" t="s">
        <v>49</v>
      </c>
      <c r="D21" s="18"/>
      <c r="E21" s="11" t="s">
        <v>11</v>
      </c>
      <c r="G21" s="110" t="s">
        <v>50</v>
      </c>
      <c r="H21" s="76">
        <f>192.635+34.101+13.649</f>
        <v>240.38499999999999</v>
      </c>
      <c r="I21" s="76">
        <f>797.759+58.282+19.169</f>
        <v>875.21</v>
      </c>
      <c r="J21" s="76">
        <f>2029.191+67.382+43.953</f>
        <v>2140.5259999999998</v>
      </c>
      <c r="K21" s="76">
        <f>64.766+89.012+53.773</f>
        <v>207.55100000000002</v>
      </c>
      <c r="L21" s="76">
        <f>49.796+92.135+134.694</f>
        <v>276.625</v>
      </c>
      <c r="M21" s="76">
        <v>1140</v>
      </c>
      <c r="N21" s="76">
        <v>223</v>
      </c>
      <c r="O21" s="76">
        <v>350</v>
      </c>
      <c r="P21" s="76">
        <v>350</v>
      </c>
      <c r="Q21" s="76">
        <v>350</v>
      </c>
      <c r="R21" s="435">
        <v>350</v>
      </c>
      <c r="S21" s="430">
        <v>350</v>
      </c>
    </row>
    <row r="22" spans="1:19" ht="12" x14ac:dyDescent="0.2">
      <c r="B22" s="2" t="s">
        <v>51</v>
      </c>
      <c r="C22" s="10" t="s">
        <v>52</v>
      </c>
      <c r="E22" s="11" t="s">
        <v>11</v>
      </c>
      <c r="G22" s="110" t="s">
        <v>53</v>
      </c>
      <c r="H22" s="76">
        <v>0</v>
      </c>
      <c r="I22" s="76">
        <v>0</v>
      </c>
      <c r="J22" s="76">
        <v>0</v>
      </c>
      <c r="K22" s="76">
        <v>0</v>
      </c>
      <c r="L22" s="76">
        <v>0</v>
      </c>
      <c r="M22" s="76">
        <v>0</v>
      </c>
      <c r="N22" s="76">
        <v>0</v>
      </c>
      <c r="O22" s="76"/>
      <c r="P22" s="76">
        <v>0</v>
      </c>
      <c r="Q22" s="76">
        <v>0</v>
      </c>
      <c r="R22" s="435">
        <v>0</v>
      </c>
      <c r="S22" s="430">
        <v>0</v>
      </c>
    </row>
    <row r="23" spans="1:19" ht="12" x14ac:dyDescent="0.2">
      <c r="B23" s="2" t="s">
        <v>54</v>
      </c>
      <c r="C23" s="10">
        <v>257</v>
      </c>
      <c r="E23" s="11" t="s">
        <v>11</v>
      </c>
      <c r="G23" s="110" t="s">
        <v>55</v>
      </c>
      <c r="H23" s="76">
        <v>0</v>
      </c>
      <c r="I23" s="76">
        <v>0</v>
      </c>
      <c r="J23" s="76">
        <v>0</v>
      </c>
      <c r="K23" s="76">
        <v>0</v>
      </c>
      <c r="L23" s="76">
        <v>0</v>
      </c>
      <c r="M23" s="76">
        <v>0</v>
      </c>
      <c r="N23" s="76">
        <v>0</v>
      </c>
      <c r="O23" s="76"/>
      <c r="P23" s="76">
        <v>0</v>
      </c>
      <c r="Q23" s="76">
        <v>0</v>
      </c>
      <c r="R23" s="435">
        <v>0</v>
      </c>
      <c r="S23" s="430">
        <v>0</v>
      </c>
    </row>
    <row r="24" spans="1:19" ht="12" x14ac:dyDescent="0.2">
      <c r="A24" s="19"/>
      <c r="B24" s="2" t="s">
        <v>56</v>
      </c>
      <c r="C24" s="10" t="s">
        <v>57</v>
      </c>
      <c r="E24" s="11" t="s">
        <v>11</v>
      </c>
      <c r="F24" s="19"/>
      <c r="G24" s="110" t="s">
        <v>58</v>
      </c>
      <c r="H24" s="76">
        <f>1004.221+251.893</f>
        <v>1256.114</v>
      </c>
      <c r="I24" s="76">
        <f>443.998+226.4</f>
        <v>670.39800000000002</v>
      </c>
      <c r="J24" s="76">
        <f>739.004+147.396</f>
        <v>886.4</v>
      </c>
      <c r="K24" s="76">
        <f>663.534+78.586</f>
        <v>742.12</v>
      </c>
      <c r="L24" s="76">
        <f>67.725+10.86</f>
        <v>78.584999999999994</v>
      </c>
      <c r="M24" s="76">
        <v>11</v>
      </c>
      <c r="N24" s="76">
        <v>2</v>
      </c>
      <c r="O24" s="76">
        <v>2</v>
      </c>
      <c r="P24" s="76">
        <v>0</v>
      </c>
      <c r="Q24" s="76">
        <v>0</v>
      </c>
      <c r="R24" s="435">
        <v>0</v>
      </c>
      <c r="S24" s="430">
        <v>0</v>
      </c>
    </row>
    <row r="25" spans="1:19" ht="12" x14ac:dyDescent="0.2">
      <c r="A25" s="19"/>
      <c r="B25" s="2" t="s">
        <v>59</v>
      </c>
      <c r="C25" s="10" t="s">
        <v>60</v>
      </c>
      <c r="E25" s="11" t="s">
        <v>11</v>
      </c>
      <c r="F25" s="19"/>
      <c r="G25" s="110" t="s">
        <v>61</v>
      </c>
      <c r="H25" s="76">
        <v>0</v>
      </c>
      <c r="I25" s="76">
        <v>0</v>
      </c>
      <c r="J25" s="76">
        <v>0</v>
      </c>
      <c r="K25" s="76">
        <v>0</v>
      </c>
      <c r="L25" s="76">
        <v>0</v>
      </c>
      <c r="M25" s="76">
        <v>0</v>
      </c>
      <c r="N25" s="76">
        <v>0</v>
      </c>
      <c r="O25" s="76"/>
      <c r="P25" s="76">
        <v>0</v>
      </c>
      <c r="Q25" s="76">
        <v>0</v>
      </c>
      <c r="R25" s="435">
        <v>0</v>
      </c>
      <c r="S25" s="430">
        <v>0</v>
      </c>
    </row>
    <row r="26" spans="1:19" ht="12" x14ac:dyDescent="0.2">
      <c r="B26" s="2" t="s">
        <v>62</v>
      </c>
      <c r="C26" s="10">
        <v>28</v>
      </c>
      <c r="E26" s="11" t="s">
        <v>11</v>
      </c>
      <c r="G26" s="110" t="s">
        <v>63</v>
      </c>
      <c r="H26" s="76">
        <v>0</v>
      </c>
      <c r="I26" s="76">
        <v>0</v>
      </c>
      <c r="J26" s="76">
        <v>0</v>
      </c>
      <c r="K26" s="76">
        <v>0</v>
      </c>
      <c r="L26" s="76">
        <v>0</v>
      </c>
      <c r="M26" s="76">
        <v>0</v>
      </c>
      <c r="N26" s="76">
        <v>0</v>
      </c>
      <c r="O26" s="76"/>
      <c r="P26" s="76">
        <v>0</v>
      </c>
      <c r="Q26" s="76">
        <v>0</v>
      </c>
      <c r="R26" s="435">
        <v>0</v>
      </c>
      <c r="S26" s="430">
        <v>0</v>
      </c>
    </row>
    <row r="27" spans="1:19" x14ac:dyDescent="0.2">
      <c r="B27" s="2" t="s">
        <v>64</v>
      </c>
      <c r="C27" s="10">
        <v>29</v>
      </c>
      <c r="E27" s="12"/>
      <c r="G27" s="110" t="s">
        <v>65</v>
      </c>
      <c r="H27" s="77">
        <f>SUM(H28:H30)</f>
        <v>15133.590999999999</v>
      </c>
      <c r="I27" s="77">
        <f t="shared" ref="I27:S27" si="5">SUM(I28:I30)</f>
        <v>17158.66</v>
      </c>
      <c r="J27" s="77">
        <f t="shared" si="5"/>
        <v>18993.62</v>
      </c>
      <c r="K27" s="77">
        <f t="shared" si="5"/>
        <v>17694.969000000001</v>
      </c>
      <c r="L27" s="77">
        <f t="shared" si="5"/>
        <v>17139.605</v>
      </c>
      <c r="M27" s="77">
        <f t="shared" si="5"/>
        <v>16702</v>
      </c>
      <c r="N27" s="77">
        <f t="shared" si="5"/>
        <v>17268</v>
      </c>
      <c r="O27" s="77">
        <f t="shared" si="5"/>
        <v>21141</v>
      </c>
      <c r="P27" s="77">
        <f t="shared" si="5"/>
        <v>25582</v>
      </c>
      <c r="Q27" s="77">
        <f t="shared" si="5"/>
        <v>29439</v>
      </c>
      <c r="R27" s="434">
        <f t="shared" si="5"/>
        <v>29224</v>
      </c>
      <c r="S27" s="77">
        <f t="shared" si="5"/>
        <v>28919</v>
      </c>
    </row>
    <row r="28" spans="1:19" ht="12" x14ac:dyDescent="0.2">
      <c r="B28" s="2" t="s">
        <v>66</v>
      </c>
      <c r="C28" s="8" t="s">
        <v>67</v>
      </c>
      <c r="D28" s="8"/>
      <c r="E28" s="11" t="s">
        <v>11</v>
      </c>
      <c r="G28" s="110" t="s">
        <v>68</v>
      </c>
      <c r="H28" s="76">
        <v>4544.4719999999998</v>
      </c>
      <c r="I28" s="76">
        <v>4544.4719999999998</v>
      </c>
      <c r="J28" s="76">
        <v>4544.4719999999998</v>
      </c>
      <c r="K28" s="76">
        <v>4544.4719999999998</v>
      </c>
      <c r="L28" s="76">
        <v>4544.4719999999998</v>
      </c>
      <c r="M28" s="76">
        <v>4544</v>
      </c>
      <c r="N28" s="76">
        <v>4544</v>
      </c>
      <c r="O28" s="76">
        <v>4544</v>
      </c>
      <c r="P28" s="76">
        <v>4544</v>
      </c>
      <c r="Q28" s="76">
        <v>4544</v>
      </c>
      <c r="R28" s="435">
        <v>4544</v>
      </c>
      <c r="S28" s="430">
        <v>4544</v>
      </c>
    </row>
    <row r="29" spans="1:19" ht="12" x14ac:dyDescent="0.2">
      <c r="B29" s="2" t="s">
        <v>69</v>
      </c>
      <c r="C29" s="10">
        <v>298</v>
      </c>
      <c r="E29" s="11" t="s">
        <v>11</v>
      </c>
      <c r="G29" s="110" t="s">
        <v>70</v>
      </c>
      <c r="H29" s="76">
        <v>11229.683999999999</v>
      </c>
      <c r="I29" s="76">
        <v>10589.119000000001</v>
      </c>
      <c r="J29" s="76">
        <v>12614.188</v>
      </c>
      <c r="K29" s="76">
        <v>14638.764999999999</v>
      </c>
      <c r="L29" s="76">
        <v>13150.495999999999</v>
      </c>
      <c r="M29" s="76">
        <v>12595</v>
      </c>
      <c r="N29" s="76">
        <v>12158</v>
      </c>
      <c r="O29" s="76">
        <f>N29+N30</f>
        <v>12724</v>
      </c>
      <c r="P29" s="76">
        <f>O29+O30</f>
        <v>16597</v>
      </c>
      <c r="Q29" s="76">
        <f>P29+P30</f>
        <v>21038</v>
      </c>
      <c r="R29" s="435">
        <f>Q29+Q30</f>
        <v>24895</v>
      </c>
      <c r="S29" s="430">
        <f>R29+R30</f>
        <v>24680</v>
      </c>
    </row>
    <row r="30" spans="1:19" ht="12" x14ac:dyDescent="0.2">
      <c r="B30" s="2" t="s">
        <v>71</v>
      </c>
      <c r="C30" s="10">
        <v>299</v>
      </c>
      <c r="E30" s="11" t="s">
        <v>72</v>
      </c>
      <c r="G30" s="110" t="s">
        <v>73</v>
      </c>
      <c r="H30" s="76">
        <v>-640.56500000000005</v>
      </c>
      <c r="I30" s="76">
        <v>2025.069</v>
      </c>
      <c r="J30" s="76">
        <v>1834.96</v>
      </c>
      <c r="K30" s="76">
        <v>-1488.268</v>
      </c>
      <c r="L30" s="76">
        <v>-555.36300000000006</v>
      </c>
      <c r="M30" s="76">
        <v>-437</v>
      </c>
      <c r="N30" s="76">
        <v>566</v>
      </c>
      <c r="O30" s="76">
        <v>3873</v>
      </c>
      <c r="P30" s="76">
        <v>4441</v>
      </c>
      <c r="Q30" s="76">
        <v>3857</v>
      </c>
      <c r="R30" s="435">
        <v>-215</v>
      </c>
      <c r="S30" s="430">
        <v>-305</v>
      </c>
    </row>
    <row r="31" spans="1:19" s="442" customFormat="1" x14ac:dyDescent="0.2">
      <c r="A31" s="20"/>
      <c r="B31" s="6"/>
      <c r="C31" s="21"/>
      <c r="D31" s="21"/>
      <c r="E31" s="22"/>
      <c r="F31" s="20"/>
      <c r="G31" s="440" t="s">
        <v>74</v>
      </c>
      <c r="H31" s="85">
        <f t="shared" ref="H31:S31" si="6">H4-H18</f>
        <v>-1.0000000002037268E-3</v>
      </c>
      <c r="I31" s="85">
        <f t="shared" si="6"/>
        <v>0</v>
      </c>
      <c r="J31" s="85">
        <f t="shared" si="6"/>
        <v>0</v>
      </c>
      <c r="K31" s="85">
        <f t="shared" si="6"/>
        <v>-1.0000000002037268E-3</v>
      </c>
      <c r="L31" s="85">
        <f t="shared" si="6"/>
        <v>-1.0000000002037268E-3</v>
      </c>
      <c r="M31" s="85">
        <f t="shared" si="6"/>
        <v>0</v>
      </c>
      <c r="N31" s="85">
        <f t="shared" si="6"/>
        <v>0</v>
      </c>
      <c r="O31" s="85">
        <f t="shared" si="6"/>
        <v>0</v>
      </c>
      <c r="P31" s="85">
        <f t="shared" si="6"/>
        <v>0</v>
      </c>
      <c r="Q31" s="85">
        <f t="shared" si="6"/>
        <v>0</v>
      </c>
      <c r="R31" s="441">
        <f t="shared" si="6"/>
        <v>0</v>
      </c>
      <c r="S31" s="85">
        <f t="shared" si="6"/>
        <v>0</v>
      </c>
    </row>
    <row r="32" spans="1:19" x14ac:dyDescent="0.2">
      <c r="G32" s="94" t="s">
        <v>75</v>
      </c>
      <c r="H32" s="87">
        <v>2011</v>
      </c>
      <c r="I32" s="87">
        <f t="shared" ref="I32:R32" si="7">H32+1</f>
        <v>2012</v>
      </c>
      <c r="J32" s="87">
        <f t="shared" si="7"/>
        <v>2013</v>
      </c>
      <c r="K32" s="87">
        <f t="shared" si="7"/>
        <v>2014</v>
      </c>
      <c r="L32" s="87">
        <f t="shared" si="7"/>
        <v>2015</v>
      </c>
      <c r="M32" s="87">
        <f t="shared" si="7"/>
        <v>2016</v>
      </c>
      <c r="N32" s="87">
        <v>2017</v>
      </c>
      <c r="O32" s="87">
        <v>2018</v>
      </c>
      <c r="P32" s="87">
        <v>2019</v>
      </c>
      <c r="Q32" s="87">
        <v>2020</v>
      </c>
      <c r="R32" s="443">
        <f t="shared" si="7"/>
        <v>2021</v>
      </c>
      <c r="S32" s="444">
        <v>2022</v>
      </c>
    </row>
    <row r="33" spans="1:19" x14ac:dyDescent="0.2">
      <c r="B33" s="2" t="s">
        <v>76</v>
      </c>
      <c r="C33" s="10">
        <v>3</v>
      </c>
      <c r="G33" s="103" t="s">
        <v>77</v>
      </c>
      <c r="H33" s="77">
        <f>SUM(H34:H37)</f>
        <v>2744.5569999999998</v>
      </c>
      <c r="I33" s="77">
        <f t="shared" ref="I33:S33" si="8">SUM(I34:I37)</f>
        <v>4631.8419999999996</v>
      </c>
      <c r="J33" s="77">
        <f t="shared" si="8"/>
        <v>4927.9480000000003</v>
      </c>
      <c r="K33" s="77">
        <f t="shared" si="8"/>
        <v>2066.8849999999998</v>
      </c>
      <c r="L33" s="77">
        <f t="shared" si="8"/>
        <v>3182.5209999999997</v>
      </c>
      <c r="M33" s="77">
        <f t="shared" si="8"/>
        <v>3341</v>
      </c>
      <c r="N33" s="77">
        <f t="shared" si="8"/>
        <v>4838</v>
      </c>
      <c r="O33" s="77">
        <f t="shared" si="8"/>
        <v>7863</v>
      </c>
      <c r="P33" s="77">
        <f t="shared" si="8"/>
        <v>8719</v>
      </c>
      <c r="Q33" s="77">
        <f t="shared" si="8"/>
        <v>8497</v>
      </c>
      <c r="R33" s="434">
        <f t="shared" si="8"/>
        <v>4937</v>
      </c>
      <c r="S33" s="77">
        <f t="shared" si="8"/>
        <v>4937</v>
      </c>
    </row>
    <row r="34" spans="1:19" ht="12" x14ac:dyDescent="0.2">
      <c r="B34" s="2" t="s">
        <v>78</v>
      </c>
      <c r="C34" s="10">
        <v>30</v>
      </c>
      <c r="E34" s="11" t="s">
        <v>11</v>
      </c>
      <c r="G34" s="110" t="s">
        <v>79</v>
      </c>
      <c r="H34" s="76">
        <v>0</v>
      </c>
      <c r="I34" s="76">
        <v>0</v>
      </c>
      <c r="J34" s="76">
        <v>0</v>
      </c>
      <c r="K34" s="76">
        <v>0</v>
      </c>
      <c r="L34" s="76">
        <v>0</v>
      </c>
      <c r="M34" s="76">
        <v>0</v>
      </c>
      <c r="N34" s="76">
        <v>0</v>
      </c>
      <c r="O34" s="76">
        <v>0</v>
      </c>
      <c r="P34" s="76">
        <v>0</v>
      </c>
      <c r="Q34" s="76">
        <v>0</v>
      </c>
      <c r="R34" s="435">
        <v>0</v>
      </c>
      <c r="S34" s="430">
        <v>0</v>
      </c>
    </row>
    <row r="35" spans="1:19" ht="12" x14ac:dyDescent="0.2">
      <c r="B35" s="2" t="s">
        <v>80</v>
      </c>
      <c r="C35" s="10">
        <v>32</v>
      </c>
      <c r="E35" s="11" t="s">
        <v>11</v>
      </c>
      <c r="G35" s="110" t="s">
        <v>81</v>
      </c>
      <c r="H35" s="76">
        <v>1054.146</v>
      </c>
      <c r="I35" s="76">
        <v>538.35</v>
      </c>
      <c r="J35" s="76">
        <v>871.60599999999999</v>
      </c>
      <c r="K35" s="76">
        <v>1121.5450000000001</v>
      </c>
      <c r="L35" s="76">
        <v>1236.9000000000001</v>
      </c>
      <c r="M35" s="76">
        <v>1193</v>
      </c>
      <c r="N35" s="76">
        <v>1341</v>
      </c>
      <c r="O35" s="76">
        <v>1478</v>
      </c>
      <c r="P35" s="76">
        <v>1601</v>
      </c>
      <c r="Q35" s="76">
        <v>1753</v>
      </c>
      <c r="R35" s="435">
        <v>2095</v>
      </c>
      <c r="S35" s="430">
        <v>2095</v>
      </c>
    </row>
    <row r="36" spans="1:19" ht="12" x14ac:dyDescent="0.2">
      <c r="A36" s="13"/>
      <c r="B36" s="2" t="s">
        <v>82</v>
      </c>
      <c r="C36" s="10">
        <v>35</v>
      </c>
      <c r="E36" s="11" t="s">
        <v>11</v>
      </c>
      <c r="F36" s="13"/>
      <c r="G36" s="110" t="s">
        <v>83</v>
      </c>
      <c r="H36" s="76">
        <v>1677.6289999999999</v>
      </c>
      <c r="I36" s="76">
        <v>4091.9090000000001</v>
      </c>
      <c r="J36" s="76">
        <v>4055.3290000000002</v>
      </c>
      <c r="K36" s="76">
        <v>943.21600000000001</v>
      </c>
      <c r="L36" s="76">
        <v>1899.0989999999999</v>
      </c>
      <c r="M36" s="76">
        <v>2146</v>
      </c>
      <c r="N36" s="76">
        <v>3478</v>
      </c>
      <c r="O36" s="76">
        <v>6384</v>
      </c>
      <c r="P36" s="76">
        <v>7118</v>
      </c>
      <c r="Q36" s="76">
        <v>6744</v>
      </c>
      <c r="R36" s="435">
        <v>2842</v>
      </c>
      <c r="S36" s="430">
        <v>2842</v>
      </c>
    </row>
    <row r="37" spans="1:19" ht="12" x14ac:dyDescent="0.2">
      <c r="B37" s="2" t="s">
        <v>84</v>
      </c>
      <c r="C37" s="10">
        <v>38</v>
      </c>
      <c r="E37" s="11" t="s">
        <v>11</v>
      </c>
      <c r="G37" s="110" t="s">
        <v>85</v>
      </c>
      <c r="H37" s="76">
        <v>12.782</v>
      </c>
      <c r="I37" s="76">
        <v>1.583</v>
      </c>
      <c r="J37" s="76">
        <v>1.0129999999999999</v>
      </c>
      <c r="K37" s="76">
        <v>2.1240000000000001</v>
      </c>
      <c r="L37" s="76">
        <v>46.521999999999998</v>
      </c>
      <c r="M37" s="76">
        <v>2</v>
      </c>
      <c r="N37" s="76">
        <v>19</v>
      </c>
      <c r="O37" s="76">
        <v>1</v>
      </c>
      <c r="P37" s="76">
        <v>0</v>
      </c>
      <c r="Q37" s="76">
        <v>0</v>
      </c>
      <c r="R37" s="435">
        <v>0</v>
      </c>
      <c r="S37" s="430">
        <v>0</v>
      </c>
    </row>
    <row r="38" spans="1:19" x14ac:dyDescent="0.2">
      <c r="B38" s="2" t="s">
        <v>86</v>
      </c>
      <c r="C38" s="10">
        <v>4</v>
      </c>
      <c r="E38" s="23"/>
      <c r="G38" s="110" t="s">
        <v>87</v>
      </c>
      <c r="H38" s="77">
        <f>H39+H40</f>
        <v>-65.629000000000005</v>
      </c>
      <c r="I38" s="77">
        <f t="shared" ref="I38:S38" si="9">I39+I40</f>
        <v>0</v>
      </c>
      <c r="J38" s="77">
        <f t="shared" si="9"/>
        <v>0</v>
      </c>
      <c r="K38" s="77">
        <f t="shared" si="9"/>
        <v>0</v>
      </c>
      <c r="L38" s="77">
        <f t="shared" si="9"/>
        <v>0</v>
      </c>
      <c r="M38" s="77">
        <f t="shared" si="9"/>
        <v>0</v>
      </c>
      <c r="N38" s="77">
        <v>0</v>
      </c>
      <c r="O38" s="77">
        <v>0</v>
      </c>
      <c r="P38" s="77">
        <f t="shared" si="9"/>
        <v>0</v>
      </c>
      <c r="Q38" s="77">
        <f t="shared" si="9"/>
        <v>0</v>
      </c>
      <c r="R38" s="434">
        <f t="shared" si="9"/>
        <v>0</v>
      </c>
      <c r="S38" s="77">
        <f t="shared" si="9"/>
        <v>0</v>
      </c>
    </row>
    <row r="39" spans="1:19" ht="12" x14ac:dyDescent="0.2">
      <c r="B39" s="2" t="s">
        <v>88</v>
      </c>
      <c r="C39" s="10">
        <v>41</v>
      </c>
      <c r="E39" s="11" t="s">
        <v>89</v>
      </c>
      <c r="G39" s="110" t="s">
        <v>90</v>
      </c>
      <c r="H39" s="76">
        <v>0</v>
      </c>
      <c r="I39" s="76">
        <v>0</v>
      </c>
      <c r="J39" s="76">
        <v>0</v>
      </c>
      <c r="K39" s="76">
        <v>0</v>
      </c>
      <c r="L39" s="76">
        <v>0</v>
      </c>
      <c r="M39" s="76">
        <v>0</v>
      </c>
      <c r="N39" s="76">
        <v>0</v>
      </c>
      <c r="O39" s="76">
        <v>0</v>
      </c>
      <c r="P39" s="76">
        <v>0</v>
      </c>
      <c r="Q39" s="76">
        <v>0</v>
      </c>
      <c r="R39" s="435">
        <v>0</v>
      </c>
      <c r="S39" s="430">
        <v>0</v>
      </c>
    </row>
    <row r="40" spans="1:19" ht="12" x14ac:dyDescent="0.2">
      <c r="B40" s="2" t="s">
        <v>91</v>
      </c>
      <c r="C40" s="10">
        <v>45</v>
      </c>
      <c r="E40" s="11" t="s">
        <v>89</v>
      </c>
      <c r="G40" s="110" t="s">
        <v>92</v>
      </c>
      <c r="H40" s="76">
        <v>-65.629000000000005</v>
      </c>
      <c r="I40" s="76">
        <v>0</v>
      </c>
      <c r="J40" s="76">
        <v>0</v>
      </c>
      <c r="K40" s="76">
        <v>0</v>
      </c>
      <c r="L40" s="76">
        <v>0</v>
      </c>
      <c r="M40" s="76">
        <v>0</v>
      </c>
      <c r="N40" s="76">
        <v>0</v>
      </c>
      <c r="O40" s="76">
        <v>0</v>
      </c>
      <c r="P40" s="76">
        <v>0</v>
      </c>
      <c r="Q40" s="76">
        <v>0</v>
      </c>
      <c r="R40" s="435">
        <v>0</v>
      </c>
      <c r="S40" s="430">
        <v>0</v>
      </c>
    </row>
    <row r="41" spans="1:19" x14ac:dyDescent="0.2">
      <c r="A41" s="13"/>
      <c r="B41" s="2" t="s">
        <v>93</v>
      </c>
      <c r="C41" s="10" t="s">
        <v>94</v>
      </c>
      <c r="E41" s="23"/>
      <c r="F41" s="13"/>
      <c r="G41" s="110" t="s">
        <v>95</v>
      </c>
      <c r="H41" s="77">
        <f>SUM(H42:H45)</f>
        <v>-3285.7210000000005</v>
      </c>
      <c r="I41" s="77">
        <f t="shared" ref="I41:S41" si="10">SUM(I42:I45)</f>
        <v>-2589.6709999999998</v>
      </c>
      <c r="J41" s="77">
        <f t="shared" si="10"/>
        <v>-3079.4670000000001</v>
      </c>
      <c r="K41" s="77">
        <f t="shared" si="10"/>
        <v>-3541.3540000000003</v>
      </c>
      <c r="L41" s="77">
        <f t="shared" si="10"/>
        <v>-3735.277</v>
      </c>
      <c r="M41" s="77">
        <f t="shared" si="10"/>
        <v>-3778</v>
      </c>
      <c r="N41" s="77">
        <f>SUM(N42:N45)</f>
        <v>-4271</v>
      </c>
      <c r="O41" s="77">
        <f t="shared" si="10"/>
        <v>-3989</v>
      </c>
      <c r="P41" s="77">
        <f t="shared" si="10"/>
        <v>-4277</v>
      </c>
      <c r="Q41" s="77">
        <f t="shared" si="10"/>
        <v>-4639</v>
      </c>
      <c r="R41" s="434">
        <f t="shared" si="10"/>
        <v>-5151</v>
      </c>
      <c r="S41" s="77">
        <f t="shared" si="10"/>
        <v>-5241</v>
      </c>
    </row>
    <row r="42" spans="1:19" ht="12" x14ac:dyDescent="0.2">
      <c r="B42" s="2" t="s">
        <v>96</v>
      </c>
      <c r="C42" s="10">
        <v>50</v>
      </c>
      <c r="E42" s="11" t="s">
        <v>89</v>
      </c>
      <c r="G42" s="110" t="s">
        <v>97</v>
      </c>
      <c r="H42" s="76">
        <v>-489.69499999999999</v>
      </c>
      <c r="I42" s="76">
        <v>-580.89599999999996</v>
      </c>
      <c r="J42" s="76">
        <v>-720.947</v>
      </c>
      <c r="K42" s="76">
        <v>-932.82100000000003</v>
      </c>
      <c r="L42" s="76">
        <v>-1061.462</v>
      </c>
      <c r="M42" s="76">
        <v>-1066</v>
      </c>
      <c r="N42" s="76">
        <v>-1134</v>
      </c>
      <c r="O42" s="76">
        <v>-1216</v>
      </c>
      <c r="P42" s="76">
        <v>-1239</v>
      </c>
      <c r="Q42" s="76">
        <v>-1263</v>
      </c>
      <c r="R42" s="435">
        <v>-1287</v>
      </c>
      <c r="S42" s="430">
        <v>-1287</v>
      </c>
    </row>
    <row r="43" spans="1:19" ht="12" x14ac:dyDescent="0.2">
      <c r="B43" s="2" t="s">
        <v>98</v>
      </c>
      <c r="C43" s="10">
        <v>55</v>
      </c>
      <c r="E43" s="11" t="s">
        <v>89</v>
      </c>
      <c r="G43" s="110" t="s">
        <v>99</v>
      </c>
      <c r="H43" s="76">
        <v>-1569.924</v>
      </c>
      <c r="I43" s="76">
        <v>-613.61400000000003</v>
      </c>
      <c r="J43" s="76">
        <v>-874.09</v>
      </c>
      <c r="K43" s="76">
        <v>-941.28300000000002</v>
      </c>
      <c r="L43" s="76">
        <v>-1058.6320000000001</v>
      </c>
      <c r="M43" s="76">
        <v>-1105</v>
      </c>
      <c r="N43" s="76">
        <v>-1579</v>
      </c>
      <c r="O43" s="76">
        <v>-1203</v>
      </c>
      <c r="P43" s="76">
        <v>-1304</v>
      </c>
      <c r="Q43" s="76">
        <v>-1458</v>
      </c>
      <c r="R43" s="435">
        <v>-1774</v>
      </c>
      <c r="S43" s="430">
        <v>-1809</v>
      </c>
    </row>
    <row r="44" spans="1:19" ht="12" x14ac:dyDescent="0.2">
      <c r="A44" s="13"/>
      <c r="B44" s="2" t="s">
        <v>100</v>
      </c>
      <c r="C44" s="10">
        <v>60</v>
      </c>
      <c r="E44" s="11" t="s">
        <v>89</v>
      </c>
      <c r="F44" s="13"/>
      <c r="G44" s="110" t="s">
        <v>101</v>
      </c>
      <c r="H44" s="76">
        <v>-4.2750000000000004</v>
      </c>
      <c r="I44" s="76">
        <v>-95.254000000000005</v>
      </c>
      <c r="J44" s="76">
        <v>-8.218</v>
      </c>
      <c r="K44" s="76">
        <v>-2.42</v>
      </c>
      <c r="L44" s="76">
        <v>-2.4369999999999998</v>
      </c>
      <c r="M44" s="76">
        <v>0</v>
      </c>
      <c r="N44" s="76">
        <v>7</v>
      </c>
      <c r="O44" s="76">
        <v>-2</v>
      </c>
      <c r="P44" s="76">
        <v>-3</v>
      </c>
      <c r="Q44" s="76">
        <v>-3</v>
      </c>
      <c r="R44" s="435">
        <v>-3</v>
      </c>
      <c r="S44" s="430">
        <v>-3</v>
      </c>
    </row>
    <row r="45" spans="1:19" ht="12" x14ac:dyDescent="0.2">
      <c r="B45" s="2" t="s">
        <v>102</v>
      </c>
      <c r="C45" s="10">
        <v>61</v>
      </c>
      <c r="E45" s="11" t="s">
        <v>89</v>
      </c>
      <c r="G45" s="110" t="s">
        <v>103</v>
      </c>
      <c r="H45" s="76">
        <v>-1221.827</v>
      </c>
      <c r="I45" s="76">
        <v>-1299.9069999999999</v>
      </c>
      <c r="J45" s="76">
        <v>-1476.212</v>
      </c>
      <c r="K45" s="76">
        <v>-1664.83</v>
      </c>
      <c r="L45" s="76">
        <v>-1612.7460000000001</v>
      </c>
      <c r="M45" s="76">
        <v>-1607</v>
      </c>
      <c r="N45" s="76">
        <v>-1565</v>
      </c>
      <c r="O45" s="76">
        <v>-1568</v>
      </c>
      <c r="P45" s="76">
        <v>-1731</v>
      </c>
      <c r="Q45" s="76">
        <v>-1915</v>
      </c>
      <c r="R45" s="435">
        <v>-2087</v>
      </c>
      <c r="S45" s="430">
        <v>-2142</v>
      </c>
    </row>
    <row r="46" spans="1:19" x14ac:dyDescent="0.2">
      <c r="B46" s="2" t="s">
        <v>104</v>
      </c>
      <c r="G46" s="110" t="s">
        <v>105</v>
      </c>
      <c r="H46" s="77">
        <f>H33+H38+H41</f>
        <v>-606.79300000000057</v>
      </c>
      <c r="I46" s="77">
        <f t="shared" ref="I46:S46" si="11">I33+I38+I41</f>
        <v>2042.1709999999998</v>
      </c>
      <c r="J46" s="77">
        <f t="shared" si="11"/>
        <v>1848.4810000000002</v>
      </c>
      <c r="K46" s="77">
        <f t="shared" si="11"/>
        <v>-1474.4690000000005</v>
      </c>
      <c r="L46" s="77">
        <f t="shared" si="11"/>
        <v>-552.75600000000031</v>
      </c>
      <c r="M46" s="77">
        <f t="shared" si="11"/>
        <v>-437</v>
      </c>
      <c r="N46" s="77">
        <f t="shared" si="11"/>
        <v>567</v>
      </c>
      <c r="O46" s="77">
        <f t="shared" si="11"/>
        <v>3874</v>
      </c>
      <c r="P46" s="77">
        <f t="shared" si="11"/>
        <v>4442</v>
      </c>
      <c r="Q46" s="77">
        <f t="shared" si="11"/>
        <v>3858</v>
      </c>
      <c r="R46" s="434">
        <f t="shared" si="11"/>
        <v>-214</v>
      </c>
      <c r="S46" s="77">
        <f t="shared" si="11"/>
        <v>-304</v>
      </c>
    </row>
    <row r="47" spans="1:19" ht="12" x14ac:dyDescent="0.2">
      <c r="B47" s="2" t="s">
        <v>106</v>
      </c>
      <c r="C47" s="10">
        <v>65</v>
      </c>
      <c r="E47" s="11" t="s">
        <v>72</v>
      </c>
      <c r="G47" s="110" t="s">
        <v>107</v>
      </c>
      <c r="H47" s="76">
        <v>-33.771999999999998</v>
      </c>
      <c r="I47" s="76">
        <v>-17.102</v>
      </c>
      <c r="J47" s="76">
        <v>-13.521000000000001</v>
      </c>
      <c r="K47" s="76">
        <v>-13.802</v>
      </c>
      <c r="L47" s="76">
        <v>-2.6070000000000002</v>
      </c>
      <c r="M47" s="76">
        <v>0</v>
      </c>
      <c r="N47" s="76">
        <v>-1</v>
      </c>
      <c r="O47" s="76">
        <v>-1</v>
      </c>
      <c r="P47" s="76">
        <v>-1</v>
      </c>
      <c r="Q47" s="76">
        <v>-1</v>
      </c>
      <c r="R47" s="435">
        <v>-1</v>
      </c>
      <c r="S47" s="430">
        <v>-1</v>
      </c>
    </row>
    <row r="48" spans="1:19" x14ac:dyDescent="0.2">
      <c r="B48" s="2" t="s">
        <v>108</v>
      </c>
      <c r="G48" s="110" t="s">
        <v>109</v>
      </c>
      <c r="H48" s="77">
        <f>H46+H47</f>
        <v>-640.56500000000062</v>
      </c>
      <c r="I48" s="77">
        <f t="shared" ref="I48:S48" si="12">I46+I47</f>
        <v>2025.0689999999997</v>
      </c>
      <c r="J48" s="77">
        <f t="shared" si="12"/>
        <v>1834.9600000000003</v>
      </c>
      <c r="K48" s="77">
        <f t="shared" si="12"/>
        <v>-1488.2710000000004</v>
      </c>
      <c r="L48" s="77">
        <f t="shared" si="12"/>
        <v>-555.36300000000028</v>
      </c>
      <c r="M48" s="77">
        <f t="shared" si="12"/>
        <v>-437</v>
      </c>
      <c r="N48" s="77">
        <f>N46+N47</f>
        <v>566</v>
      </c>
      <c r="O48" s="77">
        <f t="shared" si="12"/>
        <v>3873</v>
      </c>
      <c r="P48" s="77">
        <f t="shared" si="12"/>
        <v>4441</v>
      </c>
      <c r="Q48" s="77">
        <f t="shared" si="12"/>
        <v>3857</v>
      </c>
      <c r="R48" s="434">
        <f t="shared" si="12"/>
        <v>-215</v>
      </c>
      <c r="S48" s="77">
        <f t="shared" si="12"/>
        <v>-305</v>
      </c>
    </row>
    <row r="49" spans="1:19" ht="12" x14ac:dyDescent="0.2">
      <c r="B49" s="2" t="s">
        <v>110</v>
      </c>
      <c r="C49" s="10">
        <v>68</v>
      </c>
      <c r="E49" s="11" t="s">
        <v>89</v>
      </c>
      <c r="G49" s="110" t="s">
        <v>111</v>
      </c>
      <c r="H49" s="76">
        <v>0</v>
      </c>
      <c r="I49" s="76">
        <v>0</v>
      </c>
      <c r="J49" s="76">
        <v>0</v>
      </c>
      <c r="K49" s="76">
        <v>0</v>
      </c>
      <c r="L49" s="76">
        <v>0</v>
      </c>
      <c r="M49" s="76">
        <v>0</v>
      </c>
      <c r="N49" s="76">
        <v>0</v>
      </c>
      <c r="O49" s="76">
        <v>0</v>
      </c>
      <c r="P49" s="76">
        <v>0</v>
      </c>
      <c r="Q49" s="76">
        <v>0</v>
      </c>
      <c r="R49" s="435">
        <v>0</v>
      </c>
      <c r="S49" s="430">
        <v>0</v>
      </c>
    </row>
    <row r="50" spans="1:19" ht="12" x14ac:dyDescent="0.2">
      <c r="B50" s="2" t="s">
        <v>112</v>
      </c>
      <c r="C50" s="10">
        <v>69</v>
      </c>
      <c r="E50" s="11" t="s">
        <v>11</v>
      </c>
      <c r="G50" s="110" t="s">
        <v>113</v>
      </c>
      <c r="H50" s="76">
        <v>0</v>
      </c>
      <c r="I50" s="76">
        <v>0</v>
      </c>
      <c r="J50" s="76">
        <v>0</v>
      </c>
      <c r="K50" s="76">
        <v>0</v>
      </c>
      <c r="L50" s="76">
        <v>0</v>
      </c>
      <c r="M50" s="76">
        <v>0</v>
      </c>
      <c r="N50" s="76">
        <v>0</v>
      </c>
      <c r="O50" s="76">
        <v>0</v>
      </c>
      <c r="P50" s="76">
        <v>0</v>
      </c>
      <c r="Q50" s="76">
        <v>0</v>
      </c>
      <c r="R50" s="435">
        <v>0</v>
      </c>
      <c r="S50" s="430">
        <v>0</v>
      </c>
    </row>
    <row r="51" spans="1:19" x14ac:dyDescent="0.2">
      <c r="B51" s="2" t="s">
        <v>114</v>
      </c>
      <c r="G51" s="110" t="s">
        <v>115</v>
      </c>
      <c r="H51" s="77">
        <f>H48+H49+H50</f>
        <v>-640.56500000000062</v>
      </c>
      <c r="I51" s="77">
        <f t="shared" ref="I51:S51" si="13">I48+I49+I50</f>
        <v>2025.0689999999997</v>
      </c>
      <c r="J51" s="77">
        <f t="shared" si="13"/>
        <v>1834.9600000000003</v>
      </c>
      <c r="K51" s="77">
        <f t="shared" si="13"/>
        <v>-1488.2710000000004</v>
      </c>
      <c r="L51" s="77">
        <f t="shared" si="13"/>
        <v>-555.36300000000028</v>
      </c>
      <c r="M51" s="77">
        <f t="shared" si="13"/>
        <v>-437</v>
      </c>
      <c r="N51" s="77">
        <f t="shared" si="13"/>
        <v>566</v>
      </c>
      <c r="O51" s="77">
        <f t="shared" si="13"/>
        <v>3873</v>
      </c>
      <c r="P51" s="77">
        <f t="shared" si="13"/>
        <v>4441</v>
      </c>
      <c r="Q51" s="77">
        <f t="shared" si="13"/>
        <v>3857</v>
      </c>
      <c r="R51" s="434">
        <f t="shared" si="13"/>
        <v>-215</v>
      </c>
      <c r="S51" s="77">
        <f t="shared" si="13"/>
        <v>-305</v>
      </c>
    </row>
    <row r="52" spans="1:19" x14ac:dyDescent="0.2">
      <c r="A52" s="24"/>
      <c r="C52" s="25"/>
      <c r="D52" s="25"/>
      <c r="E52" s="26"/>
      <c r="F52" s="24"/>
      <c r="G52" s="440" t="s">
        <v>116</v>
      </c>
      <c r="H52" s="85">
        <f>H30-H51</f>
        <v>0</v>
      </c>
      <c r="I52" s="85">
        <f t="shared" ref="I52:S52" si="14">I30-I51</f>
        <v>0</v>
      </c>
      <c r="J52" s="85">
        <f t="shared" si="14"/>
        <v>0</v>
      </c>
      <c r="K52" s="85">
        <f t="shared" si="14"/>
        <v>3.0000000003838068E-3</v>
      </c>
      <c r="L52" s="85">
        <f t="shared" si="14"/>
        <v>0</v>
      </c>
      <c r="M52" s="85">
        <f t="shared" si="14"/>
        <v>0</v>
      </c>
      <c r="N52" s="85">
        <f t="shared" si="14"/>
        <v>0</v>
      </c>
      <c r="O52" s="85">
        <v>0</v>
      </c>
      <c r="P52" s="85">
        <f t="shared" si="14"/>
        <v>0</v>
      </c>
      <c r="Q52" s="85">
        <f t="shared" si="14"/>
        <v>0</v>
      </c>
      <c r="R52" s="441">
        <f t="shared" si="14"/>
        <v>0</v>
      </c>
      <c r="S52" s="85">
        <f t="shared" si="14"/>
        <v>0</v>
      </c>
    </row>
    <row r="53" spans="1:19" x14ac:dyDescent="0.2">
      <c r="G53" s="27" t="s">
        <v>117</v>
      </c>
      <c r="S53" s="445"/>
    </row>
    <row r="54" spans="1:19" ht="12" x14ac:dyDescent="0.2">
      <c r="C54" s="10">
        <v>90</v>
      </c>
      <c r="E54" s="11" t="s">
        <v>11</v>
      </c>
      <c r="G54" s="27" t="s">
        <v>118</v>
      </c>
      <c r="H54" s="76">
        <v>37</v>
      </c>
      <c r="I54" s="76">
        <v>41</v>
      </c>
      <c r="J54" s="76">
        <v>51</v>
      </c>
      <c r="K54" s="76">
        <v>72</v>
      </c>
      <c r="L54" s="76">
        <v>75</v>
      </c>
      <c r="M54" s="76">
        <v>75</v>
      </c>
      <c r="N54" s="76">
        <v>76</v>
      </c>
      <c r="O54" s="76">
        <v>76</v>
      </c>
      <c r="P54" s="76">
        <v>77</v>
      </c>
      <c r="Q54" s="76">
        <v>78</v>
      </c>
      <c r="R54" s="435">
        <v>80</v>
      </c>
      <c r="S54" s="430">
        <v>80</v>
      </c>
    </row>
    <row r="55" spans="1:19" ht="12" x14ac:dyDescent="0.2">
      <c r="E55" s="11" t="s">
        <v>11</v>
      </c>
      <c r="G55" s="27" t="s">
        <v>119</v>
      </c>
      <c r="H55" s="76"/>
      <c r="I55" s="76"/>
      <c r="J55" s="76"/>
      <c r="K55" s="76"/>
      <c r="L55" s="88"/>
      <c r="M55" s="88"/>
      <c r="N55" s="88"/>
      <c r="O55" s="88"/>
      <c r="P55" s="88"/>
      <c r="Q55" s="88"/>
      <c r="R55" s="446"/>
      <c r="S55" s="430"/>
    </row>
    <row r="56" spans="1:19" x14ac:dyDescent="0.2">
      <c r="S56" s="445"/>
    </row>
    <row r="57" spans="1:19" x14ac:dyDescent="0.2">
      <c r="D57" s="29" t="s">
        <v>120</v>
      </c>
      <c r="E57" s="30" t="s">
        <v>3</v>
      </c>
      <c r="F57" s="9"/>
      <c r="G57" s="94" t="s">
        <v>121</v>
      </c>
      <c r="H57" s="87">
        <f>H32</f>
        <v>2011</v>
      </c>
      <c r="I57" s="87">
        <f t="shared" ref="I57:R57" si="15">I32</f>
        <v>2012</v>
      </c>
      <c r="J57" s="87">
        <f t="shared" si="15"/>
        <v>2013</v>
      </c>
      <c r="K57" s="87">
        <f t="shared" si="15"/>
        <v>2014</v>
      </c>
      <c r="L57" s="87">
        <f t="shared" si="15"/>
        <v>2015</v>
      </c>
      <c r="M57" s="87">
        <f t="shared" si="15"/>
        <v>2016</v>
      </c>
      <c r="N57" s="87">
        <v>2017</v>
      </c>
      <c r="O57" s="87">
        <v>2018</v>
      </c>
      <c r="P57" s="87">
        <f t="shared" si="15"/>
        <v>2019</v>
      </c>
      <c r="Q57" s="87">
        <f t="shared" si="15"/>
        <v>2020</v>
      </c>
      <c r="R57" s="443">
        <f t="shared" si="15"/>
        <v>2021</v>
      </c>
      <c r="S57" s="444">
        <v>2022</v>
      </c>
    </row>
    <row r="58" spans="1:19" ht="11.25" customHeight="1" x14ac:dyDescent="0.2">
      <c r="B58" s="31" t="s">
        <v>122</v>
      </c>
      <c r="C58" s="8" t="s">
        <v>123</v>
      </c>
      <c r="D58" s="32" t="s">
        <v>124</v>
      </c>
      <c r="E58" s="11" t="s">
        <v>89</v>
      </c>
      <c r="F58" s="12"/>
      <c r="G58" s="103" t="s">
        <v>125</v>
      </c>
      <c r="H58" s="76">
        <v>-1878.866</v>
      </c>
      <c r="I58" s="76">
        <v>-870.60799999999995</v>
      </c>
      <c r="J58" s="76">
        <v>-1989.4570000000001</v>
      </c>
      <c r="K58" s="76">
        <v>-2098.404</v>
      </c>
      <c r="L58" s="76">
        <v>-973.98800000000006</v>
      </c>
      <c r="M58" s="76">
        <v>-1156</v>
      </c>
      <c r="N58" s="76">
        <v>-2454</v>
      </c>
      <c r="O58" s="76">
        <v>-5437</v>
      </c>
      <c r="P58" s="76">
        <v>-6137</v>
      </c>
      <c r="Q58" s="76">
        <v>-5737</v>
      </c>
      <c r="R58" s="435">
        <v>-1837</v>
      </c>
      <c r="S58" s="430">
        <v>-1837</v>
      </c>
    </row>
    <row r="59" spans="1:19" ht="12" x14ac:dyDescent="0.2">
      <c r="B59" s="31" t="s">
        <v>126</v>
      </c>
      <c r="C59" s="33" t="s">
        <v>127</v>
      </c>
      <c r="D59" s="32" t="s">
        <v>128</v>
      </c>
      <c r="E59" s="11" t="s">
        <v>11</v>
      </c>
      <c r="F59" s="12"/>
      <c r="G59" s="158" t="s">
        <v>129</v>
      </c>
      <c r="H59" s="76">
        <v>12.782</v>
      </c>
      <c r="I59" s="76">
        <v>1.583</v>
      </c>
      <c r="J59" s="76">
        <v>0</v>
      </c>
      <c r="K59" s="76">
        <v>0</v>
      </c>
      <c r="L59" s="76">
        <v>49</v>
      </c>
      <c r="M59" s="76">
        <v>0</v>
      </c>
      <c r="N59" s="76">
        <v>23</v>
      </c>
      <c r="O59" s="76">
        <v>0</v>
      </c>
      <c r="P59" s="76">
        <v>0</v>
      </c>
      <c r="Q59" s="76">
        <v>0</v>
      </c>
      <c r="R59" s="435">
        <v>0</v>
      </c>
      <c r="S59" s="430">
        <v>0</v>
      </c>
    </row>
    <row r="60" spans="1:19" ht="12" x14ac:dyDescent="0.2">
      <c r="B60" s="31" t="s">
        <v>130</v>
      </c>
      <c r="C60" s="34" t="s">
        <v>492</v>
      </c>
      <c r="D60" s="32" t="s">
        <v>131</v>
      </c>
      <c r="E60" s="11" t="s">
        <v>11</v>
      </c>
      <c r="F60" s="12"/>
      <c r="G60" s="110" t="s">
        <v>132</v>
      </c>
      <c r="H60" s="76">
        <v>1877.838</v>
      </c>
      <c r="I60" s="76">
        <v>1726.829</v>
      </c>
      <c r="J60" s="76">
        <v>1765.1369999999999</v>
      </c>
      <c r="K60" s="76">
        <v>1747.751</v>
      </c>
      <c r="L60" s="76">
        <v>1674.9580000000001</v>
      </c>
      <c r="M60" s="76">
        <v>1784</v>
      </c>
      <c r="N60" s="76">
        <v>1550</v>
      </c>
      <c r="O60" s="76">
        <v>5437</v>
      </c>
      <c r="P60" s="76">
        <v>6137</v>
      </c>
      <c r="Q60" s="76">
        <v>5737</v>
      </c>
      <c r="R60" s="435">
        <v>1837</v>
      </c>
      <c r="S60" s="430">
        <v>1837</v>
      </c>
    </row>
    <row r="61" spans="1:19" ht="12" x14ac:dyDescent="0.2">
      <c r="B61" s="31" t="s">
        <v>133</v>
      </c>
      <c r="C61" s="34" t="s">
        <v>134</v>
      </c>
      <c r="D61" s="34" t="s">
        <v>135</v>
      </c>
      <c r="E61" s="11" t="s">
        <v>89</v>
      </c>
      <c r="F61" s="12"/>
      <c r="G61" s="110" t="s">
        <v>136</v>
      </c>
      <c r="H61" s="76">
        <v>0</v>
      </c>
      <c r="I61" s="76">
        <v>0</v>
      </c>
      <c r="J61" s="76">
        <v>0</v>
      </c>
      <c r="K61" s="76">
        <v>0</v>
      </c>
      <c r="L61" s="76">
        <v>0</v>
      </c>
      <c r="M61" s="76">
        <v>0</v>
      </c>
      <c r="N61" s="76">
        <v>0</v>
      </c>
      <c r="O61" s="76">
        <v>0</v>
      </c>
      <c r="P61" s="76">
        <v>0</v>
      </c>
      <c r="Q61" s="76">
        <v>0</v>
      </c>
      <c r="R61" s="435">
        <v>0</v>
      </c>
      <c r="S61" s="430">
        <v>0</v>
      </c>
    </row>
    <row r="62" spans="1:19" ht="12" x14ac:dyDescent="0.2">
      <c r="B62" s="31" t="s">
        <v>137</v>
      </c>
      <c r="C62" s="10">
        <v>253800</v>
      </c>
      <c r="D62" s="34" t="s">
        <v>131</v>
      </c>
      <c r="E62" s="11" t="s">
        <v>11</v>
      </c>
      <c r="F62" s="12"/>
      <c r="G62" s="110" t="s">
        <v>138</v>
      </c>
      <c r="H62" s="76">
        <v>0</v>
      </c>
      <c r="I62" s="76">
        <v>0</v>
      </c>
      <c r="J62" s="76">
        <v>0</v>
      </c>
      <c r="K62" s="76">
        <v>0</v>
      </c>
      <c r="L62" s="76">
        <v>0</v>
      </c>
      <c r="M62" s="76">
        <v>0</v>
      </c>
      <c r="N62" s="76">
        <v>0</v>
      </c>
      <c r="O62" s="76">
        <v>0</v>
      </c>
      <c r="P62" s="76">
        <v>0</v>
      </c>
      <c r="Q62" s="76">
        <v>0</v>
      </c>
      <c r="R62" s="435">
        <v>0</v>
      </c>
      <c r="S62" s="430">
        <v>0</v>
      </c>
    </row>
    <row r="63" spans="1:19" ht="12" x14ac:dyDescent="0.2">
      <c r="B63" s="31" t="s">
        <v>139</v>
      </c>
      <c r="C63" s="10">
        <v>150</v>
      </c>
      <c r="D63" s="34" t="s">
        <v>135</v>
      </c>
      <c r="E63" s="11" t="s">
        <v>89</v>
      </c>
      <c r="F63" s="12"/>
      <c r="G63" s="110" t="s">
        <v>140</v>
      </c>
      <c r="H63" s="76">
        <v>0</v>
      </c>
      <c r="I63" s="76">
        <v>0</v>
      </c>
      <c r="J63" s="76">
        <v>0</v>
      </c>
      <c r="K63" s="76">
        <v>0</v>
      </c>
      <c r="L63" s="76">
        <v>0</v>
      </c>
      <c r="M63" s="76">
        <v>0</v>
      </c>
      <c r="N63" s="76">
        <v>0</v>
      </c>
      <c r="O63" s="76">
        <v>0</v>
      </c>
      <c r="P63" s="76">
        <v>0</v>
      </c>
      <c r="Q63" s="76">
        <v>0</v>
      </c>
      <c r="R63" s="435">
        <v>0</v>
      </c>
      <c r="S63" s="430">
        <v>0</v>
      </c>
    </row>
    <row r="64" spans="1:19" ht="12" x14ac:dyDescent="0.2">
      <c r="B64" s="31" t="s">
        <v>141</v>
      </c>
      <c r="C64" s="34" t="s">
        <v>142</v>
      </c>
      <c r="D64" s="34" t="s">
        <v>131</v>
      </c>
      <c r="E64" s="11" t="s">
        <v>11</v>
      </c>
      <c r="F64" s="12"/>
      <c r="G64" s="110" t="s">
        <v>143</v>
      </c>
      <c r="H64" s="76">
        <v>0</v>
      </c>
      <c r="I64" s="76">
        <v>0</v>
      </c>
      <c r="J64" s="76">
        <v>0</v>
      </c>
      <c r="K64" s="76">
        <v>0</v>
      </c>
      <c r="L64" s="76">
        <v>0</v>
      </c>
      <c r="M64" s="76">
        <v>0</v>
      </c>
      <c r="N64" s="76">
        <v>0</v>
      </c>
      <c r="O64" s="76">
        <v>0</v>
      </c>
      <c r="P64" s="76">
        <v>0</v>
      </c>
      <c r="Q64" s="76">
        <v>0</v>
      </c>
      <c r="R64" s="435">
        <v>0</v>
      </c>
      <c r="S64" s="430">
        <v>0</v>
      </c>
    </row>
    <row r="65" spans="2:19" ht="12" x14ac:dyDescent="0.2">
      <c r="B65" s="31" t="s">
        <v>144</v>
      </c>
      <c r="C65" s="8" t="s">
        <v>493</v>
      </c>
      <c r="D65" s="34" t="s">
        <v>135</v>
      </c>
      <c r="E65" s="11" t="s">
        <v>89</v>
      </c>
      <c r="F65" s="12"/>
      <c r="G65" s="110" t="s">
        <v>145</v>
      </c>
      <c r="H65" s="76">
        <v>0</v>
      </c>
      <c r="I65" s="76">
        <v>0</v>
      </c>
      <c r="J65" s="76">
        <v>0</v>
      </c>
      <c r="K65" s="76">
        <v>0</v>
      </c>
      <c r="L65" s="76">
        <v>0</v>
      </c>
      <c r="M65" s="76">
        <v>0</v>
      </c>
      <c r="N65" s="76">
        <v>0</v>
      </c>
      <c r="O65" s="76">
        <v>0</v>
      </c>
      <c r="P65" s="76">
        <v>0</v>
      </c>
      <c r="Q65" s="76">
        <v>0</v>
      </c>
      <c r="R65" s="435">
        <v>0</v>
      </c>
      <c r="S65" s="430">
        <v>0</v>
      </c>
    </row>
    <row r="66" spans="2:19" ht="12" x14ac:dyDescent="0.2">
      <c r="B66" s="31" t="s">
        <v>146</v>
      </c>
      <c r="C66" s="8" t="s">
        <v>493</v>
      </c>
      <c r="D66" s="34" t="s">
        <v>131</v>
      </c>
      <c r="E66" s="11" t="s">
        <v>11</v>
      </c>
      <c r="F66" s="12"/>
      <c r="G66" s="110" t="s">
        <v>147</v>
      </c>
      <c r="H66" s="76">
        <v>0</v>
      </c>
      <c r="I66" s="76">
        <v>0</v>
      </c>
      <c r="J66" s="76">
        <v>0</v>
      </c>
      <c r="K66" s="76">
        <v>0</v>
      </c>
      <c r="L66" s="76">
        <v>0</v>
      </c>
      <c r="M66" s="76">
        <v>0</v>
      </c>
      <c r="N66" s="76">
        <v>0</v>
      </c>
      <c r="O66" s="76">
        <v>0</v>
      </c>
      <c r="P66" s="76">
        <v>0</v>
      </c>
      <c r="Q66" s="76">
        <v>0</v>
      </c>
      <c r="R66" s="435">
        <v>0</v>
      </c>
      <c r="S66" s="430">
        <v>0</v>
      </c>
    </row>
    <row r="67" spans="2:19" ht="12" x14ac:dyDescent="0.2">
      <c r="B67" s="31" t="s">
        <v>148</v>
      </c>
      <c r="C67" s="8" t="s">
        <v>149</v>
      </c>
      <c r="D67" s="34" t="s">
        <v>135</v>
      </c>
      <c r="E67" s="11" t="s">
        <v>89</v>
      </c>
      <c r="F67" s="12"/>
      <c r="G67" s="110" t="s">
        <v>150</v>
      </c>
      <c r="H67" s="76">
        <v>0</v>
      </c>
      <c r="I67" s="76">
        <v>0</v>
      </c>
      <c r="J67" s="76">
        <v>0</v>
      </c>
      <c r="K67" s="76">
        <v>0</v>
      </c>
      <c r="L67" s="76">
        <v>0</v>
      </c>
      <c r="M67" s="76">
        <v>0</v>
      </c>
      <c r="N67" s="76">
        <v>0</v>
      </c>
      <c r="O67" s="76">
        <v>0</v>
      </c>
      <c r="P67" s="76">
        <v>0</v>
      </c>
      <c r="Q67" s="76">
        <v>0</v>
      </c>
      <c r="R67" s="435">
        <v>0</v>
      </c>
      <c r="S67" s="430">
        <v>0</v>
      </c>
    </row>
    <row r="68" spans="2:19" ht="12" x14ac:dyDescent="0.2">
      <c r="B68" s="31" t="s">
        <v>151</v>
      </c>
      <c r="C68" s="8" t="s">
        <v>149</v>
      </c>
      <c r="D68" s="34" t="s">
        <v>131</v>
      </c>
      <c r="E68" s="11" t="s">
        <v>11</v>
      </c>
      <c r="F68" s="12"/>
      <c r="G68" s="110" t="s">
        <v>152</v>
      </c>
      <c r="H68" s="76">
        <v>0</v>
      </c>
      <c r="I68" s="76">
        <v>0</v>
      </c>
      <c r="J68" s="76">
        <v>0</v>
      </c>
      <c r="K68" s="76">
        <v>0</v>
      </c>
      <c r="L68" s="76">
        <v>0</v>
      </c>
      <c r="M68" s="76">
        <v>0</v>
      </c>
      <c r="N68" s="76">
        <v>0</v>
      </c>
      <c r="O68" s="76">
        <v>0</v>
      </c>
      <c r="P68" s="76">
        <v>0</v>
      </c>
      <c r="Q68" s="76">
        <v>0</v>
      </c>
      <c r="R68" s="435">
        <v>0</v>
      </c>
      <c r="S68" s="430">
        <v>0</v>
      </c>
    </row>
    <row r="69" spans="2:19" ht="12" x14ac:dyDescent="0.2">
      <c r="B69" s="31" t="s">
        <v>153</v>
      </c>
      <c r="C69" s="34" t="s">
        <v>142</v>
      </c>
      <c r="D69" s="34" t="s">
        <v>131</v>
      </c>
      <c r="E69" s="11" t="s">
        <v>11</v>
      </c>
      <c r="F69" s="12"/>
      <c r="G69" s="110" t="s">
        <v>154</v>
      </c>
      <c r="H69" s="76">
        <v>0</v>
      </c>
      <c r="I69" s="76">
        <v>0</v>
      </c>
      <c r="J69" s="76">
        <v>0</v>
      </c>
      <c r="K69" s="76">
        <v>0</v>
      </c>
      <c r="L69" s="76">
        <v>0</v>
      </c>
      <c r="M69" s="76">
        <v>0</v>
      </c>
      <c r="N69" s="76">
        <v>0</v>
      </c>
      <c r="O69" s="76">
        <v>0</v>
      </c>
      <c r="P69" s="76">
        <v>0</v>
      </c>
      <c r="Q69" s="76">
        <v>0</v>
      </c>
      <c r="R69" s="435">
        <v>0</v>
      </c>
      <c r="S69" s="430">
        <v>0</v>
      </c>
    </row>
    <row r="70" spans="2:19" ht="12" x14ac:dyDescent="0.2">
      <c r="B70" s="31" t="s">
        <v>155</v>
      </c>
      <c r="C70" s="35" t="s">
        <v>156</v>
      </c>
      <c r="D70" s="8"/>
      <c r="E70" s="11" t="s">
        <v>72</v>
      </c>
      <c r="F70" s="12"/>
      <c r="G70" s="110" t="s">
        <v>107</v>
      </c>
      <c r="H70" s="76">
        <v>0.48399999999999999</v>
      </c>
      <c r="I70" s="76">
        <v>0.05</v>
      </c>
      <c r="J70" s="76">
        <v>0.09</v>
      </c>
      <c r="K70" s="76">
        <v>0.02</v>
      </c>
      <c r="L70" s="76">
        <v>0.39600000000000002</v>
      </c>
      <c r="M70" s="76">
        <v>0</v>
      </c>
      <c r="N70" s="76">
        <v>0</v>
      </c>
      <c r="O70" s="76">
        <v>0</v>
      </c>
      <c r="P70" s="76">
        <v>0</v>
      </c>
      <c r="Q70" s="76">
        <v>0</v>
      </c>
      <c r="R70" s="435">
        <v>0</v>
      </c>
      <c r="S70" s="430">
        <v>0</v>
      </c>
    </row>
    <row r="71" spans="2:19" x14ac:dyDescent="0.2">
      <c r="B71" s="31" t="s">
        <v>157</v>
      </c>
      <c r="D71" s="8"/>
      <c r="E71" s="12"/>
      <c r="F71" s="12"/>
      <c r="G71" s="100" t="s">
        <v>158</v>
      </c>
      <c r="H71" s="77">
        <f t="shared" ref="H71:S71" si="16">SUM(H58:H70)</f>
        <v>12.237999999999905</v>
      </c>
      <c r="I71" s="77">
        <f t="shared" si="16"/>
        <v>857.85399999999993</v>
      </c>
      <c r="J71" s="77">
        <f t="shared" si="16"/>
        <v>-224.23000000000016</v>
      </c>
      <c r="K71" s="77">
        <f t="shared" si="16"/>
        <v>-350.63300000000004</v>
      </c>
      <c r="L71" s="77">
        <f t="shared" si="16"/>
        <v>750.36599999999999</v>
      </c>
      <c r="M71" s="77">
        <f t="shared" si="16"/>
        <v>628</v>
      </c>
      <c r="N71" s="77">
        <f t="shared" si="16"/>
        <v>-881</v>
      </c>
      <c r="O71" s="77">
        <f t="shared" si="16"/>
        <v>0</v>
      </c>
      <c r="P71" s="77">
        <f t="shared" si="16"/>
        <v>0</v>
      </c>
      <c r="Q71" s="77">
        <f t="shared" si="16"/>
        <v>0</v>
      </c>
      <c r="R71" s="434">
        <f t="shared" si="16"/>
        <v>0</v>
      </c>
      <c r="S71" s="77">
        <f t="shared" si="16"/>
        <v>0</v>
      </c>
    </row>
    <row r="72" spans="2:19" x14ac:dyDescent="0.2">
      <c r="D72" s="8"/>
      <c r="S72" s="445"/>
    </row>
    <row r="73" spans="2:19" x14ac:dyDescent="0.2">
      <c r="D73" s="29" t="s">
        <v>120</v>
      </c>
      <c r="E73" s="30" t="s">
        <v>3</v>
      </c>
      <c r="F73" s="9"/>
      <c r="G73" s="94" t="s">
        <v>159</v>
      </c>
      <c r="H73" s="87">
        <f t="shared" ref="H73:R73" si="17">H57</f>
        <v>2011</v>
      </c>
      <c r="I73" s="87">
        <f t="shared" si="17"/>
        <v>2012</v>
      </c>
      <c r="J73" s="87">
        <f t="shared" si="17"/>
        <v>2013</v>
      </c>
      <c r="K73" s="87">
        <f t="shared" si="17"/>
        <v>2014</v>
      </c>
      <c r="L73" s="87">
        <f t="shared" si="17"/>
        <v>2015</v>
      </c>
      <c r="M73" s="87">
        <f t="shared" si="17"/>
        <v>2016</v>
      </c>
      <c r="N73" s="87">
        <v>2017</v>
      </c>
      <c r="O73" s="87">
        <v>2018</v>
      </c>
      <c r="P73" s="87">
        <f t="shared" si="17"/>
        <v>2019</v>
      </c>
      <c r="Q73" s="87">
        <f t="shared" si="17"/>
        <v>2020</v>
      </c>
      <c r="R73" s="443">
        <f t="shared" si="17"/>
        <v>2021</v>
      </c>
      <c r="S73" s="444">
        <v>2022</v>
      </c>
    </row>
    <row r="74" spans="2:19" ht="12" x14ac:dyDescent="0.2">
      <c r="B74" s="2" t="s">
        <v>160</v>
      </c>
      <c r="C74" s="34" t="s">
        <v>161</v>
      </c>
      <c r="D74" s="34" t="s">
        <v>128</v>
      </c>
      <c r="E74" s="11" t="s">
        <v>11</v>
      </c>
      <c r="G74" s="103" t="s">
        <v>162</v>
      </c>
      <c r="H74" s="76">
        <v>0</v>
      </c>
      <c r="I74" s="76">
        <v>0</v>
      </c>
      <c r="J74" s="76">
        <v>0</v>
      </c>
      <c r="K74" s="76">
        <v>0</v>
      </c>
      <c r="L74" s="76">
        <v>0</v>
      </c>
      <c r="M74" s="76">
        <v>0</v>
      </c>
      <c r="N74" s="76">
        <v>0</v>
      </c>
      <c r="O74" s="76">
        <v>0</v>
      </c>
      <c r="P74" s="76">
        <v>0</v>
      </c>
      <c r="Q74" s="76">
        <v>0</v>
      </c>
      <c r="R74" s="435">
        <v>0</v>
      </c>
      <c r="S74" s="430">
        <v>0</v>
      </c>
    </row>
    <row r="75" spans="2:19" ht="12" x14ac:dyDescent="0.2">
      <c r="B75" s="2" t="s">
        <v>163</v>
      </c>
      <c r="C75" s="34" t="s">
        <v>161</v>
      </c>
      <c r="D75" s="34" t="s">
        <v>124</v>
      </c>
      <c r="E75" s="11" t="s">
        <v>89</v>
      </c>
      <c r="F75" s="12"/>
      <c r="G75" s="110" t="s">
        <v>164</v>
      </c>
      <c r="H75" s="76">
        <v>0</v>
      </c>
      <c r="I75" s="76">
        <v>0</v>
      </c>
      <c r="J75" s="76">
        <v>0</v>
      </c>
      <c r="K75" s="76">
        <v>0</v>
      </c>
      <c r="L75" s="76">
        <v>0</v>
      </c>
      <c r="M75" s="76">
        <v>0</v>
      </c>
      <c r="N75" s="76">
        <v>0</v>
      </c>
      <c r="O75" s="76">
        <v>0</v>
      </c>
      <c r="P75" s="76">
        <v>0</v>
      </c>
      <c r="Q75" s="76">
        <v>0</v>
      </c>
      <c r="R75" s="435">
        <v>0</v>
      </c>
      <c r="S75" s="430">
        <v>0</v>
      </c>
    </row>
    <row r="76" spans="2:19" ht="12" x14ac:dyDescent="0.2">
      <c r="B76" s="2" t="s">
        <v>165</v>
      </c>
      <c r="C76" s="34" t="s">
        <v>166</v>
      </c>
      <c r="D76" s="34" t="s">
        <v>131</v>
      </c>
      <c r="E76" s="11" t="s">
        <v>11</v>
      </c>
      <c r="G76" s="110" t="s">
        <v>167</v>
      </c>
      <c r="H76" s="76">
        <f>793.03+144.719</f>
        <v>937.74900000000002</v>
      </c>
      <c r="I76" s="76">
        <v>220.071</v>
      </c>
      <c r="J76" s="76">
        <v>660</v>
      </c>
      <c r="K76" s="76">
        <v>585.13</v>
      </c>
      <c r="L76" s="76">
        <v>0</v>
      </c>
      <c r="M76" s="76">
        <v>0</v>
      </c>
      <c r="N76" s="76">
        <v>0</v>
      </c>
      <c r="O76" s="76">
        <v>0</v>
      </c>
      <c r="P76" s="76">
        <v>0</v>
      </c>
      <c r="Q76" s="76">
        <v>0</v>
      </c>
      <c r="R76" s="435">
        <v>0</v>
      </c>
      <c r="S76" s="430">
        <v>0</v>
      </c>
    </row>
    <row r="77" spans="2:19" ht="12" x14ac:dyDescent="0.2">
      <c r="B77" s="2" t="s">
        <v>168</v>
      </c>
      <c r="C77" s="34" t="s">
        <v>166</v>
      </c>
      <c r="D77" s="34" t="s">
        <v>135</v>
      </c>
      <c r="E77" s="11" t="s">
        <v>89</v>
      </c>
      <c r="F77" s="12"/>
      <c r="G77" s="110" t="s">
        <v>169</v>
      </c>
      <c r="H77" s="76">
        <v>-751.38300000000004</v>
      </c>
      <c r="I77" s="76">
        <v>-793.03</v>
      </c>
      <c r="J77" s="76">
        <v>-364.79700000000003</v>
      </c>
      <c r="K77" s="76">
        <v>-660</v>
      </c>
      <c r="L77" s="76">
        <v>-585.13</v>
      </c>
      <c r="M77" s="76">
        <v>0</v>
      </c>
      <c r="N77" s="76">
        <v>0</v>
      </c>
      <c r="O77" s="76">
        <v>0</v>
      </c>
      <c r="P77" s="76">
        <v>0</v>
      </c>
      <c r="Q77" s="76">
        <v>0</v>
      </c>
      <c r="R77" s="435">
        <v>0</v>
      </c>
      <c r="S77" s="430">
        <v>0</v>
      </c>
    </row>
    <row r="78" spans="2:19" ht="12" x14ac:dyDescent="0.2">
      <c r="B78" s="2" t="s">
        <v>170</v>
      </c>
      <c r="C78" s="34" t="s">
        <v>171</v>
      </c>
      <c r="D78" s="34" t="s">
        <v>135</v>
      </c>
      <c r="E78" s="11" t="s">
        <v>89</v>
      </c>
      <c r="F78" s="12"/>
      <c r="G78" s="110" t="s">
        <v>172</v>
      </c>
      <c r="H78" s="76">
        <v>-575.76099999999997</v>
      </c>
      <c r="I78" s="76">
        <v>-80.888000000000005</v>
      </c>
      <c r="J78" s="76">
        <v>-79.200999999999993</v>
      </c>
      <c r="K78" s="76">
        <v>-79.004000000000005</v>
      </c>
      <c r="L78" s="76">
        <v>-78.403999999999996</v>
      </c>
      <c r="M78" s="76">
        <v>-68</v>
      </c>
      <c r="N78" s="76">
        <v>-8</v>
      </c>
      <c r="O78" s="76">
        <v>-2</v>
      </c>
      <c r="P78" s="76">
        <v>0</v>
      </c>
      <c r="Q78" s="76">
        <v>0</v>
      </c>
      <c r="R78" s="435">
        <v>0</v>
      </c>
      <c r="S78" s="430">
        <v>0</v>
      </c>
    </row>
    <row r="79" spans="2:19" ht="12" x14ac:dyDescent="0.2">
      <c r="B79" s="2" t="s">
        <v>173</v>
      </c>
      <c r="C79" s="34" t="s">
        <v>174</v>
      </c>
      <c r="D79" s="34" t="s">
        <v>135</v>
      </c>
      <c r="E79" s="11" t="s">
        <v>89</v>
      </c>
      <c r="F79" s="12"/>
      <c r="G79" s="110" t="s">
        <v>175</v>
      </c>
      <c r="H79" s="76">
        <v>-33.850999999999999</v>
      </c>
      <c r="I79" s="76">
        <v>-16.998999999999999</v>
      </c>
      <c r="J79" s="76">
        <v>-13.744</v>
      </c>
      <c r="K79" s="76">
        <f>-13.782-0.034</f>
        <v>-13.816000000000001</v>
      </c>
      <c r="L79" s="76">
        <f>-3.777+0.013</f>
        <v>-3.7640000000000002</v>
      </c>
      <c r="M79" s="76">
        <v>-3</v>
      </c>
      <c r="N79" s="76">
        <v>-1</v>
      </c>
      <c r="O79" s="76">
        <v>-1</v>
      </c>
      <c r="P79" s="76">
        <v>-1</v>
      </c>
      <c r="Q79" s="76">
        <v>-1</v>
      </c>
      <c r="R79" s="435">
        <v>-1</v>
      </c>
      <c r="S79" s="430">
        <v>-1</v>
      </c>
    </row>
    <row r="80" spans="2:19" ht="12" x14ac:dyDescent="0.2">
      <c r="B80" s="2" t="s">
        <v>176</v>
      </c>
      <c r="C80" s="34" t="s">
        <v>177</v>
      </c>
      <c r="D80" s="34" t="s">
        <v>135</v>
      </c>
      <c r="E80" s="11" t="s">
        <v>89</v>
      </c>
      <c r="F80" s="12"/>
      <c r="G80" s="110" t="s">
        <v>178</v>
      </c>
      <c r="H80" s="76">
        <v>0</v>
      </c>
      <c r="I80" s="76">
        <v>0</v>
      </c>
      <c r="J80" s="76">
        <v>0</v>
      </c>
      <c r="K80" s="76">
        <v>0</v>
      </c>
      <c r="L80" s="76">
        <v>0</v>
      </c>
      <c r="M80" s="76">
        <v>0</v>
      </c>
      <c r="N80" s="76">
        <v>0</v>
      </c>
      <c r="O80" s="76">
        <v>0</v>
      </c>
      <c r="P80" s="76">
        <v>0</v>
      </c>
      <c r="Q80" s="76">
        <v>0</v>
      </c>
      <c r="R80" s="435">
        <v>0</v>
      </c>
      <c r="S80" s="430">
        <v>0</v>
      </c>
    </row>
    <row r="81" spans="1:19" ht="12" x14ac:dyDescent="0.2">
      <c r="B81" s="2" t="s">
        <v>179</v>
      </c>
      <c r="C81" s="34" t="s">
        <v>52</v>
      </c>
      <c r="D81" s="34" t="s">
        <v>135</v>
      </c>
      <c r="E81" s="11" t="s">
        <v>89</v>
      </c>
      <c r="F81" s="12"/>
      <c r="G81" s="110" t="s">
        <v>180</v>
      </c>
      <c r="H81" s="76">
        <v>0</v>
      </c>
      <c r="I81" s="76">
        <v>0</v>
      </c>
      <c r="J81" s="76">
        <v>0</v>
      </c>
      <c r="K81" s="76">
        <v>0</v>
      </c>
      <c r="L81" s="76">
        <v>0</v>
      </c>
      <c r="M81" s="76">
        <v>0</v>
      </c>
      <c r="N81" s="76">
        <v>0</v>
      </c>
      <c r="O81" s="76">
        <v>0</v>
      </c>
      <c r="P81" s="76">
        <v>0</v>
      </c>
      <c r="Q81" s="76">
        <v>0</v>
      </c>
      <c r="R81" s="435">
        <v>0</v>
      </c>
      <c r="S81" s="430">
        <v>0</v>
      </c>
    </row>
    <row r="82" spans="1:19" ht="12" x14ac:dyDescent="0.2">
      <c r="B82" s="2" t="s">
        <v>181</v>
      </c>
      <c r="C82" s="34" t="s">
        <v>182</v>
      </c>
      <c r="D82" s="34" t="s">
        <v>131</v>
      </c>
      <c r="E82" s="11" t="s">
        <v>11</v>
      </c>
      <c r="G82" s="110" t="s">
        <v>183</v>
      </c>
      <c r="H82" s="76">
        <v>0</v>
      </c>
      <c r="I82" s="76">
        <v>0</v>
      </c>
      <c r="J82" s="76">
        <v>0</v>
      </c>
      <c r="K82" s="76">
        <v>0</v>
      </c>
      <c r="L82" s="76">
        <v>0</v>
      </c>
      <c r="M82" s="76">
        <v>0</v>
      </c>
      <c r="N82" s="76">
        <v>0</v>
      </c>
      <c r="O82" s="76">
        <v>0</v>
      </c>
      <c r="P82" s="76">
        <v>0</v>
      </c>
      <c r="Q82" s="76">
        <v>0</v>
      </c>
      <c r="R82" s="435">
        <v>0</v>
      </c>
      <c r="S82" s="430">
        <v>0</v>
      </c>
    </row>
    <row r="83" spans="1:19" ht="12" x14ac:dyDescent="0.2">
      <c r="B83" s="2" t="s">
        <v>184</v>
      </c>
      <c r="C83" s="34" t="s">
        <v>182</v>
      </c>
      <c r="D83" s="34" t="s">
        <v>135</v>
      </c>
      <c r="E83" s="11" t="s">
        <v>89</v>
      </c>
      <c r="F83" s="12"/>
      <c r="G83" s="110" t="s">
        <v>494</v>
      </c>
      <c r="H83" s="76">
        <v>0</v>
      </c>
      <c r="I83" s="76">
        <v>0</v>
      </c>
      <c r="J83" s="76">
        <v>0</v>
      </c>
      <c r="K83" s="76">
        <v>0</v>
      </c>
      <c r="L83" s="76">
        <v>0</v>
      </c>
      <c r="M83" s="76">
        <v>0</v>
      </c>
      <c r="N83" s="76">
        <v>0</v>
      </c>
      <c r="O83" s="76">
        <v>0</v>
      </c>
      <c r="P83" s="76">
        <v>0</v>
      </c>
      <c r="Q83" s="76">
        <v>0</v>
      </c>
      <c r="R83" s="435">
        <v>0</v>
      </c>
      <c r="S83" s="430">
        <v>0</v>
      </c>
    </row>
    <row r="84" spans="1:19" ht="12" x14ac:dyDescent="0.2">
      <c r="B84" s="2" t="s">
        <v>185</v>
      </c>
      <c r="C84" s="36">
        <v>68</v>
      </c>
      <c r="D84" s="34" t="s">
        <v>135</v>
      </c>
      <c r="E84" s="11" t="s">
        <v>89</v>
      </c>
      <c r="F84" s="12"/>
      <c r="G84" s="46" t="s">
        <v>111</v>
      </c>
      <c r="H84" s="76">
        <v>0</v>
      </c>
      <c r="I84" s="76">
        <v>0</v>
      </c>
      <c r="J84" s="76">
        <v>0</v>
      </c>
      <c r="K84" s="76">
        <v>0</v>
      </c>
      <c r="L84" s="76">
        <v>0</v>
      </c>
      <c r="M84" s="76">
        <v>0</v>
      </c>
      <c r="N84" s="76">
        <v>0</v>
      </c>
      <c r="O84" s="76">
        <v>0</v>
      </c>
      <c r="P84" s="76">
        <v>0</v>
      </c>
      <c r="Q84" s="76">
        <v>0</v>
      </c>
      <c r="R84" s="435">
        <v>0</v>
      </c>
      <c r="S84" s="430">
        <v>0</v>
      </c>
    </row>
    <row r="85" spans="1:19" x14ac:dyDescent="0.2">
      <c r="B85" s="2" t="s">
        <v>186</v>
      </c>
      <c r="G85" s="46" t="s">
        <v>158</v>
      </c>
      <c r="H85" s="77">
        <f t="shared" ref="H85:Q85" si="18">SUM(H74:H84)</f>
        <v>-423.24599999999998</v>
      </c>
      <c r="I85" s="77">
        <f t="shared" si="18"/>
        <v>-670.846</v>
      </c>
      <c r="J85" s="77">
        <f t="shared" si="18"/>
        <v>202.25799999999998</v>
      </c>
      <c r="K85" s="77">
        <f t="shared" si="18"/>
        <v>-167.69000000000003</v>
      </c>
      <c r="L85" s="77">
        <f t="shared" si="18"/>
        <v>-667.298</v>
      </c>
      <c r="M85" s="77">
        <f t="shared" si="18"/>
        <v>-71</v>
      </c>
      <c r="N85" s="77">
        <f t="shared" si="18"/>
        <v>-9</v>
      </c>
      <c r="O85" s="77">
        <f t="shared" si="18"/>
        <v>-3</v>
      </c>
      <c r="P85" s="77">
        <f t="shared" si="18"/>
        <v>-1</v>
      </c>
      <c r="Q85" s="77">
        <f t="shared" si="18"/>
        <v>-1</v>
      </c>
      <c r="R85" s="434">
        <f>SUM(R74:R84)</f>
        <v>-1</v>
      </c>
      <c r="S85" s="77">
        <f>SUM(S74:S84)</f>
        <v>-1</v>
      </c>
    </row>
    <row r="86" spans="1:19" x14ac:dyDescent="0.2">
      <c r="S86" s="445"/>
    </row>
    <row r="87" spans="1:19" x14ac:dyDescent="0.2">
      <c r="A87" s="13" t="s">
        <v>0</v>
      </c>
      <c r="D87" s="753" t="s">
        <v>187</v>
      </c>
      <c r="E87" s="754"/>
      <c r="G87" s="94" t="s">
        <v>495</v>
      </c>
      <c r="H87" s="87">
        <f t="shared" ref="H87:R87" si="19">H32</f>
        <v>2011</v>
      </c>
      <c r="I87" s="87">
        <f t="shared" si="19"/>
        <v>2012</v>
      </c>
      <c r="J87" s="87">
        <f t="shared" si="19"/>
        <v>2013</v>
      </c>
      <c r="K87" s="87">
        <f t="shared" si="19"/>
        <v>2014</v>
      </c>
      <c r="L87" s="87">
        <f t="shared" si="19"/>
        <v>2015</v>
      </c>
      <c r="M87" s="87">
        <f t="shared" si="19"/>
        <v>2016</v>
      </c>
      <c r="N87" s="87">
        <v>2017</v>
      </c>
      <c r="O87" s="87">
        <v>2018</v>
      </c>
      <c r="P87" s="87">
        <f t="shared" si="19"/>
        <v>2019</v>
      </c>
      <c r="Q87" s="87">
        <f t="shared" si="19"/>
        <v>2020</v>
      </c>
      <c r="R87" s="443">
        <f t="shared" si="19"/>
        <v>2021</v>
      </c>
      <c r="S87" s="444">
        <v>2022</v>
      </c>
    </row>
    <row r="88" spans="1:19" x14ac:dyDescent="0.2">
      <c r="A88" s="8" t="s">
        <v>496</v>
      </c>
      <c r="B88" s="2" t="s">
        <v>188</v>
      </c>
      <c r="C88" s="8" t="s">
        <v>497</v>
      </c>
      <c r="E88" s="109"/>
      <c r="G88" s="103" t="s">
        <v>498</v>
      </c>
      <c r="H88" s="77">
        <f>H46+H71</f>
        <v>-594.55500000000063</v>
      </c>
      <c r="I88" s="77">
        <f t="shared" ref="I88:S88" si="20">I46+I71</f>
        <v>2900.0249999999996</v>
      </c>
      <c r="J88" s="77">
        <f t="shared" si="20"/>
        <v>1624.251</v>
      </c>
      <c r="K88" s="77">
        <f t="shared" si="20"/>
        <v>-1825.1020000000005</v>
      </c>
      <c r="L88" s="77">
        <f t="shared" si="20"/>
        <v>197.60999999999967</v>
      </c>
      <c r="M88" s="77">
        <f t="shared" si="20"/>
        <v>191</v>
      </c>
      <c r="N88" s="77">
        <f>N46+N71</f>
        <v>-314</v>
      </c>
      <c r="O88" s="77">
        <f t="shared" si="20"/>
        <v>3874</v>
      </c>
      <c r="P88" s="77">
        <f t="shared" si="20"/>
        <v>4442</v>
      </c>
      <c r="Q88" s="77">
        <f t="shared" si="20"/>
        <v>3858</v>
      </c>
      <c r="R88" s="434">
        <f t="shared" si="20"/>
        <v>-214</v>
      </c>
      <c r="S88" s="77">
        <f t="shared" si="20"/>
        <v>-304</v>
      </c>
    </row>
    <row r="89" spans="1:19" x14ac:dyDescent="0.2">
      <c r="A89" s="8" t="s">
        <v>499</v>
      </c>
      <c r="B89" s="2" t="s">
        <v>189</v>
      </c>
      <c r="C89" s="34" t="s">
        <v>190</v>
      </c>
      <c r="E89" s="109"/>
      <c r="G89" s="103" t="s">
        <v>191</v>
      </c>
      <c r="H89" s="105">
        <f t="shared" ref="H89:S89" si="21">H33+H38+H41-H45</f>
        <v>615.03399999999942</v>
      </c>
      <c r="I89" s="77">
        <f t="shared" si="21"/>
        <v>3342.0779999999995</v>
      </c>
      <c r="J89" s="77">
        <f t="shared" si="21"/>
        <v>3324.6930000000002</v>
      </c>
      <c r="K89" s="77">
        <f t="shared" si="21"/>
        <v>190.36099999999942</v>
      </c>
      <c r="L89" s="77">
        <f t="shared" si="21"/>
        <v>1059.9899999999998</v>
      </c>
      <c r="M89" s="77">
        <f t="shared" si="21"/>
        <v>1170</v>
      </c>
      <c r="N89" s="77">
        <f t="shared" si="21"/>
        <v>2132</v>
      </c>
      <c r="O89" s="77">
        <f t="shared" si="21"/>
        <v>5442</v>
      </c>
      <c r="P89" s="77">
        <f t="shared" si="21"/>
        <v>6173</v>
      </c>
      <c r="Q89" s="77">
        <f t="shared" si="21"/>
        <v>5773</v>
      </c>
      <c r="R89" s="434">
        <f t="shared" si="21"/>
        <v>1873</v>
      </c>
      <c r="S89" s="77">
        <f t="shared" si="21"/>
        <v>1838</v>
      </c>
    </row>
    <row r="90" spans="1:19" x14ac:dyDescent="0.2">
      <c r="A90" s="8" t="s">
        <v>500</v>
      </c>
      <c r="B90" s="2" t="s">
        <v>192</v>
      </c>
      <c r="C90" s="8" t="s">
        <v>501</v>
      </c>
      <c r="E90" s="106">
        <v>0</v>
      </c>
      <c r="G90" s="46" t="s">
        <v>193</v>
      </c>
      <c r="H90" s="107">
        <f t="shared" ref="H90:S90" si="22">H89/H33</f>
        <v>0.22409226698516355</v>
      </c>
      <c r="I90" s="108">
        <f t="shared" si="22"/>
        <v>0.72154404230541536</v>
      </c>
      <c r="J90" s="108">
        <f t="shared" si="22"/>
        <v>0.67466073099797319</v>
      </c>
      <c r="K90" s="108">
        <f t="shared" si="22"/>
        <v>9.2100431325400037E-2</v>
      </c>
      <c r="L90" s="108">
        <f t="shared" si="22"/>
        <v>0.33306614473243062</v>
      </c>
      <c r="M90" s="108">
        <f t="shared" si="22"/>
        <v>0.35019455252918286</v>
      </c>
      <c r="N90" s="108">
        <f t="shared" si="22"/>
        <v>0.44067796610169491</v>
      </c>
      <c r="O90" s="108">
        <f t="shared" si="22"/>
        <v>0.69210225104921785</v>
      </c>
      <c r="P90" s="108">
        <f t="shared" si="22"/>
        <v>0.70799403601330424</v>
      </c>
      <c r="Q90" s="108">
        <f t="shared" si="22"/>
        <v>0.67941626456396376</v>
      </c>
      <c r="R90" s="447">
        <f t="shared" si="22"/>
        <v>0.37938019039902776</v>
      </c>
      <c r="S90" s="108">
        <f t="shared" si="22"/>
        <v>0.37229086489771118</v>
      </c>
    </row>
    <row r="91" spans="1:19" x14ac:dyDescent="0.2">
      <c r="A91" s="8" t="s">
        <v>502</v>
      </c>
      <c r="B91" s="2" t="s">
        <v>194</v>
      </c>
      <c r="C91" s="34" t="s">
        <v>195</v>
      </c>
      <c r="E91" s="109"/>
      <c r="G91" s="110" t="s">
        <v>196</v>
      </c>
      <c r="H91" s="111">
        <f t="shared" ref="H91:S91" si="23">-H33/(H38+H41)</f>
        <v>0.81894072537932461</v>
      </c>
      <c r="I91" s="111">
        <f t="shared" si="23"/>
        <v>1.7885831829603065</v>
      </c>
      <c r="J91" s="111">
        <f t="shared" si="23"/>
        <v>1.600260045001294</v>
      </c>
      <c r="K91" s="111">
        <f t="shared" si="23"/>
        <v>0.58364258416413595</v>
      </c>
      <c r="L91" s="111">
        <f>-L33/(L38+L41)</f>
        <v>0.85201740058367814</v>
      </c>
      <c r="M91" s="111">
        <f t="shared" si="23"/>
        <v>0.88433033350979351</v>
      </c>
      <c r="N91" s="111">
        <f t="shared" si="23"/>
        <v>1.1327557948958089</v>
      </c>
      <c r="O91" s="111">
        <f t="shared" si="23"/>
        <v>1.9711707194785661</v>
      </c>
      <c r="P91" s="111">
        <f t="shared" si="23"/>
        <v>2.0385784428337619</v>
      </c>
      <c r="Q91" s="111">
        <f t="shared" si="23"/>
        <v>1.8316447510239275</v>
      </c>
      <c r="R91" s="448">
        <f t="shared" si="23"/>
        <v>0.95845466899631138</v>
      </c>
      <c r="S91" s="111">
        <f t="shared" si="23"/>
        <v>0.9419958023278</v>
      </c>
    </row>
    <row r="92" spans="1:19" x14ac:dyDescent="0.2">
      <c r="A92" s="8" t="s">
        <v>503</v>
      </c>
      <c r="B92" s="2" t="s">
        <v>197</v>
      </c>
      <c r="C92" s="8" t="s">
        <v>198</v>
      </c>
      <c r="E92" s="109"/>
      <c r="G92" s="103" t="s">
        <v>199</v>
      </c>
      <c r="H92" s="105">
        <f>H46</f>
        <v>-606.79300000000057</v>
      </c>
      <c r="I92" s="105">
        <f t="shared" ref="I92:S92" si="24">I46</f>
        <v>2042.1709999999998</v>
      </c>
      <c r="J92" s="105">
        <f t="shared" si="24"/>
        <v>1848.4810000000002</v>
      </c>
      <c r="K92" s="105">
        <f t="shared" si="24"/>
        <v>-1474.4690000000005</v>
      </c>
      <c r="L92" s="105">
        <f t="shared" si="24"/>
        <v>-552.75600000000031</v>
      </c>
      <c r="M92" s="105">
        <f t="shared" si="24"/>
        <v>-437</v>
      </c>
      <c r="N92" s="105">
        <f t="shared" si="24"/>
        <v>567</v>
      </c>
      <c r="O92" s="105">
        <f t="shared" si="24"/>
        <v>3874</v>
      </c>
      <c r="P92" s="105">
        <f t="shared" si="24"/>
        <v>4442</v>
      </c>
      <c r="Q92" s="105">
        <f t="shared" si="24"/>
        <v>3858</v>
      </c>
      <c r="R92" s="449">
        <f t="shared" si="24"/>
        <v>-214</v>
      </c>
      <c r="S92" s="77">
        <f t="shared" si="24"/>
        <v>-304</v>
      </c>
    </row>
    <row r="93" spans="1:19" x14ac:dyDescent="0.2">
      <c r="A93" s="8" t="s">
        <v>504</v>
      </c>
      <c r="B93" s="2" t="s">
        <v>200</v>
      </c>
      <c r="C93" s="8" t="s">
        <v>201</v>
      </c>
      <c r="D93" s="106">
        <v>-0.3</v>
      </c>
      <c r="E93" s="106">
        <v>0</v>
      </c>
      <c r="G93" s="110" t="s">
        <v>202</v>
      </c>
      <c r="H93" s="112">
        <f>H46/H33</f>
        <v>-0.22108959660885186</v>
      </c>
      <c r="I93" s="113">
        <f t="shared" ref="I93:S93" si="25">I46/I33</f>
        <v>0.44089824307478537</v>
      </c>
      <c r="J93" s="113">
        <f t="shared" si="25"/>
        <v>0.37510156357169355</v>
      </c>
      <c r="K93" s="113">
        <f t="shared" si="25"/>
        <v>-0.71337737706742299</v>
      </c>
      <c r="L93" s="113">
        <f t="shared" si="25"/>
        <v>-0.17368494976152565</v>
      </c>
      <c r="M93" s="113">
        <f t="shared" si="25"/>
        <v>-0.1307991619275666</v>
      </c>
      <c r="N93" s="113">
        <f t="shared" si="25"/>
        <v>0.11719718892104175</v>
      </c>
      <c r="O93" s="113">
        <f t="shared" si="25"/>
        <v>0.49268726949001651</v>
      </c>
      <c r="P93" s="113">
        <f t="shared" si="25"/>
        <v>0.50946209427686662</v>
      </c>
      <c r="Q93" s="113">
        <f t="shared" si="25"/>
        <v>0.45404260327174295</v>
      </c>
      <c r="R93" s="450">
        <f t="shared" si="25"/>
        <v>-4.334616163662143E-2</v>
      </c>
      <c r="S93" s="113">
        <f t="shared" si="25"/>
        <v>-6.1575855782864085E-2</v>
      </c>
    </row>
    <row r="94" spans="1:19" x14ac:dyDescent="0.2">
      <c r="A94" s="8" t="s">
        <v>505</v>
      </c>
      <c r="B94" s="2" t="s">
        <v>203</v>
      </c>
      <c r="C94" s="8" t="s">
        <v>204</v>
      </c>
      <c r="E94" s="109"/>
      <c r="G94" s="46" t="s">
        <v>205</v>
      </c>
      <c r="H94" s="105">
        <f>H29+H30</f>
        <v>10589.118999999999</v>
      </c>
      <c r="I94" s="105">
        <f t="shared" ref="I94:S94" si="26">I29+I30</f>
        <v>12614.188</v>
      </c>
      <c r="J94" s="105">
        <f t="shared" si="26"/>
        <v>14449.148000000001</v>
      </c>
      <c r="K94" s="105">
        <f t="shared" si="26"/>
        <v>13150.496999999999</v>
      </c>
      <c r="L94" s="105">
        <f t="shared" si="26"/>
        <v>12595.133</v>
      </c>
      <c r="M94" s="105">
        <f t="shared" si="26"/>
        <v>12158</v>
      </c>
      <c r="N94" s="105">
        <f t="shared" si="26"/>
        <v>12724</v>
      </c>
      <c r="O94" s="105">
        <f t="shared" si="26"/>
        <v>16597</v>
      </c>
      <c r="P94" s="105">
        <f t="shared" si="26"/>
        <v>21038</v>
      </c>
      <c r="Q94" s="105">
        <f t="shared" si="26"/>
        <v>24895</v>
      </c>
      <c r="R94" s="449">
        <f t="shared" si="26"/>
        <v>24680</v>
      </c>
      <c r="S94" s="77">
        <f t="shared" si="26"/>
        <v>24375</v>
      </c>
    </row>
    <row r="95" spans="1:19" x14ac:dyDescent="0.2">
      <c r="G95" s="451" t="s">
        <v>206</v>
      </c>
      <c r="H95" s="87">
        <f t="shared" ref="H95:R95" si="27">H87</f>
        <v>2011</v>
      </c>
      <c r="I95" s="87">
        <f t="shared" si="27"/>
        <v>2012</v>
      </c>
      <c r="J95" s="87">
        <f t="shared" si="27"/>
        <v>2013</v>
      </c>
      <c r="K95" s="87">
        <f t="shared" si="27"/>
        <v>2014</v>
      </c>
      <c r="L95" s="87">
        <f t="shared" si="27"/>
        <v>2015</v>
      </c>
      <c r="M95" s="87">
        <f t="shared" si="27"/>
        <v>2016</v>
      </c>
      <c r="N95" s="87">
        <v>2017</v>
      </c>
      <c r="O95" s="87">
        <v>2018</v>
      </c>
      <c r="P95" s="87">
        <f t="shared" si="27"/>
        <v>2019</v>
      </c>
      <c r="Q95" s="87">
        <f t="shared" si="27"/>
        <v>2020</v>
      </c>
      <c r="R95" s="443">
        <f t="shared" si="27"/>
        <v>2021</v>
      </c>
      <c r="S95" s="444">
        <v>2021</v>
      </c>
    </row>
    <row r="96" spans="1:19" x14ac:dyDescent="0.2">
      <c r="A96" s="34" t="s">
        <v>506</v>
      </c>
      <c r="B96" s="2" t="s">
        <v>207</v>
      </c>
      <c r="C96" s="10" t="s">
        <v>208</v>
      </c>
      <c r="E96" s="109"/>
      <c r="F96" s="37"/>
      <c r="G96" s="103" t="s">
        <v>209</v>
      </c>
      <c r="H96" s="105">
        <f t="shared" ref="H96:S96" si="28">H6+H12</f>
        <v>11.016999999999999</v>
      </c>
      <c r="I96" s="77">
        <f t="shared" si="28"/>
        <v>18.673999999999999</v>
      </c>
      <c r="J96" s="77">
        <f t="shared" si="28"/>
        <v>86.281000000000006</v>
      </c>
      <c r="K96" s="77">
        <f t="shared" si="28"/>
        <v>131.708</v>
      </c>
      <c r="L96" s="77">
        <f t="shared" si="28"/>
        <v>241.791</v>
      </c>
      <c r="M96" s="77">
        <f t="shared" si="28"/>
        <v>1083</v>
      </c>
      <c r="N96" s="77">
        <f t="shared" si="28"/>
        <v>215</v>
      </c>
      <c r="O96" s="77">
        <f t="shared" si="28"/>
        <v>300</v>
      </c>
      <c r="P96" s="77">
        <f t="shared" si="28"/>
        <v>315</v>
      </c>
      <c r="Q96" s="77">
        <f t="shared" si="28"/>
        <v>350</v>
      </c>
      <c r="R96" s="434">
        <f t="shared" si="28"/>
        <v>423</v>
      </c>
      <c r="S96" s="77">
        <f t="shared" si="28"/>
        <v>445</v>
      </c>
    </row>
    <row r="97" spans="1:19" x14ac:dyDescent="0.2">
      <c r="A97" s="8" t="s">
        <v>507</v>
      </c>
      <c r="B97" s="2" t="s">
        <v>210</v>
      </c>
      <c r="C97" s="8" t="s">
        <v>42</v>
      </c>
      <c r="E97" s="109"/>
      <c r="F97" s="37"/>
      <c r="G97" s="110" t="s">
        <v>211</v>
      </c>
      <c r="H97" s="105">
        <f>H19</f>
        <v>1496.499</v>
      </c>
      <c r="I97" s="105">
        <f t="shared" ref="I97:S97" si="29">I19</f>
        <v>1545.6080000000002</v>
      </c>
      <c r="J97" s="105">
        <f t="shared" si="29"/>
        <v>3026.9259999999999</v>
      </c>
      <c r="K97" s="105">
        <f t="shared" si="29"/>
        <v>949.67100000000005</v>
      </c>
      <c r="L97" s="105">
        <f t="shared" si="29"/>
        <v>355.21</v>
      </c>
      <c r="M97" s="105">
        <f t="shared" si="29"/>
        <v>1151</v>
      </c>
      <c r="N97" s="105">
        <f t="shared" si="29"/>
        <v>225</v>
      </c>
      <c r="O97" s="105">
        <f t="shared" si="29"/>
        <v>352</v>
      </c>
      <c r="P97" s="105">
        <f t="shared" si="29"/>
        <v>350</v>
      </c>
      <c r="Q97" s="105">
        <f t="shared" si="29"/>
        <v>350</v>
      </c>
      <c r="R97" s="449">
        <f t="shared" si="29"/>
        <v>350</v>
      </c>
      <c r="S97" s="77">
        <f t="shared" si="29"/>
        <v>350</v>
      </c>
    </row>
    <row r="98" spans="1:19" x14ac:dyDescent="0.2">
      <c r="A98" s="8" t="s">
        <v>508</v>
      </c>
      <c r="B98" s="2" t="s">
        <v>509</v>
      </c>
      <c r="C98" s="8" t="s">
        <v>510</v>
      </c>
      <c r="E98" s="109"/>
      <c r="F98" s="37"/>
      <c r="G98" s="110" t="s">
        <v>212</v>
      </c>
      <c r="H98" s="105">
        <f t="shared" ref="H98:S98" si="30">H97-H96</f>
        <v>1485.482</v>
      </c>
      <c r="I98" s="77">
        <f t="shared" si="30"/>
        <v>1526.9340000000002</v>
      </c>
      <c r="J98" s="77">
        <f t="shared" si="30"/>
        <v>2940.645</v>
      </c>
      <c r="K98" s="77">
        <f t="shared" si="30"/>
        <v>817.96300000000008</v>
      </c>
      <c r="L98" s="77">
        <f t="shared" si="30"/>
        <v>113.41899999999998</v>
      </c>
      <c r="M98" s="77">
        <f t="shared" si="30"/>
        <v>68</v>
      </c>
      <c r="N98" s="77">
        <f t="shared" si="30"/>
        <v>10</v>
      </c>
      <c r="O98" s="77">
        <f t="shared" si="30"/>
        <v>52</v>
      </c>
      <c r="P98" s="77">
        <f t="shared" si="30"/>
        <v>35</v>
      </c>
      <c r="Q98" s="77">
        <f t="shared" si="30"/>
        <v>0</v>
      </c>
      <c r="R98" s="434">
        <f t="shared" si="30"/>
        <v>-73</v>
      </c>
      <c r="S98" s="77">
        <f t="shared" si="30"/>
        <v>-95</v>
      </c>
    </row>
    <row r="99" spans="1:19" x14ac:dyDescent="0.2">
      <c r="A99" s="34" t="s">
        <v>511</v>
      </c>
      <c r="B99" s="2" t="s">
        <v>512</v>
      </c>
      <c r="C99" s="8" t="s">
        <v>513</v>
      </c>
      <c r="E99" s="106">
        <v>0.4</v>
      </c>
      <c r="F99" s="37"/>
      <c r="G99" s="110" t="s">
        <v>213</v>
      </c>
      <c r="H99" s="115">
        <f t="shared" ref="H99:S99" si="31">H98/H33</f>
        <v>0.54124654725698906</v>
      </c>
      <c r="I99" s="108">
        <f t="shared" si="31"/>
        <v>0.32966020861678796</v>
      </c>
      <c r="J99" s="108">
        <f t="shared" si="31"/>
        <v>0.59672809047498065</v>
      </c>
      <c r="K99" s="108">
        <f t="shared" si="31"/>
        <v>0.39574673965895546</v>
      </c>
      <c r="L99" s="108">
        <f t="shared" si="31"/>
        <v>3.563809948151167E-2</v>
      </c>
      <c r="M99" s="108">
        <f t="shared" si="31"/>
        <v>2.0353187668362766E-2</v>
      </c>
      <c r="N99" s="108">
        <f t="shared" si="31"/>
        <v>2.0669698222405952E-3</v>
      </c>
      <c r="O99" s="108">
        <f t="shared" si="31"/>
        <v>6.6132519394633089E-3</v>
      </c>
      <c r="P99" s="108">
        <f t="shared" si="31"/>
        <v>4.0142218144282602E-3</v>
      </c>
      <c r="Q99" s="108">
        <f t="shared" si="31"/>
        <v>0</v>
      </c>
      <c r="R99" s="447">
        <f t="shared" si="31"/>
        <v>-1.4786307474174599E-2</v>
      </c>
      <c r="S99" s="108">
        <f t="shared" si="31"/>
        <v>-1.9242454932145027E-2</v>
      </c>
    </row>
    <row r="100" spans="1:19" x14ac:dyDescent="0.2">
      <c r="A100" s="8" t="s">
        <v>514</v>
      </c>
      <c r="B100" s="2" t="s">
        <v>214</v>
      </c>
      <c r="C100" s="8" t="s">
        <v>515</v>
      </c>
      <c r="D100" s="116">
        <v>0</v>
      </c>
      <c r="E100" s="116">
        <v>5</v>
      </c>
      <c r="F100" s="37"/>
      <c r="G100" s="110" t="s">
        <v>215</v>
      </c>
      <c r="H100" s="111">
        <f t="shared" ref="H100:S100" si="32">H98/H89</f>
        <v>2.4152843582631225</v>
      </c>
      <c r="I100" s="111">
        <f t="shared" si="32"/>
        <v>0.45688161676657468</v>
      </c>
      <c r="J100" s="111">
        <f t="shared" si="32"/>
        <v>0.88448617661841256</v>
      </c>
      <c r="K100" s="111">
        <f t="shared" si="32"/>
        <v>4.2969043028771781</v>
      </c>
      <c r="L100" s="111">
        <f t="shared" si="32"/>
        <v>0.10700006603835886</v>
      </c>
      <c r="M100" s="111">
        <f>M98/M89</f>
        <v>5.8119658119658121E-2</v>
      </c>
      <c r="N100" s="111">
        <f t="shared" si="32"/>
        <v>4.6904315196998128E-3</v>
      </c>
      <c r="O100" s="111">
        <f t="shared" si="32"/>
        <v>9.5553105475927966E-3</v>
      </c>
      <c r="P100" s="111">
        <f t="shared" si="32"/>
        <v>5.6698525838328202E-3</v>
      </c>
      <c r="Q100" s="111">
        <f t="shared" si="32"/>
        <v>0</v>
      </c>
      <c r="R100" s="448">
        <f t="shared" si="32"/>
        <v>-3.8974906567004808E-2</v>
      </c>
      <c r="S100" s="111">
        <f t="shared" si="32"/>
        <v>-5.1686615886833515E-2</v>
      </c>
    </row>
    <row r="101" spans="1:19" x14ac:dyDescent="0.2">
      <c r="A101" s="8" t="s">
        <v>516</v>
      </c>
      <c r="B101" s="2" t="s">
        <v>216</v>
      </c>
      <c r="C101" s="8" t="s">
        <v>217</v>
      </c>
      <c r="E101" s="109"/>
      <c r="F101" s="37"/>
      <c r="G101" s="110" t="s">
        <v>218</v>
      </c>
      <c r="H101" s="105">
        <f t="shared" ref="H101:S101" si="33">-(H75+H77+H78+H79+H80+H81)</f>
        <v>1360.9949999999999</v>
      </c>
      <c r="I101" s="105">
        <f t="shared" si="33"/>
        <v>890.91700000000003</v>
      </c>
      <c r="J101" s="105">
        <f t="shared" si="33"/>
        <v>457.74200000000008</v>
      </c>
      <c r="K101" s="105">
        <f t="shared" si="33"/>
        <v>752.82</v>
      </c>
      <c r="L101" s="105">
        <f t="shared" si="33"/>
        <v>667.298</v>
      </c>
      <c r="M101" s="105">
        <f t="shared" si="33"/>
        <v>71</v>
      </c>
      <c r="N101" s="105">
        <f t="shared" si="33"/>
        <v>9</v>
      </c>
      <c r="O101" s="105">
        <f t="shared" si="33"/>
        <v>3</v>
      </c>
      <c r="P101" s="105">
        <f t="shared" si="33"/>
        <v>1</v>
      </c>
      <c r="Q101" s="105">
        <f t="shared" si="33"/>
        <v>1</v>
      </c>
      <c r="R101" s="449">
        <f t="shared" si="33"/>
        <v>1</v>
      </c>
      <c r="S101" s="77">
        <f t="shared" si="33"/>
        <v>1</v>
      </c>
    </row>
    <row r="102" spans="1:19" x14ac:dyDescent="0.2">
      <c r="A102" s="8" t="s">
        <v>517</v>
      </c>
      <c r="B102" s="2" t="s">
        <v>219</v>
      </c>
      <c r="C102" s="8" t="s">
        <v>518</v>
      </c>
      <c r="E102" s="116">
        <v>1.2</v>
      </c>
      <c r="F102" s="37"/>
      <c r="G102" s="110" t="s">
        <v>220</v>
      </c>
      <c r="H102" s="117">
        <f t="shared" ref="H102:S102" si="34">H89/H101</f>
        <v>0.4519002641449818</v>
      </c>
      <c r="I102" s="111">
        <f t="shared" si="34"/>
        <v>3.7512787386479318</v>
      </c>
      <c r="J102" s="111">
        <f t="shared" si="34"/>
        <v>7.2632465449969628</v>
      </c>
      <c r="K102" s="111">
        <f t="shared" si="34"/>
        <v>0.25286389840864937</v>
      </c>
      <c r="L102" s="111">
        <f t="shared" si="34"/>
        <v>1.5884807087687955</v>
      </c>
      <c r="M102" s="111">
        <f t="shared" si="34"/>
        <v>16.47887323943662</v>
      </c>
      <c r="N102" s="111">
        <f t="shared" si="34"/>
        <v>236.88888888888889</v>
      </c>
      <c r="O102" s="111">
        <f t="shared" si="34"/>
        <v>1814</v>
      </c>
      <c r="P102" s="111">
        <f t="shared" si="34"/>
        <v>6173</v>
      </c>
      <c r="Q102" s="111">
        <f t="shared" si="34"/>
        <v>5773</v>
      </c>
      <c r="R102" s="448">
        <f t="shared" si="34"/>
        <v>1873</v>
      </c>
      <c r="S102" s="111">
        <f t="shared" si="34"/>
        <v>1838</v>
      </c>
    </row>
    <row r="103" spans="1:19" x14ac:dyDescent="0.2">
      <c r="A103" s="38" t="s">
        <v>519</v>
      </c>
      <c r="B103" s="2" t="s">
        <v>221</v>
      </c>
      <c r="C103" s="8" t="s">
        <v>222</v>
      </c>
      <c r="E103" s="116">
        <v>0</v>
      </c>
      <c r="F103" s="37"/>
      <c r="G103" s="103" t="s">
        <v>223</v>
      </c>
      <c r="H103" s="105">
        <f t="shared" ref="H103:S103" si="35">H5-H20</f>
        <v>-99.356999999999971</v>
      </c>
      <c r="I103" s="105">
        <f t="shared" si="35"/>
        <v>-59.982999999999947</v>
      </c>
      <c r="J103" s="105">
        <f t="shared" si="35"/>
        <v>-566.62400000000025</v>
      </c>
      <c r="K103" s="105">
        <f t="shared" si="35"/>
        <v>70.388999999999896</v>
      </c>
      <c r="L103" s="105">
        <f t="shared" si="35"/>
        <v>144.71299999999997</v>
      </c>
      <c r="M103" s="105">
        <f t="shared" si="35"/>
        <v>155</v>
      </c>
      <c r="N103" s="105">
        <f t="shared" si="35"/>
        <v>165</v>
      </c>
      <c r="O103" s="105">
        <f t="shared" si="35"/>
        <v>171</v>
      </c>
      <c r="P103" s="105">
        <f t="shared" si="35"/>
        <v>205</v>
      </c>
      <c r="Q103" s="105">
        <f t="shared" si="35"/>
        <v>240</v>
      </c>
      <c r="R103" s="449">
        <f t="shared" si="35"/>
        <v>275</v>
      </c>
      <c r="S103" s="77">
        <f t="shared" si="35"/>
        <v>275</v>
      </c>
    </row>
    <row r="104" spans="1:19" x14ac:dyDescent="0.2">
      <c r="A104" s="34" t="s">
        <v>520</v>
      </c>
      <c r="B104" s="2" t="s">
        <v>224</v>
      </c>
      <c r="C104" s="8" t="s">
        <v>225</v>
      </c>
      <c r="E104" s="116">
        <v>1</v>
      </c>
      <c r="F104" s="37"/>
      <c r="G104" s="110" t="s">
        <v>226</v>
      </c>
      <c r="H104" s="117">
        <f t="shared" ref="H104:S104" si="36">H5/H20</f>
        <v>0.92016991722681718</v>
      </c>
      <c r="I104" s="117">
        <f t="shared" si="36"/>
        <v>0.95453105196451205</v>
      </c>
      <c r="J104" s="117">
        <f t="shared" si="36"/>
        <v>0.80322344271460955</v>
      </c>
      <c r="K104" s="117">
        <f t="shared" si="36"/>
        <v>1.080806121101844</v>
      </c>
      <c r="L104" s="117">
        <f t="shared" si="36"/>
        <v>1.4202497458980687</v>
      </c>
      <c r="M104" s="117">
        <f t="shared" si="36"/>
        <v>1.1348999129677981</v>
      </c>
      <c r="N104" s="452">
        <f t="shared" si="36"/>
        <v>1.7333333333333334</v>
      </c>
      <c r="O104" s="117">
        <f t="shared" si="36"/>
        <v>1.4885714285714287</v>
      </c>
      <c r="P104" s="117">
        <f t="shared" si="36"/>
        <v>1.5857142857142856</v>
      </c>
      <c r="Q104" s="117">
        <f t="shared" si="36"/>
        <v>1.6857142857142857</v>
      </c>
      <c r="R104" s="453">
        <f t="shared" si="36"/>
        <v>1.7857142857142858</v>
      </c>
      <c r="S104" s="111">
        <f t="shared" si="36"/>
        <v>1.7857142857142858</v>
      </c>
    </row>
    <row r="105" spans="1:19" x14ac:dyDescent="0.2">
      <c r="A105" s="34" t="s">
        <v>521</v>
      </c>
      <c r="B105" s="2" t="s">
        <v>227</v>
      </c>
      <c r="C105" s="34" t="s">
        <v>228</v>
      </c>
      <c r="E105" s="116">
        <v>1</v>
      </c>
      <c r="F105" s="37"/>
      <c r="G105" s="46" t="s">
        <v>229</v>
      </c>
      <c r="H105" s="117">
        <f t="shared" ref="H105:S105" si="37">-H6/((H38+H41-H45+H47)/12)</f>
        <v>6.1112330958098635E-2</v>
      </c>
      <c r="I105" s="117">
        <f t="shared" si="37"/>
        <v>0.17146976048041651</v>
      </c>
      <c r="J105" s="117">
        <f t="shared" si="37"/>
        <v>0.6403929796088017</v>
      </c>
      <c r="K105" s="117">
        <f t="shared" si="37"/>
        <v>0.83609705415891211</v>
      </c>
      <c r="L105" s="117">
        <f t="shared" si="37"/>
        <v>1.3653193345561558</v>
      </c>
      <c r="M105" s="117">
        <f t="shared" si="37"/>
        <v>5.9861814831874716</v>
      </c>
      <c r="N105" s="117">
        <f t="shared" si="37"/>
        <v>0.95308459549316582</v>
      </c>
      <c r="O105" s="117">
        <f t="shared" si="37"/>
        <v>1.4863748967795209</v>
      </c>
      <c r="P105" s="117">
        <f t="shared" si="37"/>
        <v>1.4840989399293287</v>
      </c>
      <c r="Q105" s="117">
        <f t="shared" si="37"/>
        <v>1.5412844036697246</v>
      </c>
      <c r="R105" s="453">
        <f t="shared" si="37"/>
        <v>1.6561174551386624</v>
      </c>
      <c r="S105" s="111">
        <f t="shared" si="37"/>
        <v>1.7225806451612904</v>
      </c>
    </row>
    <row r="106" spans="1:19" x14ac:dyDescent="0.2">
      <c r="C106" s="8"/>
      <c r="F106" s="37"/>
      <c r="G106" s="451" t="s">
        <v>230</v>
      </c>
      <c r="H106" s="87">
        <f t="shared" ref="H106:R106" si="38">H95</f>
        <v>2011</v>
      </c>
      <c r="I106" s="87">
        <f t="shared" si="38"/>
        <v>2012</v>
      </c>
      <c r="J106" s="87">
        <f t="shared" si="38"/>
        <v>2013</v>
      </c>
      <c r="K106" s="87">
        <f t="shared" si="38"/>
        <v>2014</v>
      </c>
      <c r="L106" s="87">
        <f t="shared" si="38"/>
        <v>2015</v>
      </c>
      <c r="M106" s="87">
        <f t="shared" si="38"/>
        <v>2016</v>
      </c>
      <c r="N106" s="87">
        <v>2017</v>
      </c>
      <c r="O106" s="87">
        <v>2018</v>
      </c>
      <c r="P106" s="87">
        <f t="shared" si="38"/>
        <v>2019</v>
      </c>
      <c r="Q106" s="87">
        <f t="shared" si="38"/>
        <v>2020</v>
      </c>
      <c r="R106" s="443">
        <f t="shared" si="38"/>
        <v>2021</v>
      </c>
      <c r="S106" s="444">
        <v>2022</v>
      </c>
    </row>
    <row r="107" spans="1:19" x14ac:dyDescent="0.2">
      <c r="A107" s="34" t="s">
        <v>522</v>
      </c>
      <c r="B107" s="2" t="s">
        <v>231</v>
      </c>
      <c r="C107" s="34" t="s">
        <v>232</v>
      </c>
      <c r="E107" s="106">
        <v>0.6</v>
      </c>
      <c r="F107" s="37"/>
      <c r="G107" s="103" t="s">
        <v>233</v>
      </c>
      <c r="H107" s="115">
        <f t="shared" ref="H107:S107" si="39">H17/H4</f>
        <v>0</v>
      </c>
      <c r="I107" s="115">
        <f t="shared" si="39"/>
        <v>0</v>
      </c>
      <c r="J107" s="115">
        <f t="shared" si="39"/>
        <v>0</v>
      </c>
      <c r="K107" s="115">
        <f t="shared" si="39"/>
        <v>0</v>
      </c>
      <c r="L107" s="115">
        <f t="shared" si="39"/>
        <v>0</v>
      </c>
      <c r="M107" s="115">
        <f t="shared" si="39"/>
        <v>0</v>
      </c>
      <c r="N107" s="115">
        <f t="shared" si="39"/>
        <v>0</v>
      </c>
      <c r="O107" s="115">
        <f t="shared" si="39"/>
        <v>0</v>
      </c>
      <c r="P107" s="115">
        <f t="shared" si="39"/>
        <v>0</v>
      </c>
      <c r="Q107" s="115">
        <f t="shared" si="39"/>
        <v>0</v>
      </c>
      <c r="R107" s="454">
        <f t="shared" si="39"/>
        <v>0</v>
      </c>
      <c r="S107" s="108">
        <f t="shared" si="39"/>
        <v>0</v>
      </c>
    </row>
    <row r="108" spans="1:19" x14ac:dyDescent="0.2">
      <c r="A108" s="34" t="s">
        <v>523</v>
      </c>
      <c r="B108" s="2" t="s">
        <v>234</v>
      </c>
      <c r="C108" s="34" t="s">
        <v>235</v>
      </c>
      <c r="E108" s="106">
        <v>0.4</v>
      </c>
      <c r="F108" s="37"/>
      <c r="G108" s="46" t="s">
        <v>236</v>
      </c>
      <c r="H108" s="115" t="e">
        <f t="shared" ref="H108:S108" si="40">H27/H17</f>
        <v>#DIV/0!</v>
      </c>
      <c r="I108" s="115" t="e">
        <f t="shared" si="40"/>
        <v>#DIV/0!</v>
      </c>
      <c r="J108" s="115" t="e">
        <f t="shared" si="40"/>
        <v>#DIV/0!</v>
      </c>
      <c r="K108" s="115" t="e">
        <f t="shared" si="40"/>
        <v>#DIV/0!</v>
      </c>
      <c r="L108" s="115" t="e">
        <f t="shared" si="40"/>
        <v>#DIV/0!</v>
      </c>
      <c r="M108" s="115" t="e">
        <f t="shared" si="40"/>
        <v>#DIV/0!</v>
      </c>
      <c r="N108" s="115" t="e">
        <f t="shared" si="40"/>
        <v>#DIV/0!</v>
      </c>
      <c r="O108" s="115" t="e">
        <f t="shared" si="40"/>
        <v>#DIV/0!</v>
      </c>
      <c r="P108" s="115" t="e">
        <f t="shared" si="40"/>
        <v>#DIV/0!</v>
      </c>
      <c r="Q108" s="115" t="e">
        <f t="shared" si="40"/>
        <v>#DIV/0!</v>
      </c>
      <c r="R108" s="454" t="e">
        <f t="shared" si="40"/>
        <v>#DIV/0!</v>
      </c>
      <c r="S108" s="108" t="e">
        <f t="shared" si="40"/>
        <v>#DIV/0!</v>
      </c>
    </row>
    <row r="109" spans="1:19" x14ac:dyDescent="0.2">
      <c r="C109" s="8"/>
      <c r="F109" s="37"/>
      <c r="G109" s="455" t="s">
        <v>237</v>
      </c>
      <c r="H109" s="87">
        <f t="shared" ref="H109:R109" si="41">H95</f>
        <v>2011</v>
      </c>
      <c r="I109" s="87">
        <f t="shared" si="41"/>
        <v>2012</v>
      </c>
      <c r="J109" s="87">
        <f t="shared" si="41"/>
        <v>2013</v>
      </c>
      <c r="K109" s="87">
        <f t="shared" si="41"/>
        <v>2014</v>
      </c>
      <c r="L109" s="87">
        <f t="shared" si="41"/>
        <v>2015</v>
      </c>
      <c r="M109" s="87">
        <f t="shared" si="41"/>
        <v>2016</v>
      </c>
      <c r="N109" s="87">
        <v>2017</v>
      </c>
      <c r="O109" s="87">
        <v>2018</v>
      </c>
      <c r="P109" s="87">
        <f t="shared" si="41"/>
        <v>2019</v>
      </c>
      <c r="Q109" s="87">
        <f t="shared" si="41"/>
        <v>2020</v>
      </c>
      <c r="R109" s="443">
        <f t="shared" si="41"/>
        <v>2021</v>
      </c>
      <c r="S109" s="444">
        <v>2022</v>
      </c>
    </row>
    <row r="110" spans="1:19" x14ac:dyDescent="0.2">
      <c r="A110" s="34" t="s">
        <v>524</v>
      </c>
      <c r="B110" s="2" t="s">
        <v>238</v>
      </c>
      <c r="C110" s="39" t="s">
        <v>239</v>
      </c>
      <c r="E110" s="109"/>
      <c r="F110" s="37"/>
      <c r="G110" s="110" t="s">
        <v>240</v>
      </c>
      <c r="H110" s="118">
        <f t="shared" ref="H110:S110" si="42">H10/H4</f>
        <v>0.93113392237407755</v>
      </c>
      <c r="I110" s="118">
        <f t="shared" si="42"/>
        <v>0.93267713016088105</v>
      </c>
      <c r="J110" s="118">
        <f t="shared" si="42"/>
        <v>0.8949660012971522</v>
      </c>
      <c r="K110" s="118">
        <f t="shared" si="42"/>
        <v>0.94950430523219043</v>
      </c>
      <c r="L110" s="118">
        <f t="shared" si="42"/>
        <v>0.97204525866922631</v>
      </c>
      <c r="M110" s="118">
        <f t="shared" si="42"/>
        <v>0.9269590545006442</v>
      </c>
      <c r="N110" s="118">
        <f t="shared" si="42"/>
        <v>0.97770536786143025</v>
      </c>
      <c r="O110" s="118">
        <f t="shared" si="42"/>
        <v>0.9757595496208068</v>
      </c>
      <c r="P110" s="118">
        <f t="shared" si="42"/>
        <v>0.97859787135585374</v>
      </c>
      <c r="Q110" s="118">
        <f t="shared" si="42"/>
        <v>0.98019403135385541</v>
      </c>
      <c r="R110" s="456">
        <f t="shared" si="42"/>
        <v>0.97886657198890914</v>
      </c>
      <c r="S110" s="118">
        <f t="shared" si="42"/>
        <v>0.97864634937989003</v>
      </c>
    </row>
    <row r="111" spans="1:19" x14ac:dyDescent="0.2">
      <c r="A111" s="34" t="s">
        <v>525</v>
      </c>
      <c r="B111" s="2" t="s">
        <v>241</v>
      </c>
      <c r="C111" s="39" t="s">
        <v>242</v>
      </c>
      <c r="E111" s="109"/>
      <c r="F111" s="37"/>
      <c r="G111" s="110" t="s">
        <v>243</v>
      </c>
      <c r="H111" s="118">
        <f t="shared" ref="H111:S111" si="43">-(H58)/H15</f>
        <v>0.12365141896667689</v>
      </c>
      <c r="I111" s="118">
        <f t="shared" si="43"/>
        <v>5.0470704854076592E-2</v>
      </c>
      <c r="J111" s="118">
        <f t="shared" si="43"/>
        <v>0.10478871331374251</v>
      </c>
      <c r="K111" s="118">
        <f t="shared" si="43"/>
        <v>0.11895147175806414</v>
      </c>
      <c r="L111" s="118">
        <f t="shared" si="43"/>
        <v>5.7294817172868308E-2</v>
      </c>
      <c r="M111" s="118">
        <f t="shared" si="43"/>
        <v>6.9853163333131907E-2</v>
      </c>
      <c r="N111" s="118">
        <f t="shared" si="43"/>
        <v>0.11853927156796444</v>
      </c>
      <c r="O111" s="118">
        <f t="shared" si="43"/>
        <v>0.25925042914362006</v>
      </c>
      <c r="P111" s="118">
        <f t="shared" si="43"/>
        <v>0.24183315600740829</v>
      </c>
      <c r="Q111" s="118">
        <f t="shared" si="43"/>
        <v>0.19123333333333334</v>
      </c>
      <c r="R111" s="456">
        <f t="shared" si="43"/>
        <v>6.3456423365228512E-2</v>
      </c>
      <c r="S111" s="118">
        <f t="shared" si="43"/>
        <v>6.4132104454685104E-2</v>
      </c>
    </row>
    <row r="112" spans="1:19" x14ac:dyDescent="0.2">
      <c r="A112" s="34" t="s">
        <v>526</v>
      </c>
      <c r="B112" s="2" t="s">
        <v>244</v>
      </c>
      <c r="C112" s="8" t="s">
        <v>245</v>
      </c>
      <c r="E112" s="109"/>
      <c r="F112" s="37"/>
      <c r="G112" s="103" t="s">
        <v>246</v>
      </c>
      <c r="H112" s="111">
        <f t="shared" ref="H112:S112" si="44">H33/H4</f>
        <v>0.16503561706735304</v>
      </c>
      <c r="I112" s="111">
        <f t="shared" si="44"/>
        <v>0.2476355663851694</v>
      </c>
      <c r="J112" s="111">
        <f t="shared" si="44"/>
        <v>0.22378863812005392</v>
      </c>
      <c r="K112" s="111">
        <f t="shared" si="44"/>
        <v>0.1108567991045576</v>
      </c>
      <c r="L112" s="111">
        <f t="shared" si="44"/>
        <v>0.18191225125342858</v>
      </c>
      <c r="M112" s="111">
        <f t="shared" si="44"/>
        <v>0.18713941634459194</v>
      </c>
      <c r="N112" s="111">
        <f t="shared" si="44"/>
        <v>0.27656776996512888</v>
      </c>
      <c r="O112" s="111">
        <f t="shared" si="44"/>
        <v>0.36584004094356304</v>
      </c>
      <c r="P112" s="111">
        <f t="shared" si="44"/>
        <v>0.33622551287983959</v>
      </c>
      <c r="Q112" s="111">
        <f t="shared" si="44"/>
        <v>0.28523951794286484</v>
      </c>
      <c r="R112" s="448">
        <f t="shared" si="44"/>
        <v>0.16693717454520862</v>
      </c>
      <c r="S112" s="111">
        <f t="shared" si="44"/>
        <v>0.16867675697837303</v>
      </c>
    </row>
    <row r="113" spans="1:19" x14ac:dyDescent="0.2">
      <c r="A113" s="34" t="s">
        <v>527</v>
      </c>
      <c r="B113" s="2" t="s">
        <v>247</v>
      </c>
      <c r="C113" s="39" t="s">
        <v>248</v>
      </c>
      <c r="E113" s="109"/>
      <c r="F113" s="37"/>
      <c r="G113" s="46" t="s">
        <v>249</v>
      </c>
      <c r="H113" s="111">
        <f t="shared" ref="H113:S113" si="45">H33/H15</f>
        <v>0.18062403997141135</v>
      </c>
      <c r="I113" s="111">
        <f t="shared" si="45"/>
        <v>0.26851617549197321</v>
      </c>
      <c r="J113" s="111">
        <f t="shared" si="45"/>
        <v>0.25956496179461569</v>
      </c>
      <c r="K113" s="111">
        <f t="shared" si="45"/>
        <v>0.11716476555737902</v>
      </c>
      <c r="L113" s="111">
        <f t="shared" si="45"/>
        <v>0.18721170984017665</v>
      </c>
      <c r="M113" s="111">
        <f t="shared" si="45"/>
        <v>0.20188531029065201</v>
      </c>
      <c r="N113" s="111">
        <f t="shared" si="45"/>
        <v>0.23369722732103179</v>
      </c>
      <c r="O113" s="111">
        <f t="shared" si="45"/>
        <v>0.37492847606332252</v>
      </c>
      <c r="P113" s="111">
        <f t="shared" si="45"/>
        <v>0.34357883122512511</v>
      </c>
      <c r="Q113" s="111">
        <f t="shared" si="45"/>
        <v>0.28323333333333334</v>
      </c>
      <c r="R113" s="448">
        <f t="shared" si="45"/>
        <v>0.17054129676327334</v>
      </c>
      <c r="S113" s="111">
        <f t="shared" si="45"/>
        <v>0.17235721267979331</v>
      </c>
    </row>
    <row r="114" spans="1:19" x14ac:dyDescent="0.2">
      <c r="A114" s="8" t="s">
        <v>528</v>
      </c>
      <c r="B114" s="2" t="s">
        <v>250</v>
      </c>
      <c r="C114" s="39" t="s">
        <v>251</v>
      </c>
      <c r="D114" s="106">
        <v>0.5</v>
      </c>
      <c r="E114" s="106">
        <f>1/3</f>
        <v>0.33333333333333331</v>
      </c>
      <c r="F114" s="37"/>
      <c r="G114" s="110" t="s">
        <v>252</v>
      </c>
      <c r="H114" s="118">
        <f t="shared" ref="H114:S114" si="46">H27/H4</f>
        <v>0.91001262831485741</v>
      </c>
      <c r="I114" s="118">
        <f t="shared" si="46"/>
        <v>0.91736602576481474</v>
      </c>
      <c r="J114" s="118">
        <f t="shared" si="46"/>
        <v>0.86254082891495976</v>
      </c>
      <c r="K114" s="118">
        <f t="shared" si="46"/>
        <v>0.94906471506367063</v>
      </c>
      <c r="L114" s="118">
        <f t="shared" si="46"/>
        <v>0.97969632600838175</v>
      </c>
      <c r="M114" s="118">
        <f t="shared" si="46"/>
        <v>0.93552904273791515</v>
      </c>
      <c r="N114" s="118">
        <f t="shared" si="46"/>
        <v>0.98713771222774827</v>
      </c>
      <c r="O114" s="118">
        <f t="shared" si="46"/>
        <v>0.98362257479179271</v>
      </c>
      <c r="P114" s="118">
        <f t="shared" si="46"/>
        <v>0.98650316211630418</v>
      </c>
      <c r="Q114" s="118">
        <f t="shared" si="46"/>
        <v>0.98825069656584641</v>
      </c>
      <c r="R114" s="456">
        <f t="shared" si="46"/>
        <v>0.98816528031378914</v>
      </c>
      <c r="S114" s="118">
        <f t="shared" si="46"/>
        <v>0.98804195565273845</v>
      </c>
    </row>
    <row r="115" spans="1:19" x14ac:dyDescent="0.2">
      <c r="A115" s="40"/>
      <c r="C115" s="40"/>
      <c r="D115" s="41"/>
      <c r="E115" s="42"/>
      <c r="F115" s="37"/>
      <c r="G115" s="94" t="s">
        <v>253</v>
      </c>
      <c r="H115" s="87">
        <f t="shared" ref="H115:R115" si="47">H109</f>
        <v>2011</v>
      </c>
      <c r="I115" s="87">
        <f t="shared" si="47"/>
        <v>2012</v>
      </c>
      <c r="J115" s="87">
        <f t="shared" si="47"/>
        <v>2013</v>
      </c>
      <c r="K115" s="87">
        <f t="shared" si="47"/>
        <v>2014</v>
      </c>
      <c r="L115" s="87">
        <f t="shared" si="47"/>
        <v>2015</v>
      </c>
      <c r="M115" s="87">
        <f t="shared" si="47"/>
        <v>2016</v>
      </c>
      <c r="N115" s="87">
        <v>2017</v>
      </c>
      <c r="O115" s="87">
        <v>2018</v>
      </c>
      <c r="P115" s="87">
        <f t="shared" si="47"/>
        <v>2019</v>
      </c>
      <c r="Q115" s="87">
        <f t="shared" si="47"/>
        <v>2020</v>
      </c>
      <c r="R115" s="443">
        <f t="shared" si="47"/>
        <v>2021</v>
      </c>
      <c r="S115" s="444">
        <v>2022</v>
      </c>
    </row>
    <row r="116" spans="1:19" x14ac:dyDescent="0.2">
      <c r="A116" s="8" t="s">
        <v>529</v>
      </c>
      <c r="B116" s="2" t="s">
        <v>254</v>
      </c>
      <c r="C116" s="8" t="s">
        <v>255</v>
      </c>
      <c r="D116" s="43"/>
      <c r="E116" s="106">
        <v>0.05</v>
      </c>
      <c r="G116" s="103" t="s">
        <v>256</v>
      </c>
      <c r="H116" s="108">
        <f t="shared" ref="H116:S116" si="48">H35/H33</f>
        <v>0.38408602918430917</v>
      </c>
      <c r="I116" s="108">
        <f t="shared" si="48"/>
        <v>0.1162280578655317</v>
      </c>
      <c r="J116" s="108">
        <f t="shared" si="48"/>
        <v>0.17686996697205407</v>
      </c>
      <c r="K116" s="108">
        <f t="shared" si="48"/>
        <v>0.54262573873244047</v>
      </c>
      <c r="L116" s="108">
        <f t="shared" si="48"/>
        <v>0.38865415185005853</v>
      </c>
      <c r="M116" s="108">
        <f t="shared" si="48"/>
        <v>0.35707871894642323</v>
      </c>
      <c r="N116" s="108">
        <f t="shared" si="48"/>
        <v>0.27718065316246382</v>
      </c>
      <c r="O116" s="108">
        <f t="shared" si="48"/>
        <v>0.18796896858705328</v>
      </c>
      <c r="P116" s="108">
        <f t="shared" si="48"/>
        <v>0.1836219749971327</v>
      </c>
      <c r="Q116" s="108">
        <f t="shared" si="48"/>
        <v>0.20630810874426267</v>
      </c>
      <c r="R116" s="447">
        <f t="shared" si="48"/>
        <v>0.42434676929309295</v>
      </c>
      <c r="S116" s="108">
        <f t="shared" si="48"/>
        <v>0.42434676929309295</v>
      </c>
    </row>
    <row r="117" spans="1:19" x14ac:dyDescent="0.2">
      <c r="A117" s="8" t="s">
        <v>530</v>
      </c>
      <c r="B117" s="2" t="s">
        <v>257</v>
      </c>
      <c r="C117" s="8" t="s">
        <v>258</v>
      </c>
      <c r="E117" s="106">
        <v>0.95</v>
      </c>
      <c r="G117" s="110" t="s">
        <v>259</v>
      </c>
      <c r="H117" s="118">
        <f t="shared" ref="H117:S117" si="49">(H36+H34)/H33</f>
        <v>0.61125675291130777</v>
      </c>
      <c r="I117" s="118">
        <f t="shared" si="49"/>
        <v>0.88343017745423968</v>
      </c>
      <c r="J117" s="118">
        <f t="shared" si="49"/>
        <v>0.82292447079392883</v>
      </c>
      <c r="K117" s="118">
        <f t="shared" si="49"/>
        <v>0.45634662789656905</v>
      </c>
      <c r="L117" s="118">
        <f t="shared" si="49"/>
        <v>0.59672787705092911</v>
      </c>
      <c r="M117" s="118">
        <f t="shared" si="49"/>
        <v>0.64232265788686027</v>
      </c>
      <c r="N117" s="118">
        <f t="shared" si="49"/>
        <v>0.71889210417527905</v>
      </c>
      <c r="O117" s="118">
        <f t="shared" si="49"/>
        <v>0.811903853491034</v>
      </c>
      <c r="P117" s="118">
        <f t="shared" si="49"/>
        <v>0.81637802500286727</v>
      </c>
      <c r="Q117" s="118">
        <f t="shared" si="49"/>
        <v>0.79369189125573736</v>
      </c>
      <c r="R117" s="456">
        <f t="shared" si="49"/>
        <v>0.57565323070690699</v>
      </c>
      <c r="S117" s="118">
        <f t="shared" si="49"/>
        <v>0.57565323070690699</v>
      </c>
    </row>
    <row r="118" spans="1:19" x14ac:dyDescent="0.2">
      <c r="A118" s="8" t="s">
        <v>531</v>
      </c>
      <c r="B118" s="2" t="s">
        <v>260</v>
      </c>
      <c r="C118" s="8" t="s">
        <v>261</v>
      </c>
      <c r="E118" s="106">
        <v>0.95</v>
      </c>
      <c r="G118" s="46" t="s">
        <v>262</v>
      </c>
      <c r="H118" s="108">
        <f t="shared" ref="H118:S118" si="50">H38/(H38+H41)</f>
        <v>1.9582854670505915E-2</v>
      </c>
      <c r="I118" s="108">
        <f t="shared" si="50"/>
        <v>0</v>
      </c>
      <c r="J118" s="108">
        <f t="shared" si="50"/>
        <v>0</v>
      </c>
      <c r="K118" s="108">
        <f t="shared" si="50"/>
        <v>0</v>
      </c>
      <c r="L118" s="108">
        <f t="shared" si="50"/>
        <v>0</v>
      </c>
      <c r="M118" s="108">
        <f t="shared" si="50"/>
        <v>0</v>
      </c>
      <c r="N118" s="108">
        <f t="shared" si="50"/>
        <v>0</v>
      </c>
      <c r="O118" s="108">
        <f t="shared" si="50"/>
        <v>0</v>
      </c>
      <c r="P118" s="108">
        <f t="shared" si="50"/>
        <v>0</v>
      </c>
      <c r="Q118" s="108">
        <f t="shared" si="50"/>
        <v>0</v>
      </c>
      <c r="R118" s="447">
        <f t="shared" si="50"/>
        <v>0</v>
      </c>
      <c r="S118" s="108">
        <f t="shared" si="50"/>
        <v>0</v>
      </c>
    </row>
    <row r="119" spans="1:19" x14ac:dyDescent="0.2">
      <c r="A119" s="40"/>
      <c r="C119" s="41"/>
      <c r="D119" s="41"/>
      <c r="E119" s="42"/>
      <c r="F119" s="37"/>
      <c r="G119" s="94" t="s">
        <v>532</v>
      </c>
      <c r="H119" s="87">
        <f>H115</f>
        <v>2011</v>
      </c>
      <c r="I119" s="87">
        <f t="shared" ref="I119:R119" si="51">I115</f>
        <v>2012</v>
      </c>
      <c r="J119" s="87">
        <f t="shared" si="51"/>
        <v>2013</v>
      </c>
      <c r="K119" s="87">
        <f t="shared" si="51"/>
        <v>2014</v>
      </c>
      <c r="L119" s="87">
        <f t="shared" si="51"/>
        <v>2015</v>
      </c>
      <c r="M119" s="87">
        <f t="shared" si="51"/>
        <v>2016</v>
      </c>
      <c r="N119" s="87"/>
      <c r="O119" s="87">
        <v>2018</v>
      </c>
      <c r="P119" s="87">
        <f t="shared" si="51"/>
        <v>2019</v>
      </c>
      <c r="Q119" s="87">
        <f t="shared" si="51"/>
        <v>2020</v>
      </c>
      <c r="R119" s="443">
        <f t="shared" si="51"/>
        <v>2021</v>
      </c>
      <c r="S119" s="444">
        <v>2022</v>
      </c>
    </row>
    <row r="120" spans="1:19" x14ac:dyDescent="0.2">
      <c r="A120" s="4" t="s">
        <v>533</v>
      </c>
      <c r="B120" s="2" t="s">
        <v>263</v>
      </c>
      <c r="C120" s="8" t="s">
        <v>264</v>
      </c>
      <c r="D120" s="120">
        <v>0.5</v>
      </c>
      <c r="E120" s="121" t="s">
        <v>265</v>
      </c>
      <c r="F120" s="4"/>
      <c r="G120" s="103" t="s">
        <v>266</v>
      </c>
      <c r="H120" s="111" t="str">
        <f t="shared" ref="H120:S120" si="52">IF(H116&lt;$D$120,$E$120,H35/H4)</f>
        <v>N/A</v>
      </c>
      <c r="I120" s="111" t="str">
        <f t="shared" si="52"/>
        <v>N/A</v>
      </c>
      <c r="J120" s="111" t="str">
        <f t="shared" si="52"/>
        <v>N/A</v>
      </c>
      <c r="K120" s="111">
        <f t="shared" si="52"/>
        <v>6.0153752507624315E-2</v>
      </c>
      <c r="L120" s="111" t="str">
        <f t="shared" si="52"/>
        <v>N/A</v>
      </c>
      <c r="M120" s="111" t="str">
        <f t="shared" si="52"/>
        <v>N/A</v>
      </c>
      <c r="N120" s="111" t="str">
        <f t="shared" si="52"/>
        <v>N/A</v>
      </c>
      <c r="O120" s="111" t="str">
        <f t="shared" si="52"/>
        <v>N/A</v>
      </c>
      <c r="P120" s="111" t="str">
        <f t="shared" si="52"/>
        <v>N/A</v>
      </c>
      <c r="Q120" s="111" t="str">
        <f t="shared" si="52"/>
        <v>N/A</v>
      </c>
      <c r="R120" s="448" t="str">
        <f t="shared" si="52"/>
        <v>N/A</v>
      </c>
      <c r="S120" s="111" t="str">
        <f t="shared" si="52"/>
        <v>N/A</v>
      </c>
    </row>
    <row r="121" spans="1:19" x14ac:dyDescent="0.2">
      <c r="A121" s="4" t="s">
        <v>534</v>
      </c>
      <c r="B121" s="2" t="s">
        <v>535</v>
      </c>
      <c r="C121" s="8" t="s">
        <v>267</v>
      </c>
      <c r="D121" s="120">
        <v>0.5</v>
      </c>
      <c r="E121" s="121" t="s">
        <v>265</v>
      </c>
      <c r="F121" s="4"/>
      <c r="G121" s="110" t="s">
        <v>268</v>
      </c>
      <c r="H121" s="111" t="str">
        <f t="shared" ref="H121:S121" si="53">IF(H116&lt;$D$121,$E$121,H35/H15)</f>
        <v>N/A</v>
      </c>
      <c r="I121" s="111" t="str">
        <f t="shared" si="53"/>
        <v>N/A</v>
      </c>
      <c r="J121" s="111" t="str">
        <f t="shared" si="53"/>
        <v>N/A</v>
      </c>
      <c r="K121" s="111">
        <f t="shared" si="53"/>
        <v>6.357661746398599E-2</v>
      </c>
      <c r="L121" s="111" t="str">
        <f t="shared" si="53"/>
        <v>N/A</v>
      </c>
      <c r="M121" s="111" t="str">
        <f t="shared" si="53"/>
        <v>N/A</v>
      </c>
      <c r="N121" s="111" t="str">
        <f t="shared" si="53"/>
        <v>N/A</v>
      </c>
      <c r="O121" s="111" t="str">
        <f t="shared" si="53"/>
        <v>N/A</v>
      </c>
      <c r="P121" s="111" t="str">
        <f t="shared" si="53"/>
        <v>N/A</v>
      </c>
      <c r="Q121" s="111" t="str">
        <f t="shared" si="53"/>
        <v>N/A</v>
      </c>
      <c r="R121" s="448" t="str">
        <f t="shared" si="53"/>
        <v>N/A</v>
      </c>
      <c r="S121" s="111" t="str">
        <f t="shared" si="53"/>
        <v>N/A</v>
      </c>
    </row>
    <row r="122" spans="1:19" x14ac:dyDescent="0.2">
      <c r="A122" s="4" t="s">
        <v>536</v>
      </c>
      <c r="B122" s="2" t="s">
        <v>537</v>
      </c>
      <c r="C122" s="8" t="s">
        <v>201</v>
      </c>
      <c r="D122" s="120">
        <v>0.5</v>
      </c>
      <c r="E122" s="121" t="s">
        <v>265</v>
      </c>
      <c r="F122" s="4"/>
      <c r="G122" s="103" t="s">
        <v>269</v>
      </c>
      <c r="H122" s="118" t="str">
        <f t="shared" ref="H122:S122" si="54">IF(H116&lt;$D$122,$E$122,H46/H33)</f>
        <v>N/A</v>
      </c>
      <c r="I122" s="118" t="str">
        <f t="shared" si="54"/>
        <v>N/A</v>
      </c>
      <c r="J122" s="118" t="str">
        <f t="shared" si="54"/>
        <v>N/A</v>
      </c>
      <c r="K122" s="118">
        <f t="shared" si="54"/>
        <v>-0.71337737706742299</v>
      </c>
      <c r="L122" s="118" t="str">
        <f t="shared" si="54"/>
        <v>N/A</v>
      </c>
      <c r="M122" s="118" t="str">
        <f t="shared" si="54"/>
        <v>N/A</v>
      </c>
      <c r="N122" s="118" t="str">
        <f t="shared" si="54"/>
        <v>N/A</v>
      </c>
      <c r="O122" s="118" t="str">
        <f t="shared" si="54"/>
        <v>N/A</v>
      </c>
      <c r="P122" s="118" t="str">
        <f t="shared" si="54"/>
        <v>N/A</v>
      </c>
      <c r="Q122" s="118" t="str">
        <f t="shared" si="54"/>
        <v>N/A</v>
      </c>
      <c r="R122" s="456" t="str">
        <f t="shared" si="54"/>
        <v>N/A</v>
      </c>
      <c r="S122" s="118" t="str">
        <f t="shared" si="54"/>
        <v>N/A</v>
      </c>
    </row>
    <row r="123" spans="1:19" x14ac:dyDescent="0.2">
      <c r="A123" s="4" t="s">
        <v>538</v>
      </c>
      <c r="B123" s="2" t="s">
        <v>539</v>
      </c>
      <c r="C123" s="8" t="s">
        <v>270</v>
      </c>
      <c r="D123" s="120">
        <v>0.5</v>
      </c>
      <c r="E123" s="121" t="s">
        <v>265</v>
      </c>
      <c r="F123" s="4"/>
      <c r="G123" s="110" t="s">
        <v>271</v>
      </c>
      <c r="H123" s="118" t="str">
        <f t="shared" ref="H123:S123" si="55">IF(H116&lt;$D$122,$E$123,H51/H33)</f>
        <v>N/A</v>
      </c>
      <c r="I123" s="118" t="str">
        <f t="shared" si="55"/>
        <v>N/A</v>
      </c>
      <c r="J123" s="118" t="str">
        <f t="shared" si="55"/>
        <v>N/A</v>
      </c>
      <c r="K123" s="118">
        <f t="shared" si="55"/>
        <v>-0.72005505869944408</v>
      </c>
      <c r="L123" s="118" t="str">
        <f t="shared" si="55"/>
        <v>N/A</v>
      </c>
      <c r="M123" s="118" t="str">
        <f t="shared" si="55"/>
        <v>N/A</v>
      </c>
      <c r="N123" s="118" t="str">
        <f t="shared" si="55"/>
        <v>N/A</v>
      </c>
      <c r="O123" s="118" t="str">
        <f t="shared" si="55"/>
        <v>N/A</v>
      </c>
      <c r="P123" s="118" t="str">
        <f t="shared" si="55"/>
        <v>N/A</v>
      </c>
      <c r="Q123" s="118" t="str">
        <f t="shared" si="55"/>
        <v>N/A</v>
      </c>
      <c r="R123" s="456" t="str">
        <f t="shared" si="55"/>
        <v>N/A</v>
      </c>
      <c r="S123" s="118" t="str">
        <f t="shared" si="55"/>
        <v>N/A</v>
      </c>
    </row>
    <row r="124" spans="1:19" x14ac:dyDescent="0.2">
      <c r="A124" s="4" t="s">
        <v>540</v>
      </c>
      <c r="B124" s="2" t="s">
        <v>541</v>
      </c>
      <c r="C124" s="8" t="s">
        <v>272</v>
      </c>
      <c r="D124" s="120">
        <v>0.5</v>
      </c>
      <c r="E124" s="121" t="s">
        <v>265</v>
      </c>
      <c r="F124" s="4"/>
      <c r="G124" s="110" t="s">
        <v>273</v>
      </c>
      <c r="H124" s="118" t="str">
        <f t="shared" ref="H124:S124" si="56">IF(H116&lt;$D$124,$E$124,H51/H4)</f>
        <v>N/A</v>
      </c>
      <c r="I124" s="118" t="str">
        <f t="shared" si="56"/>
        <v>N/A</v>
      </c>
      <c r="J124" s="118" t="str">
        <f t="shared" si="56"/>
        <v>N/A</v>
      </c>
      <c r="K124" s="118">
        <f t="shared" si="56"/>
        <v>-7.9822998986464708E-2</v>
      </c>
      <c r="L124" s="118" t="str">
        <f t="shared" si="56"/>
        <v>N/A</v>
      </c>
      <c r="M124" s="118" t="str">
        <f t="shared" si="56"/>
        <v>N/A</v>
      </c>
      <c r="N124" s="118" t="str">
        <f t="shared" si="56"/>
        <v>N/A</v>
      </c>
      <c r="O124" s="118" t="str">
        <f t="shared" si="56"/>
        <v>N/A</v>
      </c>
      <c r="P124" s="118" t="str">
        <f t="shared" si="56"/>
        <v>N/A</v>
      </c>
      <c r="Q124" s="118" t="str">
        <f t="shared" si="56"/>
        <v>N/A</v>
      </c>
      <c r="R124" s="456" t="str">
        <f t="shared" si="56"/>
        <v>N/A</v>
      </c>
      <c r="S124" s="118" t="str">
        <f t="shared" si="56"/>
        <v>N/A</v>
      </c>
    </row>
    <row r="125" spans="1:19" x14ac:dyDescent="0.2">
      <c r="A125" s="4" t="s">
        <v>542</v>
      </c>
      <c r="B125" s="2" t="s">
        <v>543</v>
      </c>
      <c r="C125" s="8" t="s">
        <v>274</v>
      </c>
      <c r="D125" s="120">
        <v>0.5</v>
      </c>
      <c r="E125" s="121" t="s">
        <v>265</v>
      </c>
      <c r="F125" s="4"/>
      <c r="G125" s="46" t="s">
        <v>275</v>
      </c>
      <c r="H125" s="118" t="str">
        <f t="shared" ref="H125:S125" si="57">IF(H116&lt;$D$125,$E$125,H51/H27)</f>
        <v>N/A</v>
      </c>
      <c r="I125" s="118" t="str">
        <f t="shared" si="57"/>
        <v>N/A</v>
      </c>
      <c r="J125" s="118" t="str">
        <f t="shared" si="57"/>
        <v>N/A</v>
      </c>
      <c r="K125" s="118">
        <f t="shared" si="57"/>
        <v>-8.4107013694118382E-2</v>
      </c>
      <c r="L125" s="118" t="str">
        <f t="shared" si="57"/>
        <v>N/A</v>
      </c>
      <c r="M125" s="118" t="str">
        <f t="shared" si="57"/>
        <v>N/A</v>
      </c>
      <c r="N125" s="118" t="str">
        <f t="shared" si="57"/>
        <v>N/A</v>
      </c>
      <c r="O125" s="118" t="str">
        <f t="shared" si="57"/>
        <v>N/A</v>
      </c>
      <c r="P125" s="118" t="str">
        <f t="shared" si="57"/>
        <v>N/A</v>
      </c>
      <c r="Q125" s="118" t="str">
        <f t="shared" si="57"/>
        <v>N/A</v>
      </c>
      <c r="R125" s="456" t="str">
        <f t="shared" si="57"/>
        <v>N/A</v>
      </c>
      <c r="S125" s="118" t="str">
        <f t="shared" si="57"/>
        <v>N/A</v>
      </c>
    </row>
    <row r="126" spans="1:19" x14ac:dyDescent="0.2">
      <c r="C126" s="41"/>
      <c r="D126" s="41"/>
      <c r="E126" s="42"/>
      <c r="F126" s="4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457"/>
    </row>
    <row r="127" spans="1:19" x14ac:dyDescent="0.2">
      <c r="F127" s="4"/>
      <c r="H127" s="87">
        <f>H119</f>
        <v>2011</v>
      </c>
      <c r="I127" s="87">
        <f t="shared" ref="I127:R127" si="58">I119</f>
        <v>2012</v>
      </c>
      <c r="J127" s="87">
        <f t="shared" si="58"/>
        <v>2013</v>
      </c>
      <c r="K127" s="87">
        <f t="shared" si="58"/>
        <v>2014</v>
      </c>
      <c r="L127" s="87">
        <f t="shared" si="58"/>
        <v>2015</v>
      </c>
      <c r="M127" s="87">
        <f t="shared" si="58"/>
        <v>2016</v>
      </c>
      <c r="N127" s="87"/>
      <c r="O127" s="87">
        <v>2018</v>
      </c>
      <c r="P127" s="87">
        <f t="shared" si="58"/>
        <v>2019</v>
      </c>
      <c r="Q127" s="87">
        <f t="shared" si="58"/>
        <v>2020</v>
      </c>
      <c r="R127" s="443">
        <f t="shared" si="58"/>
        <v>2021</v>
      </c>
      <c r="S127" s="444">
        <v>2022</v>
      </c>
    </row>
    <row r="128" spans="1:19" x14ac:dyDescent="0.2">
      <c r="G128" s="95" t="s">
        <v>276</v>
      </c>
      <c r="H128" s="96">
        <f t="shared" ref="H128:S128" si="59">H33</f>
        <v>2744.5569999999998</v>
      </c>
      <c r="I128" s="96">
        <f t="shared" si="59"/>
        <v>4631.8419999999996</v>
      </c>
      <c r="J128" s="96">
        <f t="shared" si="59"/>
        <v>4927.9480000000003</v>
      </c>
      <c r="K128" s="96">
        <f t="shared" si="59"/>
        <v>2066.8849999999998</v>
      </c>
      <c r="L128" s="96">
        <f t="shared" si="59"/>
        <v>3182.5209999999997</v>
      </c>
      <c r="M128" s="96">
        <f t="shared" si="59"/>
        <v>3341</v>
      </c>
      <c r="N128" s="96">
        <f t="shared" si="59"/>
        <v>4838</v>
      </c>
      <c r="O128" s="96">
        <f t="shared" si="59"/>
        <v>7863</v>
      </c>
      <c r="P128" s="96">
        <f t="shared" si="59"/>
        <v>8719</v>
      </c>
      <c r="Q128" s="96">
        <f t="shared" si="59"/>
        <v>8497</v>
      </c>
      <c r="R128" s="458">
        <f t="shared" si="59"/>
        <v>4937</v>
      </c>
      <c r="S128" s="96">
        <f t="shared" si="59"/>
        <v>4937</v>
      </c>
    </row>
    <row r="129" spans="3:19" x14ac:dyDescent="0.2">
      <c r="G129" s="95" t="s">
        <v>277</v>
      </c>
      <c r="H129" s="96">
        <f t="shared" ref="H129:S130" si="60">H35</f>
        <v>1054.146</v>
      </c>
      <c r="I129" s="96">
        <f t="shared" si="60"/>
        <v>538.35</v>
      </c>
      <c r="J129" s="96">
        <f t="shared" si="60"/>
        <v>871.60599999999999</v>
      </c>
      <c r="K129" s="96">
        <f t="shared" si="60"/>
        <v>1121.5450000000001</v>
      </c>
      <c r="L129" s="96">
        <f t="shared" si="60"/>
        <v>1236.9000000000001</v>
      </c>
      <c r="M129" s="96">
        <f t="shared" si="60"/>
        <v>1193</v>
      </c>
      <c r="N129" s="96">
        <f t="shared" si="60"/>
        <v>1341</v>
      </c>
      <c r="O129" s="96">
        <f t="shared" si="60"/>
        <v>1478</v>
      </c>
      <c r="P129" s="96">
        <f t="shared" si="60"/>
        <v>1601</v>
      </c>
      <c r="Q129" s="96">
        <f t="shared" si="60"/>
        <v>1753</v>
      </c>
      <c r="R129" s="458">
        <f t="shared" si="60"/>
        <v>2095</v>
      </c>
      <c r="S129" s="96">
        <f t="shared" si="60"/>
        <v>2095</v>
      </c>
    </row>
    <row r="130" spans="3:19" x14ac:dyDescent="0.2">
      <c r="G130" s="95" t="s">
        <v>278</v>
      </c>
      <c r="H130" s="96">
        <f t="shared" si="60"/>
        <v>1677.6289999999999</v>
      </c>
      <c r="I130" s="96">
        <f t="shared" si="60"/>
        <v>4091.9090000000001</v>
      </c>
      <c r="J130" s="96">
        <f t="shared" si="60"/>
        <v>4055.3290000000002</v>
      </c>
      <c r="K130" s="96">
        <f t="shared" si="60"/>
        <v>943.21600000000001</v>
      </c>
      <c r="L130" s="96">
        <f t="shared" si="60"/>
        <v>1899.0989999999999</v>
      </c>
      <c r="M130" s="96">
        <f t="shared" si="60"/>
        <v>2146</v>
      </c>
      <c r="N130" s="96">
        <f t="shared" si="60"/>
        <v>3478</v>
      </c>
      <c r="O130" s="96">
        <f t="shared" si="60"/>
        <v>6384</v>
      </c>
      <c r="P130" s="96">
        <f t="shared" si="60"/>
        <v>7118</v>
      </c>
      <c r="Q130" s="96">
        <f t="shared" si="60"/>
        <v>6744</v>
      </c>
      <c r="R130" s="458">
        <f t="shared" si="60"/>
        <v>2842</v>
      </c>
      <c r="S130" s="96">
        <f t="shared" si="60"/>
        <v>2842</v>
      </c>
    </row>
    <row r="131" spans="3:19" x14ac:dyDescent="0.2">
      <c r="G131" s="95" t="s">
        <v>279</v>
      </c>
      <c r="H131" s="96">
        <f t="shared" ref="H131:S131" si="61">H38+H41</f>
        <v>-3351.3500000000004</v>
      </c>
      <c r="I131" s="96">
        <f t="shared" si="61"/>
        <v>-2589.6709999999998</v>
      </c>
      <c r="J131" s="96">
        <f t="shared" si="61"/>
        <v>-3079.4670000000001</v>
      </c>
      <c r="K131" s="96">
        <f t="shared" si="61"/>
        <v>-3541.3540000000003</v>
      </c>
      <c r="L131" s="96">
        <f t="shared" si="61"/>
        <v>-3735.277</v>
      </c>
      <c r="M131" s="96">
        <f t="shared" si="61"/>
        <v>-3778</v>
      </c>
      <c r="N131" s="96">
        <f t="shared" si="61"/>
        <v>-4271</v>
      </c>
      <c r="O131" s="96">
        <f t="shared" si="61"/>
        <v>-3989</v>
      </c>
      <c r="P131" s="96">
        <f t="shared" si="61"/>
        <v>-4277</v>
      </c>
      <c r="Q131" s="96">
        <f t="shared" si="61"/>
        <v>-4639</v>
      </c>
      <c r="R131" s="458">
        <f t="shared" si="61"/>
        <v>-5151</v>
      </c>
      <c r="S131" s="96">
        <f t="shared" si="61"/>
        <v>-5241</v>
      </c>
    </row>
    <row r="132" spans="3:19" x14ac:dyDescent="0.2">
      <c r="G132" s="95" t="s">
        <v>280</v>
      </c>
      <c r="H132" s="96">
        <f t="shared" ref="H132:S132" si="62">H41</f>
        <v>-3285.7210000000005</v>
      </c>
      <c r="I132" s="96">
        <f t="shared" si="62"/>
        <v>-2589.6709999999998</v>
      </c>
      <c r="J132" s="96">
        <f t="shared" si="62"/>
        <v>-3079.4670000000001</v>
      </c>
      <c r="K132" s="96">
        <f t="shared" si="62"/>
        <v>-3541.3540000000003</v>
      </c>
      <c r="L132" s="96">
        <f t="shared" si="62"/>
        <v>-3735.277</v>
      </c>
      <c r="M132" s="96">
        <f t="shared" si="62"/>
        <v>-3778</v>
      </c>
      <c r="N132" s="96">
        <f t="shared" si="62"/>
        <v>-4271</v>
      </c>
      <c r="O132" s="96">
        <f t="shared" si="62"/>
        <v>-3989</v>
      </c>
      <c r="P132" s="96">
        <f t="shared" si="62"/>
        <v>-4277</v>
      </c>
      <c r="Q132" s="96">
        <f t="shared" si="62"/>
        <v>-4639</v>
      </c>
      <c r="R132" s="458">
        <f t="shared" si="62"/>
        <v>-5151</v>
      </c>
      <c r="S132" s="96">
        <f t="shared" si="62"/>
        <v>-5241</v>
      </c>
    </row>
    <row r="133" spans="3:19" x14ac:dyDescent="0.2">
      <c r="G133" s="95" t="s">
        <v>281</v>
      </c>
      <c r="H133" s="96">
        <f t="shared" ref="H133:S133" si="63">H38</f>
        <v>-65.629000000000005</v>
      </c>
      <c r="I133" s="96">
        <f t="shared" si="63"/>
        <v>0</v>
      </c>
      <c r="J133" s="96">
        <f t="shared" si="63"/>
        <v>0</v>
      </c>
      <c r="K133" s="96">
        <f t="shared" si="63"/>
        <v>0</v>
      </c>
      <c r="L133" s="96">
        <f t="shared" si="63"/>
        <v>0</v>
      </c>
      <c r="M133" s="96">
        <f t="shared" si="63"/>
        <v>0</v>
      </c>
      <c r="N133" s="96">
        <f t="shared" si="63"/>
        <v>0</v>
      </c>
      <c r="O133" s="96">
        <f t="shared" si="63"/>
        <v>0</v>
      </c>
      <c r="P133" s="96">
        <f t="shared" si="63"/>
        <v>0</v>
      </c>
      <c r="Q133" s="96">
        <f t="shared" si="63"/>
        <v>0</v>
      </c>
      <c r="R133" s="458">
        <f t="shared" si="63"/>
        <v>0</v>
      </c>
      <c r="S133" s="96">
        <f t="shared" si="63"/>
        <v>0</v>
      </c>
    </row>
    <row r="134" spans="3:19" x14ac:dyDescent="0.2">
      <c r="G134" s="95" t="s">
        <v>282</v>
      </c>
      <c r="H134" s="96">
        <f t="shared" ref="H134:S134" si="64">H46</f>
        <v>-606.79300000000057</v>
      </c>
      <c r="I134" s="96">
        <f t="shared" si="64"/>
        <v>2042.1709999999998</v>
      </c>
      <c r="J134" s="96">
        <f t="shared" si="64"/>
        <v>1848.4810000000002</v>
      </c>
      <c r="K134" s="96">
        <f t="shared" si="64"/>
        <v>-1474.4690000000005</v>
      </c>
      <c r="L134" s="96">
        <f t="shared" si="64"/>
        <v>-552.75600000000031</v>
      </c>
      <c r="M134" s="96">
        <f t="shared" si="64"/>
        <v>-437</v>
      </c>
      <c r="N134" s="96">
        <f t="shared" si="64"/>
        <v>567</v>
      </c>
      <c r="O134" s="96">
        <f t="shared" si="64"/>
        <v>3874</v>
      </c>
      <c r="P134" s="96">
        <f t="shared" si="64"/>
        <v>4442</v>
      </c>
      <c r="Q134" s="96">
        <f t="shared" si="64"/>
        <v>3858</v>
      </c>
      <c r="R134" s="458">
        <f t="shared" si="64"/>
        <v>-214</v>
      </c>
      <c r="S134" s="96">
        <f t="shared" si="64"/>
        <v>-304</v>
      </c>
    </row>
    <row r="135" spans="3:19" x14ac:dyDescent="0.2">
      <c r="G135" s="95" t="s">
        <v>283</v>
      </c>
      <c r="H135" s="96">
        <f t="shared" ref="H135:S135" si="65">H51</f>
        <v>-640.56500000000062</v>
      </c>
      <c r="I135" s="96">
        <f t="shared" si="65"/>
        <v>2025.0689999999997</v>
      </c>
      <c r="J135" s="96">
        <f t="shared" si="65"/>
        <v>1834.9600000000003</v>
      </c>
      <c r="K135" s="96">
        <f t="shared" si="65"/>
        <v>-1488.2710000000004</v>
      </c>
      <c r="L135" s="96">
        <f t="shared" si="65"/>
        <v>-555.36300000000028</v>
      </c>
      <c r="M135" s="96">
        <f t="shared" si="65"/>
        <v>-437</v>
      </c>
      <c r="N135" s="96">
        <f t="shared" si="65"/>
        <v>566</v>
      </c>
      <c r="O135" s="96">
        <f t="shared" si="65"/>
        <v>3873</v>
      </c>
      <c r="P135" s="96">
        <f t="shared" si="65"/>
        <v>4441</v>
      </c>
      <c r="Q135" s="96">
        <f t="shared" si="65"/>
        <v>3857</v>
      </c>
      <c r="R135" s="458">
        <f t="shared" si="65"/>
        <v>-215</v>
      </c>
      <c r="S135" s="96">
        <f t="shared" si="65"/>
        <v>-305</v>
      </c>
    </row>
    <row r="136" spans="3:19" x14ac:dyDescent="0.2">
      <c r="G136" s="95" t="s">
        <v>284</v>
      </c>
      <c r="H136" s="96">
        <f t="shared" ref="H136:S137" si="66">H4</f>
        <v>16630.089</v>
      </c>
      <c r="I136" s="96">
        <f t="shared" si="66"/>
        <v>18704.268</v>
      </c>
      <c r="J136" s="96">
        <f t="shared" si="66"/>
        <v>22020.545999999998</v>
      </c>
      <c r="K136" s="96">
        <f t="shared" si="66"/>
        <v>18644.638999999999</v>
      </c>
      <c r="L136" s="96">
        <f t="shared" si="66"/>
        <v>17494.813999999998</v>
      </c>
      <c r="M136" s="96">
        <f t="shared" si="66"/>
        <v>17853</v>
      </c>
      <c r="N136" s="96">
        <f t="shared" si="66"/>
        <v>17493</v>
      </c>
      <c r="O136" s="96">
        <f t="shared" si="66"/>
        <v>21493</v>
      </c>
      <c r="P136" s="96">
        <f t="shared" si="66"/>
        <v>25932</v>
      </c>
      <c r="Q136" s="96">
        <f t="shared" si="66"/>
        <v>29789</v>
      </c>
      <c r="R136" s="458">
        <f t="shared" si="66"/>
        <v>29574</v>
      </c>
      <c r="S136" s="96">
        <f t="shared" si="66"/>
        <v>29269</v>
      </c>
    </row>
    <row r="137" spans="3:19" x14ac:dyDescent="0.2">
      <c r="G137" s="95" t="s">
        <v>285</v>
      </c>
      <c r="H137" s="96">
        <f t="shared" si="66"/>
        <v>1145.249</v>
      </c>
      <c r="I137" s="96">
        <f t="shared" si="66"/>
        <v>1259.2250000000001</v>
      </c>
      <c r="J137" s="96">
        <f t="shared" si="66"/>
        <v>2312.9059999999999</v>
      </c>
      <c r="K137" s="96">
        <f t="shared" si="66"/>
        <v>941.47399999999993</v>
      </c>
      <c r="L137" s="96">
        <f t="shared" si="66"/>
        <v>489.06299999999999</v>
      </c>
      <c r="M137" s="96">
        <f t="shared" si="66"/>
        <v>1304</v>
      </c>
      <c r="N137" s="96">
        <f t="shared" si="66"/>
        <v>390</v>
      </c>
      <c r="O137" s="96">
        <f t="shared" si="66"/>
        <v>521</v>
      </c>
      <c r="P137" s="96">
        <f t="shared" si="66"/>
        <v>555</v>
      </c>
      <c r="Q137" s="96">
        <f t="shared" si="66"/>
        <v>590</v>
      </c>
      <c r="R137" s="458">
        <f t="shared" si="66"/>
        <v>625</v>
      </c>
      <c r="S137" s="96">
        <f t="shared" si="66"/>
        <v>625</v>
      </c>
    </row>
    <row r="138" spans="3:19" x14ac:dyDescent="0.2">
      <c r="G138" s="95" t="s">
        <v>286</v>
      </c>
      <c r="H138" s="96">
        <f t="shared" ref="H138:S138" si="67">H10</f>
        <v>15484.84</v>
      </c>
      <c r="I138" s="96">
        <f t="shared" si="67"/>
        <v>17445.043000000001</v>
      </c>
      <c r="J138" s="96">
        <f t="shared" si="67"/>
        <v>19707.64</v>
      </c>
      <c r="K138" s="96">
        <f t="shared" si="67"/>
        <v>17703.165000000001</v>
      </c>
      <c r="L138" s="96">
        <f t="shared" si="67"/>
        <v>17005.751</v>
      </c>
      <c r="M138" s="96">
        <f t="shared" si="67"/>
        <v>16549</v>
      </c>
      <c r="N138" s="96">
        <f t="shared" si="67"/>
        <v>17103</v>
      </c>
      <c r="O138" s="96">
        <f t="shared" si="67"/>
        <v>20972</v>
      </c>
      <c r="P138" s="96">
        <f t="shared" si="67"/>
        <v>25377</v>
      </c>
      <c r="Q138" s="96">
        <f t="shared" si="67"/>
        <v>29199</v>
      </c>
      <c r="R138" s="458">
        <f t="shared" si="67"/>
        <v>28949</v>
      </c>
      <c r="S138" s="96">
        <f t="shared" si="67"/>
        <v>28644</v>
      </c>
    </row>
    <row r="139" spans="3:19" x14ac:dyDescent="0.2">
      <c r="G139" s="95" t="s">
        <v>287</v>
      </c>
      <c r="H139" s="96">
        <f t="shared" ref="H139:S140" si="68">H19</f>
        <v>1496.499</v>
      </c>
      <c r="I139" s="96">
        <f t="shared" si="68"/>
        <v>1545.6080000000002</v>
      </c>
      <c r="J139" s="96">
        <f t="shared" si="68"/>
        <v>3026.9259999999999</v>
      </c>
      <c r="K139" s="96">
        <f t="shared" si="68"/>
        <v>949.67100000000005</v>
      </c>
      <c r="L139" s="96">
        <f t="shared" si="68"/>
        <v>355.21</v>
      </c>
      <c r="M139" s="96">
        <f t="shared" si="68"/>
        <v>1151</v>
      </c>
      <c r="N139" s="96">
        <f t="shared" si="68"/>
        <v>225</v>
      </c>
      <c r="O139" s="96">
        <f t="shared" si="68"/>
        <v>352</v>
      </c>
      <c r="P139" s="96">
        <f t="shared" si="68"/>
        <v>350</v>
      </c>
      <c r="Q139" s="96">
        <f t="shared" si="68"/>
        <v>350</v>
      </c>
      <c r="R139" s="458">
        <f t="shared" si="68"/>
        <v>350</v>
      </c>
      <c r="S139" s="96">
        <f t="shared" si="68"/>
        <v>350</v>
      </c>
    </row>
    <row r="140" spans="3:19" x14ac:dyDescent="0.2">
      <c r="G140" s="95" t="s">
        <v>288</v>
      </c>
      <c r="H140" s="96">
        <f t="shared" si="68"/>
        <v>1244.606</v>
      </c>
      <c r="I140" s="96">
        <f t="shared" si="68"/>
        <v>1319.2080000000001</v>
      </c>
      <c r="J140" s="96">
        <f t="shared" si="68"/>
        <v>2879.53</v>
      </c>
      <c r="K140" s="96">
        <f t="shared" si="68"/>
        <v>871.08500000000004</v>
      </c>
      <c r="L140" s="96">
        <f t="shared" si="68"/>
        <v>344.35</v>
      </c>
      <c r="M140" s="96">
        <f t="shared" si="68"/>
        <v>1149</v>
      </c>
      <c r="N140" s="96">
        <f t="shared" si="68"/>
        <v>225</v>
      </c>
      <c r="O140" s="96">
        <f t="shared" si="68"/>
        <v>350</v>
      </c>
      <c r="P140" s="96">
        <f t="shared" si="68"/>
        <v>350</v>
      </c>
      <c r="Q140" s="96">
        <f t="shared" si="68"/>
        <v>350</v>
      </c>
      <c r="R140" s="458">
        <f t="shared" si="68"/>
        <v>350</v>
      </c>
      <c r="S140" s="96">
        <f t="shared" si="68"/>
        <v>350</v>
      </c>
    </row>
    <row r="141" spans="3:19" x14ac:dyDescent="0.2">
      <c r="G141" s="95" t="s">
        <v>289</v>
      </c>
      <c r="H141" s="96">
        <f t="shared" ref="H141:S141" si="69">H24</f>
        <v>1256.114</v>
      </c>
      <c r="I141" s="96">
        <f t="shared" si="69"/>
        <v>670.39800000000002</v>
      </c>
      <c r="J141" s="96">
        <f t="shared" si="69"/>
        <v>886.4</v>
      </c>
      <c r="K141" s="96">
        <f t="shared" si="69"/>
        <v>742.12</v>
      </c>
      <c r="L141" s="96">
        <f t="shared" si="69"/>
        <v>78.584999999999994</v>
      </c>
      <c r="M141" s="96">
        <f t="shared" si="69"/>
        <v>11</v>
      </c>
      <c r="N141" s="96">
        <f t="shared" si="69"/>
        <v>2</v>
      </c>
      <c r="O141" s="96">
        <f t="shared" si="69"/>
        <v>2</v>
      </c>
      <c r="P141" s="96">
        <f t="shared" si="69"/>
        <v>0</v>
      </c>
      <c r="Q141" s="96">
        <f t="shared" si="69"/>
        <v>0</v>
      </c>
      <c r="R141" s="458">
        <f t="shared" si="69"/>
        <v>0</v>
      </c>
      <c r="S141" s="96">
        <f t="shared" si="69"/>
        <v>0</v>
      </c>
    </row>
    <row r="142" spans="3:19" x14ac:dyDescent="0.2">
      <c r="G142" s="95" t="s">
        <v>290</v>
      </c>
      <c r="H142" s="96">
        <f t="shared" ref="H142:S142" si="70">H27</f>
        <v>15133.590999999999</v>
      </c>
      <c r="I142" s="96">
        <f t="shared" si="70"/>
        <v>17158.66</v>
      </c>
      <c r="J142" s="96">
        <f t="shared" si="70"/>
        <v>18993.62</v>
      </c>
      <c r="K142" s="96">
        <f t="shared" si="70"/>
        <v>17694.969000000001</v>
      </c>
      <c r="L142" s="96">
        <f t="shared" si="70"/>
        <v>17139.605</v>
      </c>
      <c r="M142" s="96">
        <f t="shared" si="70"/>
        <v>16702</v>
      </c>
      <c r="N142" s="96">
        <f t="shared" si="70"/>
        <v>17268</v>
      </c>
      <c r="O142" s="96">
        <f t="shared" si="70"/>
        <v>21141</v>
      </c>
      <c r="P142" s="96">
        <f t="shared" si="70"/>
        <v>25582</v>
      </c>
      <c r="Q142" s="96">
        <f t="shared" si="70"/>
        <v>29439</v>
      </c>
      <c r="R142" s="458">
        <f t="shared" si="70"/>
        <v>29224</v>
      </c>
      <c r="S142" s="96">
        <f t="shared" si="70"/>
        <v>28919</v>
      </c>
    </row>
    <row r="143" spans="3:19" x14ac:dyDescent="0.2">
      <c r="C143" s="41"/>
      <c r="D143" s="41"/>
      <c r="E143" s="42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</row>
    <row r="144" spans="3:19" x14ac:dyDescent="0.2">
      <c r="C144" s="8" t="s">
        <v>544</v>
      </c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</row>
    <row r="145" spans="3:18" x14ac:dyDescent="0.2">
      <c r="C145" s="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</row>
    <row r="146" spans="3:18" x14ac:dyDescent="0.2">
      <c r="C146" s="8" t="s">
        <v>291</v>
      </c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</row>
    <row r="147" spans="3:18" x14ac:dyDescent="0.2">
      <c r="C147" s="8" t="s">
        <v>292</v>
      </c>
      <c r="F147" s="12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4"/>
      <c r="R147" s="44"/>
    </row>
    <row r="148" spans="3:18" x14ac:dyDescent="0.2">
      <c r="C148" s="8"/>
      <c r="F148" s="12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</row>
    <row r="149" spans="3:18" x14ac:dyDescent="0.2">
      <c r="C149" s="8" t="s">
        <v>293</v>
      </c>
      <c r="F149" s="12"/>
    </row>
    <row r="150" spans="3:18" x14ac:dyDescent="0.2">
      <c r="C150" s="8" t="s">
        <v>294</v>
      </c>
      <c r="F150" s="12"/>
    </row>
  </sheetData>
  <mergeCells count="3">
    <mergeCell ref="K2:L2"/>
    <mergeCell ref="M2:R2"/>
    <mergeCell ref="D87:E87"/>
  </mergeCells>
  <conditionalFormatting sqref="H116:Q116">
    <cfRule type="cellIs" dxfId="374" priority="49" stopIfTrue="1" operator="greaterThan">
      <formula>$E$116</formula>
    </cfRule>
    <cfRule type="cellIs" dxfId="373" priority="50" stopIfTrue="1" operator="lessThanOrEqual">
      <formula>$E$116</formula>
    </cfRule>
  </conditionalFormatting>
  <conditionalFormatting sqref="H118:Q118">
    <cfRule type="cellIs" dxfId="372" priority="47" stopIfTrue="1" operator="lessThanOrEqual">
      <formula>$E$118</formula>
    </cfRule>
    <cfRule type="cellIs" dxfId="371" priority="48" stopIfTrue="1" operator="greaterThan">
      <formula>$E$118</formula>
    </cfRule>
  </conditionalFormatting>
  <conditionalFormatting sqref="H99:Q99">
    <cfRule type="cellIs" dxfId="370" priority="45" operator="greaterThan">
      <formula>$E$99</formula>
    </cfRule>
    <cfRule type="cellIs" dxfId="369" priority="46" operator="lessThanOrEqual">
      <formula>$E$99</formula>
    </cfRule>
  </conditionalFormatting>
  <conditionalFormatting sqref="H102:S102">
    <cfRule type="cellIs" dxfId="368" priority="43" stopIfTrue="1" operator="greaterThanOrEqual">
      <formula>$E$102</formula>
    </cfRule>
    <cfRule type="cellIs" dxfId="367" priority="44" stopIfTrue="1" operator="lessThan">
      <formula>$E$102</formula>
    </cfRule>
  </conditionalFormatting>
  <conditionalFormatting sqref="H104:Q104">
    <cfRule type="cellIs" dxfId="366" priority="41" stopIfTrue="1" operator="lessThan">
      <formula>$E$104</formula>
    </cfRule>
    <cfRule type="cellIs" dxfId="365" priority="42" stopIfTrue="1" operator="greaterThanOrEqual">
      <formula>$E$104</formula>
    </cfRule>
  </conditionalFormatting>
  <conditionalFormatting sqref="H103:Q103">
    <cfRule type="cellIs" dxfId="364" priority="39" stopIfTrue="1" operator="greaterThan">
      <formula>$E$103</formula>
    </cfRule>
    <cfRule type="cellIs" dxfId="363" priority="40" stopIfTrue="1" operator="lessThanOrEqual">
      <formula>$E$103</formula>
    </cfRule>
  </conditionalFormatting>
  <conditionalFormatting sqref="H100:Q100">
    <cfRule type="cellIs" dxfId="362" priority="28" stopIfTrue="1" operator="between">
      <formula>$D$100</formula>
      <formula>$E$100</formula>
    </cfRule>
    <cfRule type="cellIs" dxfId="361" priority="37" stopIfTrue="1" operator="lessThanOrEqual">
      <formula>$D$100</formula>
    </cfRule>
    <cfRule type="cellIs" dxfId="360" priority="38" stopIfTrue="1" operator="greaterThan">
      <formula>$E$100</formula>
    </cfRule>
  </conditionalFormatting>
  <conditionalFormatting sqref="H117:Q117">
    <cfRule type="cellIs" dxfId="359" priority="35" stopIfTrue="1" operator="greaterThan">
      <formula>$E$117</formula>
    </cfRule>
    <cfRule type="cellIs" dxfId="358" priority="36" stopIfTrue="1" operator="lessThanOrEqual">
      <formula>$E$117</formula>
    </cfRule>
  </conditionalFormatting>
  <conditionalFormatting sqref="H107:Q107">
    <cfRule type="cellIs" dxfId="357" priority="33" stopIfTrue="1" operator="greaterThan">
      <formula>$E$107</formula>
    </cfRule>
    <cfRule type="cellIs" dxfId="356" priority="34" stopIfTrue="1" operator="lessThanOrEqual">
      <formula>$E$107</formula>
    </cfRule>
  </conditionalFormatting>
  <conditionalFormatting sqref="H108:Q108">
    <cfRule type="cellIs" dxfId="355" priority="31" stopIfTrue="1" operator="lessThan">
      <formula>$E$108</formula>
    </cfRule>
    <cfRule type="cellIs" dxfId="354" priority="32" stopIfTrue="1" operator="greaterThanOrEqual">
      <formula>$E$108</formula>
    </cfRule>
  </conditionalFormatting>
  <conditionalFormatting sqref="H93:Q93">
    <cfRule type="cellIs" dxfId="353" priority="51" stopIfTrue="1" operator="lessThan">
      <formula>$D$93</formula>
    </cfRule>
    <cfRule type="cellIs" dxfId="352" priority="52" stopIfTrue="1" operator="between">
      <formula>$D$93</formula>
      <formula>$E$93</formula>
    </cfRule>
    <cfRule type="cellIs" dxfId="351" priority="53" stopIfTrue="1" operator="greaterThan">
      <formula>$E$93</formula>
    </cfRule>
  </conditionalFormatting>
  <conditionalFormatting sqref="H114:Q114">
    <cfRule type="cellIs" dxfId="350" priority="54" stopIfTrue="1" operator="lessThan">
      <formula>$E$114</formula>
    </cfRule>
    <cfRule type="cellIs" dxfId="349" priority="55" stopIfTrue="1" operator="between">
      <formula>$D$114</formula>
      <formula>$E$114</formula>
    </cfRule>
    <cfRule type="cellIs" dxfId="348" priority="56" stopIfTrue="1" operator="greaterThanOrEqual">
      <formula>$D$114</formula>
    </cfRule>
  </conditionalFormatting>
  <conditionalFormatting sqref="H90:Q90">
    <cfRule type="cellIs" dxfId="347" priority="29" stopIfTrue="1" operator="lessThan">
      <formula>$E$90</formula>
    </cfRule>
    <cfRule type="cellIs" dxfId="346" priority="30" stopIfTrue="1" operator="greaterThan">
      <formula>$E$90</formula>
    </cfRule>
  </conditionalFormatting>
  <conditionalFormatting sqref="R116:S116">
    <cfRule type="cellIs" dxfId="345" priority="20" stopIfTrue="1" operator="greaterThan">
      <formula>$E$116</formula>
    </cfRule>
    <cfRule type="cellIs" dxfId="344" priority="21" stopIfTrue="1" operator="lessThanOrEqual">
      <formula>$E$116</formula>
    </cfRule>
  </conditionalFormatting>
  <conditionalFormatting sqref="R118:S118">
    <cfRule type="cellIs" dxfId="343" priority="18" stopIfTrue="1" operator="lessThanOrEqual">
      <formula>$E$118</formula>
    </cfRule>
    <cfRule type="cellIs" dxfId="342" priority="19" stopIfTrue="1" operator="greaterThan">
      <formula>$E$118</formula>
    </cfRule>
  </conditionalFormatting>
  <conditionalFormatting sqref="R99:S99">
    <cfRule type="cellIs" dxfId="341" priority="16" operator="greaterThan">
      <formula>$E$99</formula>
    </cfRule>
    <cfRule type="cellIs" dxfId="340" priority="17" operator="lessThanOrEqual">
      <formula>$E$99</formula>
    </cfRule>
  </conditionalFormatting>
  <conditionalFormatting sqref="R104:S104">
    <cfRule type="cellIs" dxfId="339" priority="14" stopIfTrue="1" operator="lessThan">
      <formula>$E$104</formula>
    </cfRule>
    <cfRule type="cellIs" dxfId="338" priority="15" stopIfTrue="1" operator="greaterThanOrEqual">
      <formula>$E$104</formula>
    </cfRule>
  </conditionalFormatting>
  <conditionalFormatting sqref="R103:S103">
    <cfRule type="cellIs" dxfId="337" priority="12" stopIfTrue="1" operator="greaterThan">
      <formula>$E$103</formula>
    </cfRule>
    <cfRule type="cellIs" dxfId="336" priority="13" stopIfTrue="1" operator="lessThanOrEqual">
      <formula>$E$103</formula>
    </cfRule>
  </conditionalFormatting>
  <conditionalFormatting sqref="R100:S100">
    <cfRule type="cellIs" dxfId="335" priority="1" stopIfTrue="1" operator="between">
      <formula>$D$100</formula>
      <formula>$E$100</formula>
    </cfRule>
    <cfRule type="cellIs" dxfId="334" priority="10" stopIfTrue="1" operator="lessThanOrEqual">
      <formula>$D$100</formula>
    </cfRule>
    <cfRule type="cellIs" dxfId="333" priority="11" stopIfTrue="1" operator="greaterThan">
      <formula>$E$100</formula>
    </cfRule>
  </conditionalFormatting>
  <conditionalFormatting sqref="R117:S117">
    <cfRule type="cellIs" dxfId="332" priority="8" stopIfTrue="1" operator="greaterThan">
      <formula>$E$117</formula>
    </cfRule>
    <cfRule type="cellIs" dxfId="331" priority="9" stopIfTrue="1" operator="lessThanOrEqual">
      <formula>$E$117</formula>
    </cfRule>
  </conditionalFormatting>
  <conditionalFormatting sqref="R107:S107">
    <cfRule type="cellIs" dxfId="330" priority="6" stopIfTrue="1" operator="greaterThan">
      <formula>$E$107</formula>
    </cfRule>
    <cfRule type="cellIs" dxfId="329" priority="7" stopIfTrue="1" operator="lessThanOrEqual">
      <formula>$E$107</formula>
    </cfRule>
  </conditionalFormatting>
  <conditionalFormatting sqref="R108:S108">
    <cfRule type="cellIs" dxfId="328" priority="4" stopIfTrue="1" operator="lessThan">
      <formula>$E$108</formula>
    </cfRule>
    <cfRule type="cellIs" dxfId="327" priority="5" stopIfTrue="1" operator="greaterThanOrEqual">
      <formula>$E$108</formula>
    </cfRule>
  </conditionalFormatting>
  <conditionalFormatting sqref="R93:S93">
    <cfRule type="cellIs" dxfId="326" priority="22" stopIfTrue="1" operator="lessThan">
      <formula>$D$93</formula>
    </cfRule>
    <cfRule type="cellIs" dxfId="325" priority="23" stopIfTrue="1" operator="between">
      <formula>$D$93</formula>
      <formula>$E$93</formula>
    </cfRule>
    <cfRule type="cellIs" dxfId="324" priority="24" stopIfTrue="1" operator="greaterThan">
      <formula>$E$93</formula>
    </cfRule>
  </conditionalFormatting>
  <conditionalFormatting sqref="R114:S114">
    <cfRule type="cellIs" dxfId="323" priority="25" stopIfTrue="1" operator="lessThan">
      <formula>$E$114</formula>
    </cfRule>
    <cfRule type="cellIs" dxfId="322" priority="26" stopIfTrue="1" operator="between">
      <formula>$D$114</formula>
      <formula>$E$114</formula>
    </cfRule>
    <cfRule type="cellIs" dxfId="321" priority="27" stopIfTrue="1" operator="greaterThanOrEqual">
      <formula>$D$114</formula>
    </cfRule>
  </conditionalFormatting>
  <conditionalFormatting sqref="R90:S90">
    <cfRule type="cellIs" dxfId="320" priority="2" stopIfTrue="1" operator="lessThan">
      <formula>$E$90</formula>
    </cfRule>
    <cfRule type="cellIs" dxfId="319" priority="3" stopIfTrue="1" operator="greaterThan">
      <formula>$E$90</formula>
    </cfRule>
  </conditionalFormatting>
  <pageMargins left="0.7" right="0.7" top="0.75" bottom="0.75" header="0.3" footer="0.3"/>
  <pageSetup paperSize="9" orientation="landscape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55A3D1-5C9E-4C47-98BA-88D26613A5C1}">
  <dimension ref="A1:U202"/>
  <sheetViews>
    <sheetView workbookViewId="0">
      <selection activeCell="G2" sqref="G2"/>
    </sheetView>
  </sheetViews>
  <sheetFormatPr defaultColWidth="9.140625" defaultRowHeight="11.25" outlineLevelCol="1" x14ac:dyDescent="0.2"/>
  <cols>
    <col min="1" max="1" width="6.7109375" style="47" customWidth="1"/>
    <col min="2" max="2" width="5.7109375" style="47" customWidth="1"/>
    <col min="3" max="3" width="9.140625" style="47"/>
    <col min="4" max="4" width="8" style="47" customWidth="1"/>
    <col min="5" max="5" width="5.140625" style="47" bestFit="1" customWidth="1"/>
    <col min="6" max="6" width="2" style="8" bestFit="1" customWidth="1"/>
    <col min="7" max="7" width="28.7109375" style="47" customWidth="1"/>
    <col min="8" max="12" width="7.85546875" style="47" hidden="1" customWidth="1" outlineLevel="1"/>
    <col min="13" max="13" width="10.85546875" style="47" customWidth="1" collapsed="1"/>
    <col min="14" max="14" width="11.85546875" style="47" customWidth="1"/>
    <col min="15" max="15" width="10.28515625" style="47" customWidth="1"/>
    <col min="16" max="16" width="11.85546875" style="47" customWidth="1"/>
    <col min="17" max="17" width="10.7109375" style="47" customWidth="1"/>
    <col min="18" max="19" width="12.85546875" style="47" customWidth="1"/>
    <col min="20" max="20" width="3.42578125" style="47" customWidth="1"/>
    <col min="21" max="16384" width="9.140625" style="47"/>
  </cols>
  <sheetData>
    <row r="1" spans="1:19" x14ac:dyDescent="0.2">
      <c r="A1" s="1"/>
      <c r="B1" s="2"/>
      <c r="C1" s="3"/>
      <c r="D1" s="3"/>
      <c r="E1" s="1"/>
      <c r="F1" s="1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</row>
    <row r="2" spans="1:19" x14ac:dyDescent="0.2">
      <c r="A2" s="3" t="s">
        <v>0</v>
      </c>
      <c r="B2" s="5" t="s">
        <v>1</v>
      </c>
      <c r="C2" s="3" t="s">
        <v>2</v>
      </c>
      <c r="D2" s="3"/>
      <c r="E2" s="1" t="s">
        <v>3</v>
      </c>
      <c r="F2" s="1"/>
      <c r="G2" s="49" t="s">
        <v>575</v>
      </c>
      <c r="H2" s="50"/>
      <c r="I2" s="51"/>
      <c r="J2" s="52"/>
      <c r="K2" s="50"/>
      <c r="L2" s="52"/>
      <c r="M2" s="71" t="s">
        <v>366</v>
      </c>
      <c r="N2" s="122" t="s">
        <v>576</v>
      </c>
      <c r="O2" s="72"/>
      <c r="P2" s="72"/>
      <c r="Q2" s="72"/>
      <c r="R2" s="73"/>
    </row>
    <row r="3" spans="1:19" x14ac:dyDescent="0.2">
      <c r="A3" s="1"/>
      <c r="B3" s="6"/>
      <c r="C3" s="3"/>
      <c r="D3" s="3"/>
      <c r="E3" s="1"/>
      <c r="F3" s="1"/>
      <c r="G3" s="53" t="s">
        <v>4</v>
      </c>
      <c r="H3" s="54">
        <v>40908</v>
      </c>
      <c r="I3" s="54">
        <v>41274</v>
      </c>
      <c r="J3" s="54">
        <v>41639</v>
      </c>
      <c r="K3" s="54">
        <v>42004</v>
      </c>
      <c r="L3" s="54">
        <v>42369</v>
      </c>
      <c r="M3" s="54">
        <v>42735</v>
      </c>
      <c r="N3" s="54">
        <v>43100</v>
      </c>
      <c r="O3" s="54">
        <v>43465</v>
      </c>
      <c r="P3" s="54">
        <v>43830</v>
      </c>
      <c r="Q3" s="54">
        <v>44196</v>
      </c>
      <c r="R3" s="54">
        <v>44561</v>
      </c>
      <c r="S3" s="54">
        <v>44926</v>
      </c>
    </row>
    <row r="4" spans="1:19" x14ac:dyDescent="0.2">
      <c r="A4" s="7"/>
      <c r="B4" s="2" t="s">
        <v>5</v>
      </c>
      <c r="C4" s="3">
        <v>1</v>
      </c>
      <c r="D4" s="3"/>
      <c r="E4" s="5"/>
      <c r="F4" s="7"/>
      <c r="G4" s="55" t="s">
        <v>6</v>
      </c>
      <c r="H4" s="56">
        <f t="shared" ref="H4:S4" si="0">H5+H10</f>
        <v>2502.1879999999996</v>
      </c>
      <c r="I4" s="56">
        <f t="shared" si="0"/>
        <v>2971.1239999999998</v>
      </c>
      <c r="J4" s="56">
        <f t="shared" si="0"/>
        <v>2747.4300000000003</v>
      </c>
      <c r="K4" s="56">
        <f t="shared" si="0"/>
        <v>1455.415</v>
      </c>
      <c r="L4" s="56">
        <f t="shared" si="0"/>
        <v>1292.511</v>
      </c>
      <c r="M4" s="56">
        <f t="shared" si="0"/>
        <v>1367.943</v>
      </c>
      <c r="N4" s="56">
        <f t="shared" si="0"/>
        <v>1153.6809999999998</v>
      </c>
      <c r="O4" s="56">
        <f t="shared" si="0"/>
        <v>1129.0900000000001</v>
      </c>
      <c r="P4" s="56">
        <f t="shared" si="0"/>
        <v>1323</v>
      </c>
      <c r="Q4" s="56">
        <f t="shared" si="0"/>
        <v>1313</v>
      </c>
      <c r="R4" s="56">
        <f t="shared" si="0"/>
        <v>1289</v>
      </c>
      <c r="S4" s="56">
        <f t="shared" si="0"/>
        <v>1244</v>
      </c>
    </row>
    <row r="5" spans="1:19" x14ac:dyDescent="0.2">
      <c r="A5" s="8"/>
      <c r="B5" s="2" t="s">
        <v>7</v>
      </c>
      <c r="C5" s="3">
        <v>10</v>
      </c>
      <c r="D5" s="3"/>
      <c r="E5" s="9"/>
      <c r="G5" s="57" t="s">
        <v>8</v>
      </c>
      <c r="H5" s="56">
        <f t="shared" ref="H5:S5" si="1">SUM(H6:H9)</f>
        <v>2400.1309999999999</v>
      </c>
      <c r="I5" s="56">
        <f t="shared" si="1"/>
        <v>2915.848</v>
      </c>
      <c r="J5" s="56">
        <f t="shared" si="1"/>
        <v>2706.84</v>
      </c>
      <c r="K5" s="56">
        <f t="shared" si="1"/>
        <v>1425.3589999999999</v>
      </c>
      <c r="L5" s="56">
        <f t="shared" si="1"/>
        <v>1266.415</v>
      </c>
      <c r="M5" s="56">
        <f t="shared" si="1"/>
        <v>1366.933</v>
      </c>
      <c r="N5" s="56">
        <f t="shared" si="1"/>
        <v>1152.8789999999999</v>
      </c>
      <c r="O5" s="56">
        <f t="shared" si="1"/>
        <v>1129.0900000000001</v>
      </c>
      <c r="P5" s="56">
        <f t="shared" si="1"/>
        <v>1323</v>
      </c>
      <c r="Q5" s="56">
        <f t="shared" si="1"/>
        <v>1313</v>
      </c>
      <c r="R5" s="56">
        <f t="shared" si="1"/>
        <v>1289</v>
      </c>
      <c r="S5" s="56">
        <f t="shared" si="1"/>
        <v>1244</v>
      </c>
    </row>
    <row r="6" spans="1:19" ht="12" x14ac:dyDescent="0.2">
      <c r="A6" s="8"/>
      <c r="B6" s="2" t="s">
        <v>9</v>
      </c>
      <c r="C6" s="10" t="s">
        <v>10</v>
      </c>
      <c r="D6" s="10"/>
      <c r="E6" s="11" t="s">
        <v>11</v>
      </c>
      <c r="G6" s="57" t="s">
        <v>12</v>
      </c>
      <c r="H6" s="58">
        <v>796.02599999999995</v>
      </c>
      <c r="I6" s="58">
        <v>953.03399999999999</v>
      </c>
      <c r="J6" s="58">
        <v>929.77599999999995</v>
      </c>
      <c r="K6" s="58">
        <v>944.51900000000001</v>
      </c>
      <c r="L6" s="58">
        <v>1071.3979999999999</v>
      </c>
      <c r="M6" s="58">
        <v>368.17500000000001</v>
      </c>
      <c r="N6" s="58">
        <v>233.84899999999999</v>
      </c>
      <c r="O6" s="58">
        <v>267.85500000000002</v>
      </c>
      <c r="P6" s="58">
        <v>244</v>
      </c>
      <c r="Q6" s="58">
        <v>248</v>
      </c>
      <c r="R6" s="58">
        <v>252</v>
      </c>
      <c r="S6" s="58">
        <v>256</v>
      </c>
    </row>
    <row r="7" spans="1:19" ht="12" x14ac:dyDescent="0.2">
      <c r="A7" s="8"/>
      <c r="B7" s="2" t="s">
        <v>13</v>
      </c>
      <c r="C7" s="10" t="s">
        <v>14</v>
      </c>
      <c r="D7" s="10"/>
      <c r="E7" s="11" t="s">
        <v>11</v>
      </c>
      <c r="G7" s="57" t="s">
        <v>15</v>
      </c>
      <c r="H7" s="58">
        <v>1604.105</v>
      </c>
      <c r="I7" s="58">
        <v>1962.8140000000001</v>
      </c>
      <c r="J7" s="58">
        <v>1777.0640000000001</v>
      </c>
      <c r="K7" s="58">
        <v>480.84</v>
      </c>
      <c r="L7" s="58">
        <v>195.017</v>
      </c>
      <c r="M7" s="58">
        <v>998.75800000000004</v>
      </c>
      <c r="N7" s="58">
        <v>919.03</v>
      </c>
      <c r="O7" s="58">
        <v>861.23500000000001</v>
      </c>
      <c r="P7" s="58">
        <v>1079</v>
      </c>
      <c r="Q7" s="58">
        <v>1065</v>
      </c>
      <c r="R7" s="58">
        <v>1037</v>
      </c>
      <c r="S7" s="58">
        <v>988</v>
      </c>
    </row>
    <row r="8" spans="1:19" ht="12" x14ac:dyDescent="0.2">
      <c r="A8" s="8"/>
      <c r="B8" s="2" t="s">
        <v>16</v>
      </c>
      <c r="C8" s="10" t="s">
        <v>17</v>
      </c>
      <c r="D8" s="10"/>
      <c r="E8" s="11" t="s">
        <v>11</v>
      </c>
      <c r="G8" s="57" t="s">
        <v>18</v>
      </c>
      <c r="H8" s="58">
        <v>0</v>
      </c>
      <c r="I8" s="58">
        <v>0</v>
      </c>
      <c r="J8" s="58">
        <v>0</v>
      </c>
      <c r="K8" s="58">
        <v>0</v>
      </c>
      <c r="L8" s="58">
        <v>0</v>
      </c>
      <c r="M8" s="58">
        <v>0</v>
      </c>
      <c r="N8" s="58">
        <v>0</v>
      </c>
      <c r="O8" s="58">
        <v>0</v>
      </c>
      <c r="P8" s="58">
        <v>0</v>
      </c>
      <c r="Q8" s="58">
        <v>0</v>
      </c>
      <c r="R8" s="58">
        <v>0</v>
      </c>
      <c r="S8" s="58">
        <v>0</v>
      </c>
    </row>
    <row r="9" spans="1:19" x14ac:dyDescent="0.2">
      <c r="A9" s="8"/>
      <c r="B9" s="2" t="s">
        <v>19</v>
      </c>
      <c r="C9" s="10">
        <v>108</v>
      </c>
      <c r="D9" s="10"/>
      <c r="E9" s="12"/>
      <c r="G9" s="57" t="s">
        <v>20</v>
      </c>
      <c r="H9" s="58">
        <v>0</v>
      </c>
      <c r="I9" s="58">
        <v>0</v>
      </c>
      <c r="J9" s="58">
        <v>0</v>
      </c>
      <c r="K9" s="58">
        <v>0</v>
      </c>
      <c r="L9" s="58">
        <v>0</v>
      </c>
      <c r="M9" s="58">
        <v>0</v>
      </c>
      <c r="N9" s="58">
        <v>0</v>
      </c>
      <c r="O9" s="58">
        <v>0</v>
      </c>
      <c r="P9" s="58">
        <v>0</v>
      </c>
      <c r="Q9" s="58">
        <v>0</v>
      </c>
      <c r="R9" s="58">
        <v>0</v>
      </c>
      <c r="S9" s="58">
        <v>0</v>
      </c>
    </row>
    <row r="10" spans="1:19" x14ac:dyDescent="0.2">
      <c r="A10" s="13"/>
      <c r="B10" s="2" t="s">
        <v>21</v>
      </c>
      <c r="C10" s="14">
        <v>15</v>
      </c>
      <c r="D10" s="14"/>
      <c r="E10" s="12"/>
      <c r="F10" s="13"/>
      <c r="G10" s="57" t="s">
        <v>22</v>
      </c>
      <c r="H10" s="56">
        <f t="shared" ref="H10:S10" si="2">SUM(H11:H16)</f>
        <v>102.057</v>
      </c>
      <c r="I10" s="56">
        <f t="shared" si="2"/>
        <v>55.276000000000003</v>
      </c>
      <c r="J10" s="56">
        <f t="shared" si="2"/>
        <v>40.590000000000003</v>
      </c>
      <c r="K10" s="56">
        <f t="shared" si="2"/>
        <v>30.056000000000001</v>
      </c>
      <c r="L10" s="56">
        <f t="shared" si="2"/>
        <v>26.096</v>
      </c>
      <c r="M10" s="56">
        <f t="shared" si="2"/>
        <v>1.01</v>
      </c>
      <c r="N10" s="56">
        <f t="shared" si="2"/>
        <v>0.80200000000000005</v>
      </c>
      <c r="O10" s="56">
        <f t="shared" si="2"/>
        <v>0</v>
      </c>
      <c r="P10" s="56">
        <f t="shared" si="2"/>
        <v>0</v>
      </c>
      <c r="Q10" s="56">
        <f t="shared" si="2"/>
        <v>0</v>
      </c>
      <c r="R10" s="56">
        <f t="shared" si="2"/>
        <v>0</v>
      </c>
      <c r="S10" s="56">
        <f t="shared" si="2"/>
        <v>0</v>
      </c>
    </row>
    <row r="11" spans="1:19" ht="12" x14ac:dyDescent="0.2">
      <c r="A11" s="13"/>
      <c r="B11" s="2" t="s">
        <v>23</v>
      </c>
      <c r="C11" s="14">
        <v>150</v>
      </c>
      <c r="D11" s="14"/>
      <c r="E11" s="11" t="s">
        <v>11</v>
      </c>
      <c r="F11" s="13"/>
      <c r="G11" s="57" t="s">
        <v>24</v>
      </c>
      <c r="H11" s="58">
        <v>0</v>
      </c>
      <c r="I11" s="58">
        <v>0</v>
      </c>
      <c r="J11" s="58">
        <v>0</v>
      </c>
      <c r="K11" s="58">
        <v>0</v>
      </c>
      <c r="L11" s="58">
        <v>0</v>
      </c>
      <c r="M11" s="58">
        <v>0</v>
      </c>
      <c r="N11" s="58">
        <v>0</v>
      </c>
      <c r="O11" s="58">
        <v>0</v>
      </c>
      <c r="P11" s="58">
        <v>0</v>
      </c>
      <c r="Q11" s="58">
        <v>0</v>
      </c>
      <c r="R11" s="58">
        <v>0</v>
      </c>
      <c r="S11" s="58">
        <v>0</v>
      </c>
    </row>
    <row r="12" spans="1:19" ht="12" x14ac:dyDescent="0.2">
      <c r="A12" s="13"/>
      <c r="B12" s="2" t="s">
        <v>25</v>
      </c>
      <c r="C12" s="14">
        <v>151</v>
      </c>
      <c r="D12" s="14"/>
      <c r="E12" s="11" t="s">
        <v>11</v>
      </c>
      <c r="F12" s="13"/>
      <c r="G12" s="57" t="s">
        <v>26</v>
      </c>
      <c r="H12" s="58">
        <v>0</v>
      </c>
      <c r="I12" s="58">
        <v>0</v>
      </c>
      <c r="J12" s="58">
        <v>0</v>
      </c>
      <c r="K12" s="58">
        <v>0</v>
      </c>
      <c r="L12" s="58">
        <v>0</v>
      </c>
      <c r="M12" s="58">
        <v>0</v>
      </c>
      <c r="N12" s="58">
        <v>0</v>
      </c>
      <c r="O12" s="58">
        <v>0</v>
      </c>
      <c r="P12" s="58">
        <v>0</v>
      </c>
      <c r="Q12" s="58">
        <v>0</v>
      </c>
      <c r="R12" s="58">
        <v>0</v>
      </c>
      <c r="S12" s="58">
        <v>0</v>
      </c>
    </row>
    <row r="13" spans="1:19" ht="12" x14ac:dyDescent="0.2">
      <c r="A13" s="8"/>
      <c r="B13" s="2" t="s">
        <v>27</v>
      </c>
      <c r="C13" s="10" t="s">
        <v>28</v>
      </c>
      <c r="D13" s="10"/>
      <c r="E13" s="11" t="s">
        <v>11</v>
      </c>
      <c r="G13" s="57" t="s">
        <v>29</v>
      </c>
      <c r="H13" s="58">
        <v>0</v>
      </c>
      <c r="I13" s="58">
        <v>0</v>
      </c>
      <c r="J13" s="58">
        <v>12.959</v>
      </c>
      <c r="K13" s="58">
        <v>13.446999999999999</v>
      </c>
      <c r="L13" s="58">
        <v>12.951000000000001</v>
      </c>
      <c r="M13" s="58">
        <v>1.01</v>
      </c>
      <c r="N13" s="58">
        <v>0.80200000000000005</v>
      </c>
      <c r="O13" s="58">
        <v>0</v>
      </c>
      <c r="P13" s="58">
        <v>0</v>
      </c>
      <c r="Q13" s="58">
        <v>0</v>
      </c>
      <c r="R13" s="58">
        <v>0</v>
      </c>
      <c r="S13" s="58">
        <v>0</v>
      </c>
    </row>
    <row r="14" spans="1:19" ht="12" x14ac:dyDescent="0.2">
      <c r="A14" s="8"/>
      <c r="B14" s="2" t="s">
        <v>30</v>
      </c>
      <c r="C14" s="10">
        <v>154</v>
      </c>
      <c r="D14" s="10"/>
      <c r="E14" s="11" t="s">
        <v>11</v>
      </c>
      <c r="G14" s="57" t="s">
        <v>31</v>
      </c>
      <c r="H14" s="58">
        <v>0</v>
      </c>
      <c r="I14" s="58">
        <v>0</v>
      </c>
      <c r="J14" s="58">
        <v>0</v>
      </c>
      <c r="K14" s="58">
        <v>0</v>
      </c>
      <c r="L14" s="58">
        <v>0</v>
      </c>
      <c r="M14" s="58">
        <v>0</v>
      </c>
      <c r="N14" s="58">
        <v>0</v>
      </c>
      <c r="O14" s="58">
        <v>0</v>
      </c>
      <c r="P14" s="58">
        <v>0</v>
      </c>
      <c r="Q14" s="58">
        <v>0</v>
      </c>
      <c r="R14" s="58">
        <v>0</v>
      </c>
      <c r="S14" s="58">
        <v>0</v>
      </c>
    </row>
    <row r="15" spans="1:19" ht="12" x14ac:dyDescent="0.2">
      <c r="A15" s="8"/>
      <c r="B15" s="2" t="s">
        <v>32</v>
      </c>
      <c r="C15" s="10" t="s">
        <v>33</v>
      </c>
      <c r="D15" s="10"/>
      <c r="E15" s="11" t="s">
        <v>11</v>
      </c>
      <c r="G15" s="57" t="s">
        <v>34</v>
      </c>
      <c r="H15" s="58">
        <v>102.057</v>
      </c>
      <c r="I15" s="58">
        <v>55.276000000000003</v>
      </c>
      <c r="J15" s="58">
        <f>0.952+26.679</f>
        <v>27.631</v>
      </c>
      <c r="K15" s="58">
        <f>7.405+9.204</f>
        <v>16.609000000000002</v>
      </c>
      <c r="L15" s="58">
        <f>5.554+7.591</f>
        <v>13.145</v>
      </c>
      <c r="M15" s="58">
        <v>0</v>
      </c>
      <c r="N15" s="58">
        <v>0</v>
      </c>
      <c r="O15" s="58">
        <v>0</v>
      </c>
      <c r="P15" s="58">
        <v>0</v>
      </c>
      <c r="Q15" s="58">
        <v>0</v>
      </c>
      <c r="R15" s="58">
        <v>0</v>
      </c>
      <c r="S15" s="58">
        <v>0</v>
      </c>
    </row>
    <row r="16" spans="1:19" ht="12" x14ac:dyDescent="0.2">
      <c r="A16" s="8"/>
      <c r="B16" s="2" t="s">
        <v>35</v>
      </c>
      <c r="C16" s="10">
        <v>157</v>
      </c>
      <c r="D16" s="10"/>
      <c r="E16" s="11" t="s">
        <v>11</v>
      </c>
      <c r="G16" s="57" t="s">
        <v>36</v>
      </c>
      <c r="H16" s="58">
        <v>0</v>
      </c>
      <c r="I16" s="58">
        <v>0</v>
      </c>
      <c r="J16" s="58">
        <v>0</v>
      </c>
      <c r="K16" s="58">
        <v>0</v>
      </c>
      <c r="L16" s="58">
        <v>0</v>
      </c>
      <c r="M16" s="58">
        <v>0</v>
      </c>
      <c r="N16" s="58">
        <v>0</v>
      </c>
      <c r="O16" s="58">
        <v>0</v>
      </c>
      <c r="P16" s="58">
        <v>0</v>
      </c>
      <c r="Q16" s="58">
        <v>0</v>
      </c>
      <c r="R16" s="58">
        <v>0</v>
      </c>
      <c r="S16" s="58">
        <v>0</v>
      </c>
    </row>
    <row r="17" spans="1:19" ht="12" x14ac:dyDescent="0.2">
      <c r="A17" s="15"/>
      <c r="B17" s="2" t="s">
        <v>37</v>
      </c>
      <c r="C17" s="78" t="s">
        <v>38</v>
      </c>
      <c r="D17" s="15"/>
      <c r="E17" s="11" t="s">
        <v>11</v>
      </c>
      <c r="F17" s="16"/>
      <c r="G17" s="59" t="s">
        <v>39</v>
      </c>
      <c r="H17" s="60">
        <v>0</v>
      </c>
      <c r="I17" s="60">
        <v>0</v>
      </c>
      <c r="J17" s="60">
        <v>0</v>
      </c>
      <c r="K17" s="60">
        <v>0</v>
      </c>
      <c r="L17" s="60">
        <v>0</v>
      </c>
      <c r="M17" s="60">
        <v>0</v>
      </c>
      <c r="N17" s="60">
        <v>0</v>
      </c>
      <c r="O17" s="60">
        <v>0</v>
      </c>
      <c r="P17" s="60">
        <v>0</v>
      </c>
      <c r="Q17" s="60">
        <v>0</v>
      </c>
      <c r="R17" s="60">
        <v>0</v>
      </c>
      <c r="S17" s="60">
        <v>0</v>
      </c>
    </row>
    <row r="18" spans="1:19" x14ac:dyDescent="0.2">
      <c r="A18" s="8"/>
      <c r="B18" s="2" t="s">
        <v>40</v>
      </c>
      <c r="C18" s="10">
        <v>2</v>
      </c>
      <c r="D18" s="10"/>
      <c r="E18" s="12"/>
      <c r="G18" s="57" t="s">
        <v>41</v>
      </c>
      <c r="H18" s="56">
        <f t="shared" ref="H18:S18" si="3">H19+H27</f>
        <v>2502.19</v>
      </c>
      <c r="I18" s="56">
        <f t="shared" si="3"/>
        <v>2971.125</v>
      </c>
      <c r="J18" s="56">
        <f t="shared" si="3"/>
        <v>2747.4290000000001</v>
      </c>
      <c r="K18" s="56">
        <f t="shared" si="3"/>
        <v>1455.415</v>
      </c>
      <c r="L18" s="56">
        <f t="shared" si="3"/>
        <v>1292.51</v>
      </c>
      <c r="M18" s="56">
        <f t="shared" si="3"/>
        <v>1367.9430000000002</v>
      </c>
      <c r="N18" s="56">
        <f t="shared" si="3"/>
        <v>1153.682</v>
      </c>
      <c r="O18" s="56">
        <f t="shared" si="3"/>
        <v>1129.2350000000001</v>
      </c>
      <c r="P18" s="56">
        <f t="shared" si="3"/>
        <v>1323</v>
      </c>
      <c r="Q18" s="56">
        <f t="shared" si="3"/>
        <v>1313</v>
      </c>
      <c r="R18" s="56">
        <f t="shared" si="3"/>
        <v>1289</v>
      </c>
      <c r="S18" s="56">
        <f t="shared" si="3"/>
        <v>1244</v>
      </c>
    </row>
    <row r="19" spans="1:19" x14ac:dyDescent="0.2">
      <c r="A19" s="8"/>
      <c r="B19" s="2" t="s">
        <v>42</v>
      </c>
      <c r="C19" s="10" t="s">
        <v>43</v>
      </c>
      <c r="D19" s="10"/>
      <c r="E19" s="12"/>
      <c r="G19" s="57" t="s">
        <v>44</v>
      </c>
      <c r="H19" s="56">
        <f t="shared" ref="H19:R19" si="4">SUM(H21:H26)</f>
        <v>2243.0070000000001</v>
      </c>
      <c r="I19" s="56">
        <f t="shared" si="4"/>
        <v>2795.4989999999998</v>
      </c>
      <c r="J19" s="56">
        <f t="shared" si="4"/>
        <v>2575.223</v>
      </c>
      <c r="K19" s="56">
        <f t="shared" si="4"/>
        <v>1276.047</v>
      </c>
      <c r="L19" s="56">
        <f t="shared" si="4"/>
        <v>841.14099999999996</v>
      </c>
      <c r="M19" s="56">
        <f t="shared" si="4"/>
        <v>1033.873</v>
      </c>
      <c r="N19" s="56">
        <f t="shared" si="4"/>
        <v>728.822</v>
      </c>
      <c r="O19" s="56">
        <f t="shared" si="4"/>
        <v>602.23500000000001</v>
      </c>
      <c r="P19" s="56">
        <f t="shared" si="4"/>
        <v>792</v>
      </c>
      <c r="Q19" s="56">
        <f t="shared" si="4"/>
        <v>778</v>
      </c>
      <c r="R19" s="56">
        <f t="shared" si="4"/>
        <v>750</v>
      </c>
      <c r="S19" s="56">
        <f t="shared" ref="S19" si="5">SUM(S21:S26)</f>
        <v>701</v>
      </c>
    </row>
    <row r="20" spans="1:19" ht="12" x14ac:dyDescent="0.2">
      <c r="A20" s="17"/>
      <c r="B20" s="2" t="s">
        <v>45</v>
      </c>
      <c r="C20" s="78" t="s">
        <v>46</v>
      </c>
      <c r="D20" s="15"/>
      <c r="E20" s="11" t="s">
        <v>11</v>
      </c>
      <c r="F20" s="17"/>
      <c r="G20" s="59" t="s">
        <v>47</v>
      </c>
      <c r="H20" s="61">
        <v>2243.0039999999999</v>
      </c>
      <c r="I20" s="61">
        <v>2795.4989999999998</v>
      </c>
      <c r="J20" s="61">
        <v>2575.223</v>
      </c>
      <c r="K20" s="61">
        <v>1276.047</v>
      </c>
      <c r="L20" s="61">
        <v>841.14099999999996</v>
      </c>
      <c r="M20" s="61">
        <v>1033.873</v>
      </c>
      <c r="N20" s="61">
        <v>0</v>
      </c>
      <c r="O20" s="61">
        <v>0</v>
      </c>
      <c r="P20" s="61">
        <v>0</v>
      </c>
      <c r="Q20" s="61">
        <v>0</v>
      </c>
      <c r="R20" s="61">
        <v>0</v>
      </c>
      <c r="S20" s="61">
        <v>0</v>
      </c>
    </row>
    <row r="21" spans="1:19" ht="12" x14ac:dyDescent="0.2">
      <c r="A21" s="8"/>
      <c r="B21" s="2" t="s">
        <v>48</v>
      </c>
      <c r="C21" s="18" t="s">
        <v>49</v>
      </c>
      <c r="D21" s="18"/>
      <c r="E21" s="11" t="s">
        <v>11</v>
      </c>
      <c r="G21" s="57" t="s">
        <v>50</v>
      </c>
      <c r="H21" s="58">
        <v>2243.0070000000001</v>
      </c>
      <c r="I21" s="58">
        <v>2795.4989999999998</v>
      </c>
      <c r="J21" s="58">
        <v>2575.223</v>
      </c>
      <c r="K21" s="58">
        <v>1276.047</v>
      </c>
      <c r="L21" s="58">
        <v>841.14099999999996</v>
      </c>
      <c r="M21" s="58">
        <v>1033.873</v>
      </c>
      <c r="N21" s="58">
        <v>728.822</v>
      </c>
      <c r="O21" s="58">
        <v>602.23500000000001</v>
      </c>
      <c r="P21" s="58">
        <v>792</v>
      </c>
      <c r="Q21" s="58">
        <v>778</v>
      </c>
      <c r="R21" s="58">
        <v>750</v>
      </c>
      <c r="S21" s="58">
        <v>701</v>
      </c>
    </row>
    <row r="22" spans="1:19" ht="12" x14ac:dyDescent="0.2">
      <c r="A22" s="8"/>
      <c r="B22" s="2" t="s">
        <v>51</v>
      </c>
      <c r="C22" s="10" t="s">
        <v>52</v>
      </c>
      <c r="D22" s="10"/>
      <c r="E22" s="11" t="s">
        <v>11</v>
      </c>
      <c r="G22" s="57" t="s">
        <v>53</v>
      </c>
      <c r="H22" s="58">
        <v>0</v>
      </c>
      <c r="I22" s="58">
        <v>0</v>
      </c>
      <c r="J22" s="58">
        <v>0</v>
      </c>
      <c r="K22" s="58">
        <v>0</v>
      </c>
      <c r="L22" s="58">
        <v>0</v>
      </c>
      <c r="M22" s="58">
        <v>0</v>
      </c>
      <c r="N22" s="58">
        <v>0</v>
      </c>
      <c r="O22" s="58">
        <v>0</v>
      </c>
      <c r="P22" s="58">
        <v>0</v>
      </c>
      <c r="Q22" s="58">
        <v>0</v>
      </c>
      <c r="R22" s="58">
        <v>0</v>
      </c>
      <c r="S22" s="58">
        <v>0</v>
      </c>
    </row>
    <row r="23" spans="1:19" ht="12" x14ac:dyDescent="0.2">
      <c r="A23" s="8"/>
      <c r="B23" s="2" t="s">
        <v>54</v>
      </c>
      <c r="C23" s="10">
        <v>257</v>
      </c>
      <c r="D23" s="10"/>
      <c r="E23" s="11" t="s">
        <v>11</v>
      </c>
      <c r="G23" s="57" t="s">
        <v>55</v>
      </c>
      <c r="H23" s="58">
        <v>0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</row>
    <row r="24" spans="1:19" ht="12" x14ac:dyDescent="0.2">
      <c r="A24" s="19"/>
      <c r="B24" s="2" t="s">
        <v>56</v>
      </c>
      <c r="C24" s="10" t="s">
        <v>57</v>
      </c>
      <c r="D24" s="10"/>
      <c r="E24" s="11" t="s">
        <v>11</v>
      </c>
      <c r="F24" s="19"/>
      <c r="G24" s="57" t="s">
        <v>58</v>
      </c>
      <c r="H24" s="58">
        <v>0</v>
      </c>
      <c r="I24" s="58">
        <v>0</v>
      </c>
      <c r="J24" s="58">
        <v>0</v>
      </c>
      <c r="K24" s="58">
        <v>0</v>
      </c>
      <c r="L24" s="58">
        <v>0</v>
      </c>
      <c r="M24" s="58">
        <v>0</v>
      </c>
      <c r="N24" s="58">
        <v>0</v>
      </c>
      <c r="O24" s="58">
        <v>0</v>
      </c>
      <c r="P24" s="58">
        <v>0</v>
      </c>
      <c r="Q24" s="58">
        <v>0</v>
      </c>
      <c r="R24" s="58">
        <v>0</v>
      </c>
      <c r="S24" s="58">
        <v>0</v>
      </c>
    </row>
    <row r="25" spans="1:19" ht="12" x14ac:dyDescent="0.2">
      <c r="A25" s="19"/>
      <c r="B25" s="2" t="s">
        <v>59</v>
      </c>
      <c r="C25" s="10" t="s">
        <v>60</v>
      </c>
      <c r="D25" s="10"/>
      <c r="E25" s="11" t="s">
        <v>11</v>
      </c>
      <c r="F25" s="19"/>
      <c r="G25" s="57" t="s">
        <v>61</v>
      </c>
      <c r="H25" s="58">
        <v>0</v>
      </c>
      <c r="I25" s="58">
        <v>0</v>
      </c>
      <c r="J25" s="58">
        <v>0</v>
      </c>
      <c r="K25" s="58">
        <v>0</v>
      </c>
      <c r="L25" s="58">
        <v>0</v>
      </c>
      <c r="M25" s="58">
        <v>0</v>
      </c>
      <c r="N25" s="58">
        <v>0</v>
      </c>
      <c r="O25" s="58">
        <v>0</v>
      </c>
      <c r="P25" s="58">
        <v>0</v>
      </c>
      <c r="Q25" s="58">
        <v>0</v>
      </c>
      <c r="R25" s="58">
        <v>0</v>
      </c>
      <c r="S25" s="58">
        <v>0</v>
      </c>
    </row>
    <row r="26" spans="1:19" ht="12" x14ac:dyDescent="0.2">
      <c r="A26" s="8"/>
      <c r="B26" s="2" t="s">
        <v>62</v>
      </c>
      <c r="C26" s="10">
        <v>28</v>
      </c>
      <c r="D26" s="10"/>
      <c r="E26" s="11" t="s">
        <v>11</v>
      </c>
      <c r="G26" s="57" t="s">
        <v>63</v>
      </c>
      <c r="H26" s="58">
        <v>0</v>
      </c>
      <c r="I26" s="58">
        <v>0</v>
      </c>
      <c r="J26" s="58">
        <v>0</v>
      </c>
      <c r="K26" s="58">
        <v>0</v>
      </c>
      <c r="L26" s="58">
        <v>0</v>
      </c>
      <c r="M26" s="58">
        <v>0</v>
      </c>
      <c r="N26" s="58">
        <v>0</v>
      </c>
      <c r="O26" s="58">
        <v>0</v>
      </c>
      <c r="P26" s="58">
        <v>0</v>
      </c>
      <c r="Q26" s="58">
        <v>0</v>
      </c>
      <c r="R26" s="58">
        <v>0</v>
      </c>
      <c r="S26" s="58">
        <v>0</v>
      </c>
    </row>
    <row r="27" spans="1:19" x14ac:dyDescent="0.2">
      <c r="A27" s="8"/>
      <c r="B27" s="2" t="s">
        <v>64</v>
      </c>
      <c r="C27" s="10">
        <v>29</v>
      </c>
      <c r="D27" s="10"/>
      <c r="E27" s="12"/>
      <c r="G27" s="57" t="s">
        <v>65</v>
      </c>
      <c r="H27" s="56">
        <f t="shared" ref="H27:S27" si="6">SUM(H28:H30)</f>
        <v>259.18299999999999</v>
      </c>
      <c r="I27" s="56">
        <f t="shared" si="6"/>
        <v>175.62599999999998</v>
      </c>
      <c r="J27" s="56">
        <f t="shared" si="6"/>
        <v>172.20599999999999</v>
      </c>
      <c r="K27" s="56">
        <f t="shared" si="6"/>
        <v>179.36799999999999</v>
      </c>
      <c r="L27" s="56">
        <f t="shared" si="6"/>
        <v>451.36899999999997</v>
      </c>
      <c r="M27" s="56">
        <f t="shared" si="6"/>
        <v>334.07000000000005</v>
      </c>
      <c r="N27" s="56">
        <f t="shared" si="6"/>
        <v>424.86</v>
      </c>
      <c r="O27" s="56">
        <f t="shared" si="6"/>
        <v>527</v>
      </c>
      <c r="P27" s="56">
        <f t="shared" si="6"/>
        <v>531</v>
      </c>
      <c r="Q27" s="56">
        <f t="shared" si="6"/>
        <v>535</v>
      </c>
      <c r="R27" s="56">
        <f t="shared" si="6"/>
        <v>539</v>
      </c>
      <c r="S27" s="56">
        <f t="shared" si="6"/>
        <v>543</v>
      </c>
    </row>
    <row r="28" spans="1:19" ht="12" x14ac:dyDescent="0.2">
      <c r="A28" s="8"/>
      <c r="B28" s="2" t="s">
        <v>66</v>
      </c>
      <c r="C28" s="8" t="s">
        <v>67</v>
      </c>
      <c r="D28" s="8"/>
      <c r="E28" s="11" t="s">
        <v>11</v>
      </c>
      <c r="G28" s="57" t="s">
        <v>68</v>
      </c>
      <c r="H28" s="58">
        <v>0</v>
      </c>
      <c r="I28" s="58">
        <v>0</v>
      </c>
      <c r="J28" s="58">
        <v>0</v>
      </c>
      <c r="K28" s="58">
        <v>0</v>
      </c>
      <c r="L28" s="58">
        <v>0</v>
      </c>
      <c r="M28" s="58">
        <v>0</v>
      </c>
      <c r="N28" s="58">
        <v>0</v>
      </c>
      <c r="O28" s="58">
        <v>0</v>
      </c>
      <c r="P28" s="58">
        <v>0</v>
      </c>
      <c r="Q28" s="58">
        <v>0</v>
      </c>
      <c r="R28" s="58">
        <v>0</v>
      </c>
      <c r="S28" s="58">
        <v>0</v>
      </c>
    </row>
    <row r="29" spans="1:19" ht="12" x14ac:dyDescent="0.2">
      <c r="A29" s="8"/>
      <c r="B29" s="2" t="s">
        <v>69</v>
      </c>
      <c r="C29" s="10">
        <v>298</v>
      </c>
      <c r="D29" s="10"/>
      <c r="E29" s="11" t="s">
        <v>11</v>
      </c>
      <c r="G29" s="57" t="s">
        <v>70</v>
      </c>
      <c r="H29" s="58">
        <v>330.303</v>
      </c>
      <c r="I29" s="58">
        <f>H29+H30</f>
        <v>259.18299999999999</v>
      </c>
      <c r="J29" s="58">
        <v>175.625</v>
      </c>
      <c r="K29" s="58">
        <v>172.20599999999999</v>
      </c>
      <c r="L29" s="58">
        <v>179.36799999999999</v>
      </c>
      <c r="M29" s="58">
        <v>451.36900000000003</v>
      </c>
      <c r="N29" s="58">
        <v>334.07</v>
      </c>
      <c r="O29" s="58">
        <v>425</v>
      </c>
      <c r="P29" s="58">
        <v>527</v>
      </c>
      <c r="Q29" s="58">
        <v>531</v>
      </c>
      <c r="R29" s="58">
        <v>535</v>
      </c>
      <c r="S29" s="58">
        <v>539</v>
      </c>
    </row>
    <row r="30" spans="1:19" ht="12" x14ac:dyDescent="0.2">
      <c r="A30" s="8"/>
      <c r="B30" s="2" t="s">
        <v>71</v>
      </c>
      <c r="C30" s="10">
        <v>299</v>
      </c>
      <c r="D30" s="10"/>
      <c r="E30" s="11" t="s">
        <v>72</v>
      </c>
      <c r="G30" s="57" t="s">
        <v>73</v>
      </c>
      <c r="H30" s="58">
        <v>-71.12</v>
      </c>
      <c r="I30" s="58">
        <v>-83.557000000000002</v>
      </c>
      <c r="J30" s="58">
        <v>-3.419</v>
      </c>
      <c r="K30" s="58">
        <v>7.1619999999999999</v>
      </c>
      <c r="L30" s="58">
        <v>272.00099999999998</v>
      </c>
      <c r="M30" s="58">
        <v>-117.29900000000001</v>
      </c>
      <c r="N30" s="58">
        <v>90.79</v>
      </c>
      <c r="O30" s="58">
        <v>102</v>
      </c>
      <c r="P30" s="58">
        <v>4</v>
      </c>
      <c r="Q30" s="58">
        <v>4</v>
      </c>
      <c r="R30" s="58">
        <v>4</v>
      </c>
      <c r="S30" s="58">
        <v>4</v>
      </c>
    </row>
    <row r="31" spans="1:19" x14ac:dyDescent="0.2">
      <c r="A31" s="20"/>
      <c r="B31" s="2" t="s">
        <v>368</v>
      </c>
      <c r="C31" s="83" t="s">
        <v>369</v>
      </c>
      <c r="D31" s="21"/>
      <c r="E31" s="22"/>
      <c r="F31" s="20"/>
      <c r="G31" s="62" t="s">
        <v>74</v>
      </c>
      <c r="H31" s="63">
        <f t="shared" ref="H31:S31" si="7">H4-H18</f>
        <v>-2.0000000004074536E-3</v>
      </c>
      <c r="I31" s="63">
        <f t="shared" si="7"/>
        <v>-1.0000000002037268E-3</v>
      </c>
      <c r="J31" s="63">
        <f t="shared" si="7"/>
        <v>1.0000000002037268E-3</v>
      </c>
      <c r="K31" s="63">
        <f t="shared" si="7"/>
        <v>0</v>
      </c>
      <c r="L31" s="63">
        <f t="shared" si="7"/>
        <v>9.9999999997635314E-4</v>
      </c>
      <c r="M31" s="63">
        <f t="shared" si="7"/>
        <v>0</v>
      </c>
      <c r="N31" s="63">
        <f t="shared" si="7"/>
        <v>-1.0000000002037268E-3</v>
      </c>
      <c r="O31" s="63">
        <f t="shared" si="7"/>
        <v>-0.14499999999998181</v>
      </c>
      <c r="P31" s="63">
        <f t="shared" si="7"/>
        <v>0</v>
      </c>
      <c r="Q31" s="63">
        <f t="shared" si="7"/>
        <v>0</v>
      </c>
      <c r="R31" s="63">
        <f t="shared" si="7"/>
        <v>0</v>
      </c>
      <c r="S31" s="63">
        <f t="shared" si="7"/>
        <v>0</v>
      </c>
    </row>
    <row r="32" spans="1:19" x14ac:dyDescent="0.2">
      <c r="A32" s="8"/>
      <c r="B32" s="2"/>
      <c r="C32" s="10"/>
      <c r="D32" s="10"/>
      <c r="E32" s="9"/>
      <c r="G32" s="53" t="s">
        <v>75</v>
      </c>
      <c r="H32" s="64">
        <v>2011</v>
      </c>
      <c r="I32" s="64">
        <f t="shared" ref="I32:S32" si="8">H32+1</f>
        <v>2012</v>
      </c>
      <c r="J32" s="64">
        <f t="shared" si="8"/>
        <v>2013</v>
      </c>
      <c r="K32" s="64">
        <f t="shared" si="8"/>
        <v>2014</v>
      </c>
      <c r="L32" s="64">
        <f t="shared" si="8"/>
        <v>2015</v>
      </c>
      <c r="M32" s="64">
        <f t="shared" si="8"/>
        <v>2016</v>
      </c>
      <c r="N32" s="64">
        <f t="shared" si="8"/>
        <v>2017</v>
      </c>
      <c r="O32" s="64">
        <f t="shared" si="8"/>
        <v>2018</v>
      </c>
      <c r="P32" s="64">
        <f t="shared" si="8"/>
        <v>2019</v>
      </c>
      <c r="Q32" s="64">
        <f t="shared" si="8"/>
        <v>2020</v>
      </c>
      <c r="R32" s="64">
        <f t="shared" si="8"/>
        <v>2021</v>
      </c>
      <c r="S32" s="64">
        <f t="shared" si="8"/>
        <v>2022</v>
      </c>
    </row>
    <row r="33" spans="1:19" x14ac:dyDescent="0.2">
      <c r="A33" s="8"/>
      <c r="B33" s="2" t="s">
        <v>76</v>
      </c>
      <c r="C33" s="10">
        <v>3</v>
      </c>
      <c r="D33" s="10"/>
      <c r="E33" s="9"/>
      <c r="G33" s="55" t="s">
        <v>77</v>
      </c>
      <c r="H33" s="56">
        <f t="shared" ref="H33:S33" si="9">SUM(H34:H37)</f>
        <v>3621.4169999999999</v>
      </c>
      <c r="I33" s="56">
        <f t="shared" si="9"/>
        <v>4004.1970000000001</v>
      </c>
      <c r="J33" s="56">
        <f t="shared" si="9"/>
        <v>4245.6639999999998</v>
      </c>
      <c r="K33" s="56">
        <f t="shared" si="9"/>
        <v>3544.1880000000001</v>
      </c>
      <c r="L33" s="56">
        <f t="shared" si="9"/>
        <v>2525.4639999999999</v>
      </c>
      <c r="M33" s="56">
        <f t="shared" si="9"/>
        <v>3443.585</v>
      </c>
      <c r="N33" s="56">
        <f t="shared" si="9"/>
        <v>3772.3879999999999</v>
      </c>
      <c r="O33" s="56">
        <f t="shared" si="9"/>
        <v>6276.5770000000002</v>
      </c>
      <c r="P33" s="56">
        <f t="shared" si="9"/>
        <v>5593.87</v>
      </c>
      <c r="Q33" s="56">
        <f t="shared" si="9"/>
        <v>4782.1639999999998</v>
      </c>
      <c r="R33" s="56">
        <f t="shared" si="9"/>
        <v>4395</v>
      </c>
      <c r="S33" s="56">
        <f t="shared" si="9"/>
        <v>3828</v>
      </c>
    </row>
    <row r="34" spans="1:19" ht="12" x14ac:dyDescent="0.2">
      <c r="A34" s="8"/>
      <c r="B34" s="2" t="s">
        <v>78</v>
      </c>
      <c r="C34" s="10">
        <v>30</v>
      </c>
      <c r="D34" s="10"/>
      <c r="E34" s="11" t="s">
        <v>11</v>
      </c>
      <c r="G34" s="57" t="s">
        <v>79</v>
      </c>
      <c r="H34" s="58">
        <v>0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58">
        <v>0</v>
      </c>
      <c r="O34" s="58">
        <v>0</v>
      </c>
      <c r="P34" s="58"/>
      <c r="Q34" s="58">
        <v>0</v>
      </c>
      <c r="R34" s="58">
        <v>0</v>
      </c>
      <c r="S34" s="58">
        <v>0</v>
      </c>
    </row>
    <row r="35" spans="1:19" ht="12" x14ac:dyDescent="0.2">
      <c r="A35" s="8"/>
      <c r="B35" s="2" t="s">
        <v>80</v>
      </c>
      <c r="C35" s="10">
        <v>32</v>
      </c>
      <c r="D35" s="10"/>
      <c r="E35" s="11" t="s">
        <v>11</v>
      </c>
      <c r="G35" s="57" t="s">
        <v>81</v>
      </c>
      <c r="H35" s="58">
        <v>0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9.5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</row>
    <row r="36" spans="1:19" ht="12" x14ac:dyDescent="0.2">
      <c r="A36" s="13"/>
      <c r="B36" s="2" t="s">
        <v>82</v>
      </c>
      <c r="C36" s="10">
        <v>35</v>
      </c>
      <c r="D36" s="10"/>
      <c r="E36" s="11" t="s">
        <v>11</v>
      </c>
      <c r="F36" s="13"/>
      <c r="G36" s="57" t="s">
        <v>83</v>
      </c>
      <c r="H36" s="58">
        <v>3621.4169999999999</v>
      </c>
      <c r="I36" s="58">
        <v>4003.8290000000002</v>
      </c>
      <c r="J36" s="58">
        <v>4245.6639999999998</v>
      </c>
      <c r="K36" s="58">
        <v>3544.0540000000001</v>
      </c>
      <c r="L36" s="58">
        <v>2525.364</v>
      </c>
      <c r="M36" s="58">
        <v>3443.585</v>
      </c>
      <c r="N36" s="58">
        <v>3762.8879999999999</v>
      </c>
      <c r="O36" s="58">
        <v>6276.5770000000002</v>
      </c>
      <c r="P36" s="58">
        <v>5593.87</v>
      </c>
      <c r="Q36" s="58">
        <v>4782.1639999999998</v>
      </c>
      <c r="R36" s="58">
        <v>4395</v>
      </c>
      <c r="S36" s="58">
        <v>3828</v>
      </c>
    </row>
    <row r="37" spans="1:19" ht="12" x14ac:dyDescent="0.2">
      <c r="A37" s="8"/>
      <c r="B37" s="2" t="s">
        <v>84</v>
      </c>
      <c r="C37" s="10">
        <v>38</v>
      </c>
      <c r="D37" s="10"/>
      <c r="E37" s="11" t="s">
        <v>72</v>
      </c>
      <c r="G37" s="57" t="s">
        <v>85</v>
      </c>
      <c r="H37" s="58">
        <v>0</v>
      </c>
      <c r="I37" s="58">
        <v>0.36799999999999999</v>
      </c>
      <c r="J37" s="58">
        <v>0</v>
      </c>
      <c r="K37" s="58">
        <v>0.13400000000000001</v>
      </c>
      <c r="L37" s="58">
        <v>0.1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</row>
    <row r="38" spans="1:19" x14ac:dyDescent="0.2">
      <c r="A38" s="8"/>
      <c r="B38" s="2" t="s">
        <v>86</v>
      </c>
      <c r="C38" s="10">
        <v>4</v>
      </c>
      <c r="D38" s="10"/>
      <c r="E38" s="23"/>
      <c r="G38" s="57" t="s">
        <v>87</v>
      </c>
      <c r="H38" s="56">
        <f t="shared" ref="H38:S38" si="10">H39+H40</f>
        <v>-2510.4589999999998</v>
      </c>
      <c r="I38" s="56">
        <f t="shared" si="10"/>
        <v>-2730.9989999999998</v>
      </c>
      <c r="J38" s="56">
        <f t="shared" si="10"/>
        <v>-3280.5679999999998</v>
      </c>
      <c r="K38" s="56">
        <f t="shared" si="10"/>
        <v>-2724.5239999999999</v>
      </c>
      <c r="L38" s="56">
        <f t="shared" si="10"/>
        <v>-1416.4560000000001</v>
      </c>
      <c r="M38" s="56">
        <f t="shared" si="10"/>
        <v>-1318.597</v>
      </c>
      <c r="N38" s="56">
        <f t="shared" si="10"/>
        <v>-1077.9099999999999</v>
      </c>
      <c r="O38" s="56">
        <f t="shared" si="10"/>
        <v>-1030.347</v>
      </c>
      <c r="P38" s="56">
        <f t="shared" si="10"/>
        <v>-1014</v>
      </c>
      <c r="Q38" s="56">
        <f t="shared" si="10"/>
        <v>-1001</v>
      </c>
      <c r="R38" s="56">
        <f t="shared" si="10"/>
        <v>-1001</v>
      </c>
      <c r="S38" s="56">
        <f t="shared" si="10"/>
        <v>-1001</v>
      </c>
    </row>
    <row r="39" spans="1:19" ht="12" x14ac:dyDescent="0.2">
      <c r="A39" s="8"/>
      <c r="B39" s="2" t="s">
        <v>88</v>
      </c>
      <c r="C39" s="10">
        <v>41</v>
      </c>
      <c r="D39" s="10"/>
      <c r="E39" s="11" t="s">
        <v>89</v>
      </c>
      <c r="G39" s="57" t="s">
        <v>90</v>
      </c>
      <c r="H39" s="58">
        <v>-83.090999999999994</v>
      </c>
      <c r="I39" s="58">
        <v>0</v>
      </c>
      <c r="J39" s="58">
        <v>-96.24</v>
      </c>
      <c r="K39" s="58">
        <v>-81.149000000000001</v>
      </c>
      <c r="L39" s="58">
        <v>-93.103999999999999</v>
      </c>
      <c r="M39" s="58">
        <v>-64.248000000000005</v>
      </c>
      <c r="N39" s="58">
        <v>-95.725999999999999</v>
      </c>
      <c r="O39" s="58">
        <v>-70</v>
      </c>
      <c r="P39" s="58">
        <v>-79</v>
      </c>
      <c r="Q39" s="58">
        <v>-79</v>
      </c>
      <c r="R39" s="58">
        <v>-79</v>
      </c>
      <c r="S39" s="58">
        <v>-79</v>
      </c>
    </row>
    <row r="40" spans="1:19" ht="12" x14ac:dyDescent="0.2">
      <c r="A40" s="8"/>
      <c r="B40" s="2" t="s">
        <v>91</v>
      </c>
      <c r="C40" s="10">
        <v>45</v>
      </c>
      <c r="D40" s="10"/>
      <c r="E40" s="11" t="s">
        <v>89</v>
      </c>
      <c r="G40" s="57" t="s">
        <v>92</v>
      </c>
      <c r="H40" s="58">
        <v>-2427.3679999999999</v>
      </c>
      <c r="I40" s="58">
        <v>-2730.9989999999998</v>
      </c>
      <c r="J40" s="58">
        <v>-3184.328</v>
      </c>
      <c r="K40" s="58">
        <v>-2643.375</v>
      </c>
      <c r="L40" s="58">
        <v>-1323.3520000000001</v>
      </c>
      <c r="M40" s="58">
        <v>-1254.3489999999999</v>
      </c>
      <c r="N40" s="58">
        <v>-982.18399999999997</v>
      </c>
      <c r="O40" s="58">
        <v>-960.34699999999998</v>
      </c>
      <c r="P40" s="58">
        <v>-935</v>
      </c>
      <c r="Q40" s="58">
        <v>-922</v>
      </c>
      <c r="R40" s="58">
        <v>-922</v>
      </c>
      <c r="S40" s="58">
        <v>-922</v>
      </c>
    </row>
    <row r="41" spans="1:19" x14ac:dyDescent="0.2">
      <c r="A41" s="13"/>
      <c r="B41" s="2" t="s">
        <v>93</v>
      </c>
      <c r="C41" s="10" t="s">
        <v>94</v>
      </c>
      <c r="D41" s="10"/>
      <c r="E41" s="23"/>
      <c r="F41" s="13"/>
      <c r="G41" s="57" t="s">
        <v>95</v>
      </c>
      <c r="H41" s="56">
        <f t="shared" ref="H41:S41" si="11">SUM(H42:H45)</f>
        <v>-1185.538</v>
      </c>
      <c r="I41" s="56">
        <f t="shared" si="11"/>
        <v>-1358.0119999999999</v>
      </c>
      <c r="J41" s="56">
        <f t="shared" si="11"/>
        <v>-966.04899999999998</v>
      </c>
      <c r="K41" s="56">
        <f t="shared" si="11"/>
        <v>-813.20900000000006</v>
      </c>
      <c r="L41" s="56">
        <f t="shared" si="11"/>
        <v>-839.84400000000016</v>
      </c>
      <c r="M41" s="56">
        <f t="shared" si="11"/>
        <v>-2244.8240000000001</v>
      </c>
      <c r="N41" s="56">
        <f t="shared" si="11"/>
        <v>-2604.0009999999997</v>
      </c>
      <c r="O41" s="56">
        <f t="shared" si="11"/>
        <v>-5144.2920000000004</v>
      </c>
      <c r="P41" s="56">
        <f t="shared" si="11"/>
        <v>-4576</v>
      </c>
      <c r="Q41" s="56">
        <f t="shared" si="11"/>
        <v>-3777</v>
      </c>
      <c r="R41" s="56">
        <f t="shared" si="11"/>
        <v>-3390</v>
      </c>
      <c r="S41" s="56">
        <f t="shared" si="11"/>
        <v>-2823</v>
      </c>
    </row>
    <row r="42" spans="1:19" ht="12" x14ac:dyDescent="0.2">
      <c r="A42" s="8"/>
      <c r="B42" s="2" t="s">
        <v>96</v>
      </c>
      <c r="C42" s="10">
        <v>50</v>
      </c>
      <c r="D42" s="10"/>
      <c r="E42" s="11" t="s">
        <v>89</v>
      </c>
      <c r="G42" s="57" t="s">
        <v>97</v>
      </c>
      <c r="H42" s="58">
        <v>-734.89200000000005</v>
      </c>
      <c r="I42" s="58">
        <v>-762.10199999999998</v>
      </c>
      <c r="J42" s="58">
        <v>-566.56100000000004</v>
      </c>
      <c r="K42" s="58">
        <v>-480.04899999999998</v>
      </c>
      <c r="L42" s="58">
        <v>-537.36</v>
      </c>
      <c r="M42" s="58">
        <v>-626.37400000000002</v>
      </c>
      <c r="N42" s="58">
        <v>-625.91099999999994</v>
      </c>
      <c r="O42" s="58">
        <v>-826.60400000000004</v>
      </c>
      <c r="P42" s="58">
        <v>-799</v>
      </c>
      <c r="Q42" s="58">
        <v>-799</v>
      </c>
      <c r="R42" s="58">
        <v>-796</v>
      </c>
      <c r="S42" s="58">
        <v>-728</v>
      </c>
    </row>
    <row r="43" spans="1:19" ht="12" x14ac:dyDescent="0.2">
      <c r="A43" s="8"/>
      <c r="B43" s="2" t="s">
        <v>98</v>
      </c>
      <c r="C43" s="10">
        <v>55</v>
      </c>
      <c r="D43" s="10"/>
      <c r="E43" s="11" t="s">
        <v>89</v>
      </c>
      <c r="G43" s="57" t="s">
        <v>99</v>
      </c>
      <c r="H43" s="58">
        <v>-266.279</v>
      </c>
      <c r="I43" s="58">
        <v>-363.57299999999998</v>
      </c>
      <c r="J43" s="58">
        <v>-278.73599999999999</v>
      </c>
      <c r="K43" s="58">
        <v>-232.13</v>
      </c>
      <c r="L43" s="58">
        <v>-252.07900000000001</v>
      </c>
      <c r="M43" s="58">
        <v>-1415.6780000000001</v>
      </c>
      <c r="N43" s="58">
        <v>-1734.9970000000001</v>
      </c>
      <c r="O43" s="58">
        <v>-3790.0619999999999</v>
      </c>
      <c r="P43" s="58">
        <v>-3436</v>
      </c>
      <c r="Q43" s="58">
        <v>-2654</v>
      </c>
      <c r="R43" s="58">
        <v>-2314</v>
      </c>
      <c r="S43" s="58">
        <v>-1881</v>
      </c>
    </row>
    <row r="44" spans="1:19" ht="12" x14ac:dyDescent="0.2">
      <c r="A44" s="13"/>
      <c r="B44" s="2" t="s">
        <v>100</v>
      </c>
      <c r="C44" s="10">
        <v>60</v>
      </c>
      <c r="D44" s="10"/>
      <c r="E44" s="11" t="s">
        <v>89</v>
      </c>
      <c r="F44" s="13"/>
      <c r="G44" s="57" t="s">
        <v>101</v>
      </c>
      <c r="H44" s="58">
        <v>-109.78700000000001</v>
      </c>
      <c r="I44" s="58">
        <v>-166.76599999999999</v>
      </c>
      <c r="J44" s="58">
        <v>-95.852999999999994</v>
      </c>
      <c r="K44" s="58">
        <v>-84.781999999999996</v>
      </c>
      <c r="L44" s="58">
        <v>-46.94</v>
      </c>
      <c r="M44" s="58">
        <v>-195.42699999999999</v>
      </c>
      <c r="N44" s="58">
        <v>-243.09299999999999</v>
      </c>
      <c r="O44" s="58">
        <v>-527.62599999999998</v>
      </c>
      <c r="P44" s="58">
        <v>-341</v>
      </c>
      <c r="Q44" s="58">
        <v>-324</v>
      </c>
      <c r="R44" s="58">
        <v>-280</v>
      </c>
      <c r="S44" s="58">
        <v>-214</v>
      </c>
    </row>
    <row r="45" spans="1:19" ht="12" x14ac:dyDescent="0.2">
      <c r="A45" s="8"/>
      <c r="B45" s="2" t="s">
        <v>102</v>
      </c>
      <c r="C45" s="10">
        <v>61</v>
      </c>
      <c r="D45" s="10"/>
      <c r="E45" s="11" t="s">
        <v>89</v>
      </c>
      <c r="G45" s="57" t="s">
        <v>103</v>
      </c>
      <c r="H45" s="58">
        <v>-74.58</v>
      </c>
      <c r="I45" s="58">
        <v>-65.570999999999998</v>
      </c>
      <c r="J45" s="58">
        <v>-24.899000000000001</v>
      </c>
      <c r="K45" s="58">
        <v>-16.248000000000001</v>
      </c>
      <c r="L45" s="58">
        <v>-3.4649999999999999</v>
      </c>
      <c r="M45" s="58">
        <v>-7.3449999999999998</v>
      </c>
      <c r="N45" s="58">
        <v>0</v>
      </c>
      <c r="O45" s="58">
        <v>0</v>
      </c>
      <c r="P45" s="58">
        <v>0</v>
      </c>
      <c r="Q45" s="58">
        <v>0</v>
      </c>
      <c r="R45" s="58">
        <v>0</v>
      </c>
      <c r="S45" s="58">
        <v>0</v>
      </c>
    </row>
    <row r="46" spans="1:19" x14ac:dyDescent="0.2">
      <c r="A46" s="8"/>
      <c r="B46" s="2" t="s">
        <v>104</v>
      </c>
      <c r="C46" s="10"/>
      <c r="D46" s="10"/>
      <c r="E46" s="9"/>
      <c r="G46" s="57" t="s">
        <v>105</v>
      </c>
      <c r="H46" s="56">
        <f t="shared" ref="H46:S46" si="12">H33+H38+H41</f>
        <v>-74.579999999999927</v>
      </c>
      <c r="I46" s="56">
        <f t="shared" si="12"/>
        <v>-84.813999999999623</v>
      </c>
      <c r="J46" s="56">
        <f t="shared" si="12"/>
        <v>-0.95299999999997453</v>
      </c>
      <c r="K46" s="56">
        <f t="shared" si="12"/>
        <v>6.4550000000001546</v>
      </c>
      <c r="L46" s="56">
        <f t="shared" si="12"/>
        <v>269.16399999999965</v>
      </c>
      <c r="M46" s="56">
        <f t="shared" si="12"/>
        <v>-119.83599999999979</v>
      </c>
      <c r="N46" s="56">
        <f t="shared" si="12"/>
        <v>90.477000000000317</v>
      </c>
      <c r="O46" s="56">
        <f t="shared" si="12"/>
        <v>101.9380000000001</v>
      </c>
      <c r="P46" s="56">
        <f t="shared" si="12"/>
        <v>3.8699999999998909</v>
      </c>
      <c r="Q46" s="56">
        <f t="shared" si="12"/>
        <v>4.1639999999997599</v>
      </c>
      <c r="R46" s="56">
        <f t="shared" si="12"/>
        <v>4</v>
      </c>
      <c r="S46" s="56">
        <f t="shared" si="12"/>
        <v>4</v>
      </c>
    </row>
    <row r="47" spans="1:19" ht="12" x14ac:dyDescent="0.2">
      <c r="A47" s="8"/>
      <c r="B47" s="2" t="s">
        <v>106</v>
      </c>
      <c r="C47" s="10">
        <v>65</v>
      </c>
      <c r="D47" s="10"/>
      <c r="E47" s="11" t="s">
        <v>72</v>
      </c>
      <c r="G47" s="57" t="s">
        <v>107</v>
      </c>
      <c r="H47" s="58">
        <v>3.46</v>
      </c>
      <c r="I47" s="58">
        <v>1.2569999999999999</v>
      </c>
      <c r="J47" s="58">
        <v>-2.4670000000000001</v>
      </c>
      <c r="K47" s="58">
        <v>0.70799999999999996</v>
      </c>
      <c r="L47" s="58">
        <v>2.3860000000000001</v>
      </c>
      <c r="M47" s="58">
        <v>2.5369999999999999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</row>
    <row r="48" spans="1:19" x14ac:dyDescent="0.2">
      <c r="A48" s="8"/>
      <c r="B48" s="2" t="s">
        <v>108</v>
      </c>
      <c r="C48" s="10"/>
      <c r="D48" s="10"/>
      <c r="E48" s="9"/>
      <c r="G48" s="57" t="s">
        <v>109</v>
      </c>
      <c r="H48" s="56">
        <f t="shared" ref="H48:S48" si="13">H46+H47</f>
        <v>-71.119999999999933</v>
      </c>
      <c r="I48" s="56">
        <f t="shared" si="13"/>
        <v>-83.556999999999618</v>
      </c>
      <c r="J48" s="56">
        <f t="shared" si="13"/>
        <v>-3.4199999999999746</v>
      </c>
      <c r="K48" s="56">
        <f t="shared" si="13"/>
        <v>7.1630000000001548</v>
      </c>
      <c r="L48" s="56">
        <f t="shared" si="13"/>
        <v>271.54999999999967</v>
      </c>
      <c r="M48" s="56">
        <f t="shared" si="13"/>
        <v>-117.29899999999978</v>
      </c>
      <c r="N48" s="56">
        <f t="shared" si="13"/>
        <v>90.477000000000317</v>
      </c>
      <c r="O48" s="56">
        <f t="shared" si="13"/>
        <v>101.9380000000001</v>
      </c>
      <c r="P48" s="56">
        <f t="shared" si="13"/>
        <v>3.8699999999998909</v>
      </c>
      <c r="Q48" s="56">
        <f t="shared" si="13"/>
        <v>4.1639999999997599</v>
      </c>
      <c r="R48" s="56">
        <f t="shared" si="13"/>
        <v>4</v>
      </c>
      <c r="S48" s="56">
        <f t="shared" si="13"/>
        <v>4</v>
      </c>
    </row>
    <row r="49" spans="1:19" ht="12" x14ac:dyDescent="0.2">
      <c r="A49" s="8"/>
      <c r="B49" s="2" t="s">
        <v>110</v>
      </c>
      <c r="C49" s="10">
        <v>68</v>
      </c>
      <c r="D49" s="10"/>
      <c r="E49" s="11" t="s">
        <v>89</v>
      </c>
      <c r="G49" s="57" t="s">
        <v>111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</row>
    <row r="50" spans="1:19" ht="12" x14ac:dyDescent="0.2">
      <c r="A50" s="8"/>
      <c r="B50" s="2" t="s">
        <v>112</v>
      </c>
      <c r="C50" s="10">
        <v>69</v>
      </c>
      <c r="D50" s="10"/>
      <c r="E50" s="11" t="s">
        <v>11</v>
      </c>
      <c r="G50" s="57" t="s">
        <v>113</v>
      </c>
      <c r="H50" s="58">
        <v>0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v>0</v>
      </c>
    </row>
    <row r="51" spans="1:19" x14ac:dyDescent="0.2">
      <c r="A51" s="8"/>
      <c r="B51" s="2" t="s">
        <v>114</v>
      </c>
      <c r="C51" s="10"/>
      <c r="D51" s="10"/>
      <c r="E51" s="9"/>
      <c r="G51" s="57" t="s">
        <v>115</v>
      </c>
      <c r="H51" s="56">
        <f t="shared" ref="H51:S51" si="14">H48+H49+H50</f>
        <v>-71.119999999999933</v>
      </c>
      <c r="I51" s="56">
        <f t="shared" si="14"/>
        <v>-83.556999999999618</v>
      </c>
      <c r="J51" s="56">
        <f t="shared" si="14"/>
        <v>-3.4199999999999746</v>
      </c>
      <c r="K51" s="56">
        <f t="shared" si="14"/>
        <v>7.1630000000001548</v>
      </c>
      <c r="L51" s="56">
        <f t="shared" si="14"/>
        <v>271.54999999999967</v>
      </c>
      <c r="M51" s="56">
        <f t="shared" si="14"/>
        <v>-117.29899999999978</v>
      </c>
      <c r="N51" s="56">
        <f t="shared" si="14"/>
        <v>90.477000000000317</v>
      </c>
      <c r="O51" s="56">
        <f t="shared" si="14"/>
        <v>101.9380000000001</v>
      </c>
      <c r="P51" s="56">
        <f t="shared" si="14"/>
        <v>3.8699999999998909</v>
      </c>
      <c r="Q51" s="56">
        <f t="shared" si="14"/>
        <v>4.1639999999997599</v>
      </c>
      <c r="R51" s="56">
        <f t="shared" si="14"/>
        <v>4</v>
      </c>
      <c r="S51" s="56">
        <f t="shared" si="14"/>
        <v>4</v>
      </c>
    </row>
    <row r="52" spans="1:19" x14ac:dyDescent="0.2">
      <c r="A52" s="24"/>
      <c r="B52" s="2" t="s">
        <v>370</v>
      </c>
      <c r="C52" s="83" t="s">
        <v>371</v>
      </c>
      <c r="D52" s="25"/>
      <c r="E52" s="26"/>
      <c r="F52" s="24"/>
      <c r="G52" s="62" t="s">
        <v>116</v>
      </c>
      <c r="H52" s="63">
        <f t="shared" ref="H52:S52" si="15">H30-H51</f>
        <v>0</v>
      </c>
      <c r="I52" s="63">
        <f t="shared" si="15"/>
        <v>-3.836930773104541E-13</v>
      </c>
      <c r="J52" s="63">
        <f t="shared" si="15"/>
        <v>9.9999999997457678E-4</v>
      </c>
      <c r="K52" s="63">
        <f t="shared" si="15"/>
        <v>-1.000000000154877E-3</v>
      </c>
      <c r="L52" s="63">
        <f t="shared" si="15"/>
        <v>0.45100000000030604</v>
      </c>
      <c r="M52" s="63">
        <f t="shared" si="15"/>
        <v>-2.2737367544323206E-13</v>
      </c>
      <c r="N52" s="63">
        <f t="shared" si="15"/>
        <v>0.31299999999968975</v>
      </c>
      <c r="O52" s="63">
        <f t="shared" si="15"/>
        <v>6.1999999999898137E-2</v>
      </c>
      <c r="P52" s="63">
        <f t="shared" si="15"/>
        <v>0.13000000000010914</v>
      </c>
      <c r="Q52" s="63">
        <f t="shared" si="15"/>
        <v>-0.16399999999975989</v>
      </c>
      <c r="R52" s="63">
        <f t="shared" si="15"/>
        <v>0</v>
      </c>
      <c r="S52" s="63">
        <f t="shared" si="15"/>
        <v>0</v>
      </c>
    </row>
    <row r="53" spans="1:19" x14ac:dyDescent="0.2">
      <c r="A53" s="8"/>
      <c r="B53" s="2"/>
      <c r="C53" s="10"/>
      <c r="D53" s="10"/>
      <c r="E53" s="9"/>
      <c r="G53" s="65" t="s">
        <v>117</v>
      </c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</row>
    <row r="54" spans="1:19" ht="12" x14ac:dyDescent="0.2">
      <c r="A54" s="8"/>
      <c r="B54" s="2"/>
      <c r="C54" s="10">
        <v>90</v>
      </c>
      <c r="D54" s="10"/>
      <c r="E54" s="11" t="s">
        <v>11</v>
      </c>
      <c r="G54" s="65" t="s">
        <v>118</v>
      </c>
      <c r="H54" s="58">
        <v>37</v>
      </c>
      <c r="I54" s="58">
        <v>36</v>
      </c>
      <c r="J54" s="58">
        <v>24</v>
      </c>
      <c r="K54" s="58">
        <v>18</v>
      </c>
      <c r="L54" s="58">
        <v>19</v>
      </c>
      <c r="M54" s="58">
        <v>20</v>
      </c>
      <c r="N54" s="58">
        <v>19.600000000000001</v>
      </c>
      <c r="O54" s="58">
        <v>22</v>
      </c>
      <c r="P54" s="58">
        <v>32</v>
      </c>
      <c r="Q54" s="58">
        <v>32</v>
      </c>
      <c r="R54" s="58">
        <v>32</v>
      </c>
      <c r="S54" s="58">
        <v>32</v>
      </c>
    </row>
    <row r="55" spans="1:19" ht="12" x14ac:dyDescent="0.2">
      <c r="A55" s="8"/>
      <c r="B55" s="2"/>
      <c r="C55" s="10"/>
      <c r="D55" s="10"/>
      <c r="E55" s="11" t="s">
        <v>11</v>
      </c>
      <c r="G55" s="65" t="s">
        <v>119</v>
      </c>
      <c r="H55" s="58"/>
      <c r="I55" s="58"/>
      <c r="J55" s="58"/>
      <c r="K55" s="58"/>
      <c r="L55" s="66"/>
      <c r="M55" s="66"/>
      <c r="N55" s="66"/>
      <c r="O55" s="66"/>
      <c r="P55" s="66"/>
      <c r="Q55" s="66"/>
      <c r="R55" s="66"/>
      <c r="S55" s="66"/>
    </row>
    <row r="56" spans="1:19" x14ac:dyDescent="0.2">
      <c r="A56" s="8"/>
      <c r="B56" s="2"/>
      <c r="C56" s="10"/>
      <c r="D56" s="10"/>
      <c r="E56" s="9"/>
      <c r="G56" s="67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</row>
    <row r="57" spans="1:19" x14ac:dyDescent="0.2">
      <c r="A57" s="8"/>
      <c r="B57" s="2"/>
      <c r="C57" s="10"/>
      <c r="D57" s="29" t="s">
        <v>120</v>
      </c>
      <c r="E57" s="30" t="s">
        <v>3</v>
      </c>
      <c r="F57" s="9"/>
      <c r="G57" s="53" t="s">
        <v>121</v>
      </c>
      <c r="H57" s="64">
        <f t="shared" ref="H57:S57" si="16">H32</f>
        <v>2011</v>
      </c>
      <c r="I57" s="64">
        <f t="shared" si="16"/>
        <v>2012</v>
      </c>
      <c r="J57" s="64">
        <f t="shared" si="16"/>
        <v>2013</v>
      </c>
      <c r="K57" s="64">
        <f t="shared" si="16"/>
        <v>2014</v>
      </c>
      <c r="L57" s="64">
        <f t="shared" si="16"/>
        <v>2015</v>
      </c>
      <c r="M57" s="64">
        <f t="shared" si="16"/>
        <v>2016</v>
      </c>
      <c r="N57" s="64">
        <f t="shared" si="16"/>
        <v>2017</v>
      </c>
      <c r="O57" s="64">
        <f t="shared" si="16"/>
        <v>2018</v>
      </c>
      <c r="P57" s="64">
        <f t="shared" si="16"/>
        <v>2019</v>
      </c>
      <c r="Q57" s="64">
        <f t="shared" si="16"/>
        <v>2020</v>
      </c>
      <c r="R57" s="64">
        <f t="shared" si="16"/>
        <v>2021</v>
      </c>
      <c r="S57" s="64">
        <f t="shared" si="16"/>
        <v>2022</v>
      </c>
    </row>
    <row r="58" spans="1:19" ht="12" x14ac:dyDescent="0.2">
      <c r="A58" s="8"/>
      <c r="B58" s="31" t="s">
        <v>122</v>
      </c>
      <c r="C58" s="8" t="s">
        <v>123</v>
      </c>
      <c r="D58" s="32" t="s">
        <v>124</v>
      </c>
      <c r="E58" s="11" t="s">
        <v>89</v>
      </c>
      <c r="F58" s="12"/>
      <c r="G58" s="55" t="s">
        <v>125</v>
      </c>
      <c r="H58" s="58">
        <v>0</v>
      </c>
      <c r="I58" s="58">
        <v>-2.4649999999999999</v>
      </c>
      <c r="J58" s="58">
        <v>-13.58</v>
      </c>
      <c r="K58" s="58">
        <v>-5.226</v>
      </c>
      <c r="L58" s="58">
        <v>0</v>
      </c>
      <c r="M58" s="58">
        <v>0</v>
      </c>
      <c r="N58" s="58">
        <v>0</v>
      </c>
      <c r="O58" s="58">
        <v>0</v>
      </c>
      <c r="P58" s="58">
        <v>0</v>
      </c>
      <c r="Q58" s="58">
        <v>0</v>
      </c>
      <c r="R58" s="58">
        <v>0</v>
      </c>
      <c r="S58" s="58">
        <v>0</v>
      </c>
    </row>
    <row r="59" spans="1:19" ht="12" x14ac:dyDescent="0.2">
      <c r="A59" s="8"/>
      <c r="B59" s="31" t="s">
        <v>126</v>
      </c>
      <c r="C59" s="33" t="s">
        <v>127</v>
      </c>
      <c r="D59" s="32" t="s">
        <v>128</v>
      </c>
      <c r="E59" s="11" t="s">
        <v>11</v>
      </c>
      <c r="F59" s="12"/>
      <c r="G59" s="68" t="s">
        <v>129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 s="58">
        <v>5.8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</row>
    <row r="60" spans="1:19" ht="12" x14ac:dyDescent="0.2">
      <c r="A60" s="8"/>
      <c r="B60" s="31" t="s">
        <v>130</v>
      </c>
      <c r="C60" s="34" t="s">
        <v>372</v>
      </c>
      <c r="D60" s="32" t="s">
        <v>131</v>
      </c>
      <c r="E60" s="11" t="s">
        <v>11</v>
      </c>
      <c r="F60" s="12"/>
      <c r="G60" s="57" t="s">
        <v>132</v>
      </c>
      <c r="H60" s="58">
        <v>0</v>
      </c>
      <c r="I60" s="58">
        <v>0</v>
      </c>
      <c r="J60" s="58">
        <v>0</v>
      </c>
      <c r="K60" s="58">
        <v>0</v>
      </c>
      <c r="L60" s="58">
        <v>0</v>
      </c>
      <c r="M60" s="58">
        <v>120.33799999999999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</row>
    <row r="61" spans="1:19" ht="12" x14ac:dyDescent="0.2">
      <c r="A61" s="8"/>
      <c r="B61" s="31" t="s">
        <v>133</v>
      </c>
      <c r="C61" s="34" t="s">
        <v>134</v>
      </c>
      <c r="D61" s="34" t="s">
        <v>135</v>
      </c>
      <c r="E61" s="11" t="s">
        <v>89</v>
      </c>
      <c r="F61" s="12"/>
      <c r="G61" s="57" t="s">
        <v>136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 s="58">
        <v>-120.33799999999999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</row>
    <row r="62" spans="1:19" ht="12" x14ac:dyDescent="0.2">
      <c r="A62" s="8"/>
      <c r="B62" s="31" t="s">
        <v>137</v>
      </c>
      <c r="C62" s="10">
        <v>253800</v>
      </c>
      <c r="D62" s="34" t="s">
        <v>131</v>
      </c>
      <c r="E62" s="11" t="s">
        <v>11</v>
      </c>
      <c r="F62" s="12"/>
      <c r="G62" s="57" t="s">
        <v>138</v>
      </c>
      <c r="H62" s="58">
        <v>0</v>
      </c>
      <c r="I62" s="58">
        <v>0</v>
      </c>
      <c r="J62" s="58">
        <v>0</v>
      </c>
      <c r="K62" s="58">
        <v>0</v>
      </c>
      <c r="L62" s="58">
        <v>0</v>
      </c>
      <c r="M62" s="58">
        <v>0</v>
      </c>
      <c r="N62" s="58">
        <v>0</v>
      </c>
      <c r="O62" s="58">
        <v>0</v>
      </c>
      <c r="P62" s="58">
        <v>0</v>
      </c>
      <c r="Q62" s="58">
        <v>0</v>
      </c>
      <c r="R62" s="58">
        <v>0</v>
      </c>
      <c r="S62" s="58">
        <v>0</v>
      </c>
    </row>
    <row r="63" spans="1:19" ht="12" x14ac:dyDescent="0.2">
      <c r="A63" s="8"/>
      <c r="B63" s="31" t="s">
        <v>139</v>
      </c>
      <c r="C63" s="10">
        <v>150</v>
      </c>
      <c r="D63" s="34" t="s">
        <v>135</v>
      </c>
      <c r="E63" s="11" t="s">
        <v>89</v>
      </c>
      <c r="F63" s="12"/>
      <c r="G63" s="57" t="s">
        <v>140</v>
      </c>
      <c r="H63" s="58">
        <v>0</v>
      </c>
      <c r="I63" s="58">
        <v>0</v>
      </c>
      <c r="J63" s="58">
        <v>0</v>
      </c>
      <c r="K63" s="58">
        <v>0</v>
      </c>
      <c r="L63" s="58">
        <v>0</v>
      </c>
      <c r="M63" s="58">
        <v>0</v>
      </c>
      <c r="N63" s="58">
        <v>0</v>
      </c>
      <c r="O63" s="58">
        <v>0</v>
      </c>
      <c r="P63" s="58">
        <v>0</v>
      </c>
      <c r="Q63" s="58">
        <v>0</v>
      </c>
      <c r="R63" s="58">
        <v>0</v>
      </c>
      <c r="S63" s="58">
        <v>0</v>
      </c>
    </row>
    <row r="64" spans="1:19" ht="12" x14ac:dyDescent="0.2">
      <c r="A64" s="8"/>
      <c r="B64" s="31" t="s">
        <v>141</v>
      </c>
      <c r="C64" s="34" t="s">
        <v>142</v>
      </c>
      <c r="D64" s="34" t="s">
        <v>131</v>
      </c>
      <c r="E64" s="11" t="s">
        <v>11</v>
      </c>
      <c r="F64" s="12"/>
      <c r="G64" s="57" t="s">
        <v>143</v>
      </c>
      <c r="H64" s="58">
        <v>0</v>
      </c>
      <c r="I64" s="58">
        <v>0</v>
      </c>
      <c r="J64" s="58">
        <v>0</v>
      </c>
      <c r="K64" s="58">
        <v>0</v>
      </c>
      <c r="L64" s="58">
        <v>0</v>
      </c>
      <c r="M64" s="58">
        <v>0</v>
      </c>
      <c r="N64" s="58">
        <v>0</v>
      </c>
      <c r="O64" s="58">
        <v>0</v>
      </c>
      <c r="P64" s="58">
        <v>0</v>
      </c>
      <c r="Q64" s="58">
        <v>0</v>
      </c>
      <c r="R64" s="58">
        <v>0</v>
      </c>
      <c r="S64" s="58">
        <v>0</v>
      </c>
    </row>
    <row r="65" spans="1:19" ht="12" x14ac:dyDescent="0.2">
      <c r="A65" s="8"/>
      <c r="B65" s="31" t="s">
        <v>144</v>
      </c>
      <c r="C65" s="8" t="s">
        <v>373</v>
      </c>
      <c r="D65" s="34" t="s">
        <v>135</v>
      </c>
      <c r="E65" s="11" t="s">
        <v>89</v>
      </c>
      <c r="F65" s="12"/>
      <c r="G65" s="57" t="s">
        <v>145</v>
      </c>
      <c r="H65" s="58">
        <v>0</v>
      </c>
      <c r="I65" s="58">
        <v>0</v>
      </c>
      <c r="J65" s="58">
        <v>0</v>
      </c>
      <c r="K65" s="58">
        <v>0</v>
      </c>
      <c r="L65" s="58">
        <v>0</v>
      </c>
      <c r="M65" s="58">
        <v>0</v>
      </c>
      <c r="N65" s="58">
        <v>0</v>
      </c>
      <c r="O65" s="58">
        <v>0</v>
      </c>
      <c r="P65" s="58">
        <v>0</v>
      </c>
      <c r="Q65" s="58">
        <v>0</v>
      </c>
      <c r="R65" s="58">
        <v>0</v>
      </c>
      <c r="S65" s="58">
        <v>0</v>
      </c>
    </row>
    <row r="66" spans="1:19" ht="12" x14ac:dyDescent="0.2">
      <c r="A66" s="8"/>
      <c r="B66" s="31" t="s">
        <v>146</v>
      </c>
      <c r="C66" s="8" t="s">
        <v>373</v>
      </c>
      <c r="D66" s="34" t="s">
        <v>131</v>
      </c>
      <c r="E66" s="11" t="s">
        <v>11</v>
      </c>
      <c r="F66" s="12"/>
      <c r="G66" s="57" t="s">
        <v>147</v>
      </c>
      <c r="H66" s="58">
        <v>0</v>
      </c>
      <c r="I66" s="58">
        <v>0</v>
      </c>
      <c r="J66" s="58">
        <v>0</v>
      </c>
      <c r="K66" s="58">
        <v>0</v>
      </c>
      <c r="L66" s="58">
        <v>0</v>
      </c>
      <c r="M66" s="58">
        <v>0</v>
      </c>
      <c r="N66" s="58">
        <v>0</v>
      </c>
      <c r="O66" s="58">
        <v>0</v>
      </c>
      <c r="P66" s="58">
        <v>0</v>
      </c>
      <c r="Q66" s="58">
        <v>0</v>
      </c>
      <c r="R66" s="58">
        <v>0</v>
      </c>
      <c r="S66" s="58">
        <v>0</v>
      </c>
    </row>
    <row r="67" spans="1:19" ht="12" x14ac:dyDescent="0.2">
      <c r="A67" s="8"/>
      <c r="B67" s="31" t="s">
        <v>148</v>
      </c>
      <c r="C67" s="8" t="s">
        <v>149</v>
      </c>
      <c r="D67" s="34" t="s">
        <v>135</v>
      </c>
      <c r="E67" s="11" t="s">
        <v>89</v>
      </c>
      <c r="F67" s="12"/>
      <c r="G67" s="57" t="s">
        <v>150</v>
      </c>
      <c r="H67" s="58">
        <v>0</v>
      </c>
      <c r="I67" s="58">
        <v>0</v>
      </c>
      <c r="J67" s="58">
        <v>0</v>
      </c>
      <c r="K67" s="58">
        <v>0</v>
      </c>
      <c r="L67" s="58">
        <v>0</v>
      </c>
      <c r="M67" s="58">
        <v>0</v>
      </c>
      <c r="N67" s="58">
        <v>0</v>
      </c>
      <c r="O67" s="58">
        <v>0</v>
      </c>
      <c r="P67" s="58">
        <v>0</v>
      </c>
      <c r="Q67" s="58">
        <v>0</v>
      </c>
      <c r="R67" s="58">
        <v>0</v>
      </c>
      <c r="S67" s="58">
        <v>0</v>
      </c>
    </row>
    <row r="68" spans="1:19" ht="12" x14ac:dyDescent="0.2">
      <c r="A68" s="8"/>
      <c r="B68" s="31" t="s">
        <v>151</v>
      </c>
      <c r="C68" s="8" t="s">
        <v>149</v>
      </c>
      <c r="D68" s="34" t="s">
        <v>131</v>
      </c>
      <c r="E68" s="11" t="s">
        <v>11</v>
      </c>
      <c r="F68" s="12"/>
      <c r="G68" s="57" t="s">
        <v>152</v>
      </c>
      <c r="H68" s="58">
        <v>0</v>
      </c>
      <c r="I68" s="58">
        <v>0</v>
      </c>
      <c r="J68" s="58">
        <v>0</v>
      </c>
      <c r="K68" s="58">
        <v>0</v>
      </c>
      <c r="L68" s="58">
        <v>0</v>
      </c>
      <c r="M68" s="58">
        <v>0</v>
      </c>
      <c r="N68" s="58">
        <v>0</v>
      </c>
      <c r="O68" s="58">
        <v>0</v>
      </c>
      <c r="P68" s="58">
        <v>0</v>
      </c>
      <c r="Q68" s="58">
        <v>0</v>
      </c>
      <c r="R68" s="58">
        <v>0</v>
      </c>
      <c r="S68" s="58">
        <v>0</v>
      </c>
    </row>
    <row r="69" spans="1:19" ht="12" x14ac:dyDescent="0.2">
      <c r="A69" s="8"/>
      <c r="B69" s="31" t="s">
        <v>153</v>
      </c>
      <c r="C69" s="34" t="s">
        <v>142</v>
      </c>
      <c r="D69" s="34" t="s">
        <v>131</v>
      </c>
      <c r="E69" s="11" t="s">
        <v>11</v>
      </c>
      <c r="F69" s="12"/>
      <c r="G69" s="57" t="s">
        <v>154</v>
      </c>
      <c r="H69" s="58">
        <v>0</v>
      </c>
      <c r="I69" s="58">
        <v>0</v>
      </c>
      <c r="J69" s="58">
        <v>0</v>
      </c>
      <c r="K69" s="58">
        <v>0</v>
      </c>
      <c r="L69" s="58">
        <v>0</v>
      </c>
      <c r="M69" s="58">
        <v>0</v>
      </c>
      <c r="N69" s="58">
        <v>0</v>
      </c>
      <c r="O69" s="58">
        <v>0</v>
      </c>
      <c r="P69" s="58">
        <v>0</v>
      </c>
      <c r="Q69" s="58">
        <v>0</v>
      </c>
      <c r="R69" s="58">
        <v>0</v>
      </c>
      <c r="S69" s="58">
        <v>0</v>
      </c>
    </row>
    <row r="70" spans="1:19" ht="12" x14ac:dyDescent="0.2">
      <c r="A70" s="8"/>
      <c r="B70" s="31" t="s">
        <v>155</v>
      </c>
      <c r="C70" s="35" t="s">
        <v>156</v>
      </c>
      <c r="D70" s="8"/>
      <c r="E70" s="11" t="s">
        <v>72</v>
      </c>
      <c r="F70" s="12"/>
      <c r="G70" s="57" t="s">
        <v>107</v>
      </c>
      <c r="H70" s="58">
        <v>0.54</v>
      </c>
      <c r="I70" s="58">
        <v>5.4420000000000002</v>
      </c>
      <c r="J70" s="58">
        <v>-2.194</v>
      </c>
      <c r="K70" s="58">
        <v>0.70799999999999996</v>
      </c>
      <c r="L70" s="58">
        <v>1.5649999999999999</v>
      </c>
      <c r="M70" s="58">
        <v>3.6389999999999998</v>
      </c>
      <c r="N70" s="58">
        <v>3.5000000000000003E-2</v>
      </c>
      <c r="O70" s="58">
        <v>3.5000000000000003E-2</v>
      </c>
      <c r="P70" s="58">
        <v>3.5000000000000003E-2</v>
      </c>
      <c r="Q70" s="58">
        <v>0</v>
      </c>
      <c r="R70" s="58">
        <v>0</v>
      </c>
      <c r="S70" s="58">
        <v>0</v>
      </c>
    </row>
    <row r="71" spans="1:19" x14ac:dyDescent="0.2">
      <c r="A71" s="8"/>
      <c r="B71" s="31" t="s">
        <v>157</v>
      </c>
      <c r="C71" s="10"/>
      <c r="D71" s="8"/>
      <c r="E71" s="12"/>
      <c r="F71" s="12"/>
      <c r="G71" s="69" t="s">
        <v>158</v>
      </c>
      <c r="H71" s="56">
        <f t="shared" ref="H71:S71" si="17">SUM(H58:H70)</f>
        <v>0.54</v>
      </c>
      <c r="I71" s="56">
        <f t="shared" si="17"/>
        <v>2.9770000000000003</v>
      </c>
      <c r="J71" s="56">
        <f t="shared" si="17"/>
        <v>-15.774000000000001</v>
      </c>
      <c r="K71" s="56">
        <f t="shared" si="17"/>
        <v>-4.5179999999999998</v>
      </c>
      <c r="L71" s="56">
        <f t="shared" si="17"/>
        <v>1.5649999999999999</v>
      </c>
      <c r="M71" s="56">
        <f t="shared" si="17"/>
        <v>9.4389999999999965</v>
      </c>
      <c r="N71" s="56">
        <f t="shared" si="17"/>
        <v>3.5000000000000003E-2</v>
      </c>
      <c r="O71" s="56">
        <f t="shared" si="17"/>
        <v>3.5000000000000003E-2</v>
      </c>
      <c r="P71" s="56">
        <f t="shared" si="17"/>
        <v>3.5000000000000003E-2</v>
      </c>
      <c r="Q71" s="56">
        <f t="shared" si="17"/>
        <v>0</v>
      </c>
      <c r="R71" s="56">
        <f t="shared" si="17"/>
        <v>0</v>
      </c>
      <c r="S71" s="56">
        <f t="shared" si="17"/>
        <v>0</v>
      </c>
    </row>
    <row r="72" spans="1:19" x14ac:dyDescent="0.2">
      <c r="A72" s="8"/>
      <c r="B72" s="2"/>
      <c r="C72" s="10"/>
      <c r="D72" s="8"/>
      <c r="E72" s="9"/>
      <c r="G72" s="67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</row>
    <row r="73" spans="1:19" x14ac:dyDescent="0.2">
      <c r="A73" s="8"/>
      <c r="B73" s="2"/>
      <c r="C73" s="10"/>
      <c r="D73" s="29" t="s">
        <v>120</v>
      </c>
      <c r="E73" s="30" t="s">
        <v>3</v>
      </c>
      <c r="F73" s="9"/>
      <c r="G73" s="53" t="s">
        <v>159</v>
      </c>
      <c r="H73" s="64">
        <f t="shared" ref="H73:S73" si="18">H57</f>
        <v>2011</v>
      </c>
      <c r="I73" s="64">
        <f t="shared" si="18"/>
        <v>2012</v>
      </c>
      <c r="J73" s="64">
        <f t="shared" si="18"/>
        <v>2013</v>
      </c>
      <c r="K73" s="64">
        <f t="shared" si="18"/>
        <v>2014</v>
      </c>
      <c r="L73" s="64">
        <f t="shared" si="18"/>
        <v>2015</v>
      </c>
      <c r="M73" s="64">
        <f t="shared" si="18"/>
        <v>2016</v>
      </c>
      <c r="N73" s="64">
        <f t="shared" si="18"/>
        <v>2017</v>
      </c>
      <c r="O73" s="64">
        <f t="shared" si="18"/>
        <v>2018</v>
      </c>
      <c r="P73" s="64">
        <f t="shared" si="18"/>
        <v>2019</v>
      </c>
      <c r="Q73" s="64">
        <f t="shared" si="18"/>
        <v>2020</v>
      </c>
      <c r="R73" s="64">
        <f t="shared" si="18"/>
        <v>2021</v>
      </c>
      <c r="S73" s="64">
        <f t="shared" si="18"/>
        <v>2022</v>
      </c>
    </row>
    <row r="74" spans="1:19" ht="12" x14ac:dyDescent="0.2">
      <c r="A74" s="8"/>
      <c r="B74" s="2" t="s">
        <v>160</v>
      </c>
      <c r="C74" s="34" t="s">
        <v>161</v>
      </c>
      <c r="D74" s="34" t="s">
        <v>128</v>
      </c>
      <c r="E74" s="11" t="s">
        <v>11</v>
      </c>
      <c r="G74" s="55" t="s">
        <v>162</v>
      </c>
      <c r="H74" s="58">
        <v>0</v>
      </c>
      <c r="I74" s="58">
        <v>0</v>
      </c>
      <c r="J74" s="58">
        <v>0</v>
      </c>
      <c r="K74" s="58">
        <v>0</v>
      </c>
      <c r="L74" s="58">
        <v>0</v>
      </c>
      <c r="M74" s="58">
        <v>0</v>
      </c>
      <c r="N74" s="58">
        <v>0</v>
      </c>
      <c r="O74" s="58">
        <v>0</v>
      </c>
      <c r="P74" s="58">
        <v>0</v>
      </c>
      <c r="Q74" s="58">
        <v>0</v>
      </c>
      <c r="R74" s="58">
        <v>0</v>
      </c>
      <c r="S74" s="58">
        <v>0</v>
      </c>
    </row>
    <row r="75" spans="1:19" ht="12" x14ac:dyDescent="0.2">
      <c r="A75" s="8"/>
      <c r="B75" s="2" t="s">
        <v>163</v>
      </c>
      <c r="C75" s="34" t="s">
        <v>161</v>
      </c>
      <c r="D75" s="34" t="s">
        <v>124</v>
      </c>
      <c r="E75" s="11" t="s">
        <v>89</v>
      </c>
      <c r="F75" s="12"/>
      <c r="G75" s="57" t="s">
        <v>164</v>
      </c>
      <c r="H75" s="58">
        <v>0</v>
      </c>
      <c r="I75" s="58">
        <v>0</v>
      </c>
      <c r="J75" s="58">
        <v>0</v>
      </c>
      <c r="K75" s="58">
        <v>0</v>
      </c>
      <c r="L75" s="58">
        <v>0</v>
      </c>
      <c r="M75" s="58">
        <v>0</v>
      </c>
      <c r="N75" s="58">
        <v>0</v>
      </c>
      <c r="O75" s="58">
        <v>0</v>
      </c>
      <c r="P75" s="58">
        <v>0</v>
      </c>
      <c r="Q75" s="58">
        <v>0</v>
      </c>
      <c r="R75" s="58">
        <v>0</v>
      </c>
      <c r="S75" s="58">
        <v>0</v>
      </c>
    </row>
    <row r="76" spans="1:19" ht="12" x14ac:dyDescent="0.2">
      <c r="A76" s="8"/>
      <c r="B76" s="2" t="s">
        <v>165</v>
      </c>
      <c r="C76" s="34" t="s">
        <v>166</v>
      </c>
      <c r="D76" s="34" t="s">
        <v>131</v>
      </c>
      <c r="E76" s="11" t="s">
        <v>11</v>
      </c>
      <c r="G76" s="57" t="s">
        <v>167</v>
      </c>
      <c r="H76" s="58">
        <v>0</v>
      </c>
      <c r="I76" s="58">
        <v>0</v>
      </c>
      <c r="J76" s="58">
        <v>0</v>
      </c>
      <c r="K76" s="58">
        <v>0</v>
      </c>
      <c r="L76" s="58">
        <v>0</v>
      </c>
      <c r="M76" s="58">
        <v>0</v>
      </c>
      <c r="N76" s="58">
        <v>0</v>
      </c>
      <c r="O76" s="58">
        <v>0</v>
      </c>
      <c r="P76" s="58">
        <v>0</v>
      </c>
      <c r="Q76" s="58">
        <v>0</v>
      </c>
      <c r="R76" s="58">
        <v>0</v>
      </c>
      <c r="S76" s="58">
        <v>0</v>
      </c>
    </row>
    <row r="77" spans="1:19" ht="12" x14ac:dyDescent="0.2">
      <c r="A77" s="8"/>
      <c r="B77" s="2" t="s">
        <v>168</v>
      </c>
      <c r="C77" s="34" t="s">
        <v>166</v>
      </c>
      <c r="D77" s="34" t="s">
        <v>135</v>
      </c>
      <c r="E77" s="11" t="s">
        <v>89</v>
      </c>
      <c r="F77" s="12"/>
      <c r="G77" s="57" t="s">
        <v>169</v>
      </c>
      <c r="H77" s="58">
        <v>0</v>
      </c>
      <c r="I77" s="58">
        <v>0</v>
      </c>
      <c r="J77" s="58">
        <v>0</v>
      </c>
      <c r="K77" s="58">
        <v>0</v>
      </c>
      <c r="L77" s="58">
        <v>0</v>
      </c>
      <c r="M77" s="58">
        <v>0</v>
      </c>
      <c r="N77" s="58">
        <v>0</v>
      </c>
      <c r="O77" s="58">
        <v>0</v>
      </c>
      <c r="P77" s="58">
        <v>0</v>
      </c>
      <c r="Q77" s="58">
        <v>0</v>
      </c>
      <c r="R77" s="58">
        <v>0</v>
      </c>
      <c r="S77" s="58">
        <v>0</v>
      </c>
    </row>
    <row r="78" spans="1:19" ht="12" x14ac:dyDescent="0.2">
      <c r="A78" s="8"/>
      <c r="B78" s="2" t="s">
        <v>170</v>
      </c>
      <c r="C78" s="34" t="s">
        <v>171</v>
      </c>
      <c r="D78" s="34" t="s">
        <v>135</v>
      </c>
      <c r="E78" s="11" t="s">
        <v>89</v>
      </c>
      <c r="F78" s="12"/>
      <c r="G78" s="57" t="s">
        <v>172</v>
      </c>
      <c r="H78" s="58">
        <v>0</v>
      </c>
      <c r="I78" s="58">
        <v>0</v>
      </c>
      <c r="J78" s="58">
        <v>0</v>
      </c>
      <c r="K78" s="58">
        <v>0</v>
      </c>
      <c r="L78" s="58">
        <v>0</v>
      </c>
      <c r="M78" s="58">
        <v>0</v>
      </c>
      <c r="N78" s="58">
        <v>0</v>
      </c>
      <c r="O78" s="58">
        <v>0</v>
      </c>
      <c r="P78" s="58">
        <v>0</v>
      </c>
      <c r="Q78" s="58">
        <v>0</v>
      </c>
      <c r="R78" s="58">
        <v>0</v>
      </c>
      <c r="S78" s="58">
        <v>0</v>
      </c>
    </row>
    <row r="79" spans="1:19" ht="12" x14ac:dyDescent="0.2">
      <c r="A79" s="8"/>
      <c r="B79" s="2" t="s">
        <v>173</v>
      </c>
      <c r="C79" s="34" t="s">
        <v>174</v>
      </c>
      <c r="D79" s="34" t="s">
        <v>135</v>
      </c>
      <c r="E79" s="11" t="s">
        <v>89</v>
      </c>
      <c r="F79" s="12"/>
      <c r="G79" s="57" t="s">
        <v>175</v>
      </c>
      <c r="H79" s="58">
        <v>-1.534</v>
      </c>
      <c r="I79" s="58">
        <v>-4.0000000000000001E-3</v>
      </c>
      <c r="J79" s="58">
        <v>0</v>
      </c>
      <c r="K79" s="58">
        <v>0</v>
      </c>
      <c r="L79" s="58">
        <v>-0.08</v>
      </c>
      <c r="M79" s="58">
        <v>0</v>
      </c>
      <c r="N79" s="58">
        <v>0</v>
      </c>
      <c r="O79" s="58">
        <v>0</v>
      </c>
      <c r="P79" s="58">
        <v>0</v>
      </c>
      <c r="Q79" s="58">
        <v>0</v>
      </c>
      <c r="R79" s="58">
        <v>0</v>
      </c>
      <c r="S79" s="58">
        <v>0</v>
      </c>
    </row>
    <row r="80" spans="1:19" ht="12" x14ac:dyDescent="0.2">
      <c r="A80" s="8"/>
      <c r="B80" s="2" t="s">
        <v>176</v>
      </c>
      <c r="C80" s="34" t="s">
        <v>177</v>
      </c>
      <c r="D80" s="34" t="s">
        <v>135</v>
      </c>
      <c r="E80" s="11" t="s">
        <v>89</v>
      </c>
      <c r="F80" s="12"/>
      <c r="G80" s="57" t="s">
        <v>178</v>
      </c>
      <c r="H80" s="58">
        <v>0</v>
      </c>
      <c r="I80" s="58">
        <v>0</v>
      </c>
      <c r="J80" s="58">
        <v>0</v>
      </c>
      <c r="K80" s="58">
        <v>0</v>
      </c>
      <c r="L80" s="58">
        <v>0</v>
      </c>
      <c r="M80" s="58">
        <v>0</v>
      </c>
      <c r="N80" s="58">
        <v>0</v>
      </c>
      <c r="O80" s="58">
        <v>0</v>
      </c>
      <c r="P80" s="58">
        <v>0</v>
      </c>
      <c r="Q80" s="58">
        <v>0</v>
      </c>
      <c r="R80" s="58">
        <v>0</v>
      </c>
      <c r="S80" s="58">
        <v>0</v>
      </c>
    </row>
    <row r="81" spans="1:19" ht="12" x14ac:dyDescent="0.2">
      <c r="A81" s="8"/>
      <c r="B81" s="2" t="s">
        <v>179</v>
      </c>
      <c r="C81" s="34" t="s">
        <v>52</v>
      </c>
      <c r="D81" s="34" t="s">
        <v>135</v>
      </c>
      <c r="E81" s="11" t="s">
        <v>89</v>
      </c>
      <c r="F81" s="12"/>
      <c r="G81" s="57" t="s">
        <v>180</v>
      </c>
      <c r="H81" s="58">
        <v>0</v>
      </c>
      <c r="I81" s="58">
        <v>0</v>
      </c>
      <c r="J81" s="58">
        <v>0</v>
      </c>
      <c r="K81" s="58">
        <v>0</v>
      </c>
      <c r="L81" s="58">
        <v>0</v>
      </c>
      <c r="M81" s="58">
        <v>0</v>
      </c>
      <c r="N81" s="58">
        <v>0</v>
      </c>
      <c r="O81" s="58">
        <v>0</v>
      </c>
      <c r="P81" s="58">
        <v>0</v>
      </c>
      <c r="Q81" s="58">
        <v>0</v>
      </c>
      <c r="R81" s="58">
        <v>0</v>
      </c>
      <c r="S81" s="58">
        <v>0</v>
      </c>
    </row>
    <row r="82" spans="1:19" ht="12" x14ac:dyDescent="0.2">
      <c r="A82" s="8"/>
      <c r="B82" s="2" t="s">
        <v>181</v>
      </c>
      <c r="C82" s="34" t="s">
        <v>182</v>
      </c>
      <c r="D82" s="34" t="s">
        <v>131</v>
      </c>
      <c r="E82" s="11" t="s">
        <v>11</v>
      </c>
      <c r="G82" s="57" t="s">
        <v>183</v>
      </c>
      <c r="H82" s="58">
        <v>0</v>
      </c>
      <c r="I82" s="58">
        <v>0</v>
      </c>
      <c r="J82" s="58">
        <v>0</v>
      </c>
      <c r="K82" s="58">
        <v>0</v>
      </c>
      <c r="L82" s="58">
        <v>0</v>
      </c>
      <c r="M82" s="58">
        <v>0</v>
      </c>
      <c r="N82" s="58">
        <v>0</v>
      </c>
      <c r="O82" s="58">
        <v>0</v>
      </c>
      <c r="P82" s="58">
        <v>0</v>
      </c>
      <c r="Q82" s="58">
        <v>0</v>
      </c>
      <c r="R82" s="58">
        <v>0</v>
      </c>
      <c r="S82" s="58">
        <v>0</v>
      </c>
    </row>
    <row r="83" spans="1:19" ht="12" x14ac:dyDescent="0.2">
      <c r="A83" s="8"/>
      <c r="B83" s="2" t="s">
        <v>184</v>
      </c>
      <c r="C83" s="34" t="s">
        <v>182</v>
      </c>
      <c r="D83" s="34" t="s">
        <v>135</v>
      </c>
      <c r="E83" s="11" t="s">
        <v>89</v>
      </c>
      <c r="F83" s="12"/>
      <c r="G83" s="57" t="s">
        <v>374</v>
      </c>
      <c r="H83" s="58">
        <v>0</v>
      </c>
      <c r="I83" s="58">
        <v>0</v>
      </c>
      <c r="J83" s="58">
        <v>0</v>
      </c>
      <c r="K83" s="58">
        <v>0</v>
      </c>
      <c r="L83" s="58">
        <v>0</v>
      </c>
      <c r="M83" s="58">
        <v>0</v>
      </c>
      <c r="N83" s="58">
        <v>0</v>
      </c>
      <c r="O83" s="58">
        <v>0</v>
      </c>
      <c r="P83" s="58">
        <v>0</v>
      </c>
      <c r="Q83" s="58">
        <v>0</v>
      </c>
      <c r="R83" s="58">
        <v>0</v>
      </c>
      <c r="S83" s="58">
        <v>0</v>
      </c>
    </row>
    <row r="84" spans="1:19" ht="12" x14ac:dyDescent="0.2">
      <c r="A84" s="8"/>
      <c r="B84" s="2" t="s">
        <v>185</v>
      </c>
      <c r="C84" s="34" t="s">
        <v>375</v>
      </c>
      <c r="D84" s="34" t="s">
        <v>135</v>
      </c>
      <c r="E84" s="11" t="s">
        <v>89</v>
      </c>
      <c r="F84" s="12"/>
      <c r="G84" s="57" t="s">
        <v>376</v>
      </c>
      <c r="H84" s="58">
        <v>0</v>
      </c>
      <c r="I84" s="58">
        <v>0</v>
      </c>
      <c r="J84" s="58">
        <v>0</v>
      </c>
      <c r="K84" s="58">
        <v>0</v>
      </c>
      <c r="L84" s="58">
        <v>0</v>
      </c>
      <c r="M84" s="58">
        <v>0</v>
      </c>
      <c r="N84" s="58">
        <v>0</v>
      </c>
      <c r="O84" s="58">
        <v>0</v>
      </c>
      <c r="P84" s="58">
        <v>0</v>
      </c>
      <c r="Q84" s="58">
        <v>0</v>
      </c>
      <c r="R84" s="58">
        <v>0</v>
      </c>
      <c r="S84" s="58">
        <v>0</v>
      </c>
    </row>
    <row r="85" spans="1:19" ht="12" x14ac:dyDescent="0.2">
      <c r="A85" s="8"/>
      <c r="B85" s="2" t="s">
        <v>186</v>
      </c>
      <c r="C85" s="36">
        <v>68</v>
      </c>
      <c r="D85" s="34" t="s">
        <v>135</v>
      </c>
      <c r="E85" s="11" t="s">
        <v>89</v>
      </c>
      <c r="F85" s="12"/>
      <c r="G85" s="70" t="s">
        <v>111</v>
      </c>
      <c r="H85" s="58">
        <v>0</v>
      </c>
      <c r="I85" s="58">
        <v>0</v>
      </c>
      <c r="J85" s="58">
        <v>0</v>
      </c>
      <c r="K85" s="58">
        <v>0</v>
      </c>
      <c r="L85" s="58">
        <v>0</v>
      </c>
      <c r="M85" s="58">
        <v>0</v>
      </c>
      <c r="N85" s="58">
        <v>0</v>
      </c>
      <c r="O85" s="58">
        <v>0</v>
      </c>
      <c r="P85" s="58">
        <v>0</v>
      </c>
      <c r="Q85" s="58">
        <v>0</v>
      </c>
      <c r="R85" s="58">
        <v>0</v>
      </c>
      <c r="S85" s="58">
        <v>0</v>
      </c>
    </row>
    <row r="86" spans="1:19" x14ac:dyDescent="0.2">
      <c r="A86" s="8"/>
      <c r="B86" s="2" t="s">
        <v>377</v>
      </c>
      <c r="C86" s="10"/>
      <c r="D86" s="10"/>
      <c r="E86" s="9"/>
      <c r="G86" s="70" t="s">
        <v>158</v>
      </c>
      <c r="H86" s="56">
        <f t="shared" ref="H86:S86" si="19">SUM(H74:H85)</f>
        <v>-1.534</v>
      </c>
      <c r="I86" s="56">
        <f t="shared" si="19"/>
        <v>-4.0000000000000001E-3</v>
      </c>
      <c r="J86" s="56">
        <f t="shared" si="19"/>
        <v>0</v>
      </c>
      <c r="K86" s="56">
        <f t="shared" si="19"/>
        <v>0</v>
      </c>
      <c r="L86" s="56">
        <f t="shared" si="19"/>
        <v>-0.08</v>
      </c>
      <c r="M86" s="56">
        <f t="shared" si="19"/>
        <v>0</v>
      </c>
      <c r="N86" s="56">
        <f t="shared" si="19"/>
        <v>0</v>
      </c>
      <c r="O86" s="56">
        <f t="shared" si="19"/>
        <v>0</v>
      </c>
      <c r="P86" s="56">
        <f t="shared" si="19"/>
        <v>0</v>
      </c>
      <c r="Q86" s="56">
        <f t="shared" si="19"/>
        <v>0</v>
      </c>
      <c r="R86" s="56">
        <f t="shared" si="19"/>
        <v>0</v>
      </c>
      <c r="S86" s="56">
        <f t="shared" si="19"/>
        <v>0</v>
      </c>
    </row>
    <row r="87" spans="1:19" s="4" customFormat="1" x14ac:dyDescent="0.2">
      <c r="A87" s="8"/>
      <c r="B87" s="2" t="s">
        <v>378</v>
      </c>
      <c r="C87" s="10"/>
      <c r="D87" s="10"/>
      <c r="E87" s="9"/>
      <c r="F87" s="8"/>
      <c r="G87" s="89" t="s">
        <v>379</v>
      </c>
      <c r="H87" s="98"/>
      <c r="I87" s="85">
        <f t="shared" ref="I87:S87" si="20">(I14+I15)-(H14+H15-I58-I59+I45)</f>
        <v>16.324999999999996</v>
      </c>
      <c r="J87" s="85">
        <f t="shared" si="20"/>
        <v>-16.326000000000008</v>
      </c>
      <c r="K87" s="85">
        <f t="shared" si="20"/>
        <v>0</v>
      </c>
      <c r="L87" s="85">
        <f t="shared" si="20"/>
        <v>9.9999999999766942E-4</v>
      </c>
      <c r="M87" s="85">
        <f t="shared" si="20"/>
        <v>0</v>
      </c>
      <c r="N87" s="85">
        <f t="shared" si="20"/>
        <v>0</v>
      </c>
      <c r="O87" s="85">
        <f t="shared" si="20"/>
        <v>0</v>
      </c>
      <c r="P87" s="85">
        <f t="shared" si="20"/>
        <v>0</v>
      </c>
      <c r="Q87" s="85">
        <f t="shared" si="20"/>
        <v>0</v>
      </c>
      <c r="R87" s="85">
        <f t="shared" si="20"/>
        <v>0</v>
      </c>
      <c r="S87" s="85">
        <f t="shared" si="20"/>
        <v>0</v>
      </c>
    </row>
    <row r="88" spans="1:19" s="4" customFormat="1" x14ac:dyDescent="0.2">
      <c r="A88" s="8"/>
      <c r="B88" s="2" t="s">
        <v>380</v>
      </c>
      <c r="C88" s="10"/>
      <c r="D88" s="10"/>
      <c r="E88" s="9"/>
      <c r="F88" s="8"/>
      <c r="G88" s="89" t="s">
        <v>381</v>
      </c>
      <c r="H88" s="98"/>
      <c r="I88" s="85">
        <f t="shared" ref="I88:L88" si="21">I24-(H24+(I74+I76)+(I75+I77)+(I78))</f>
        <v>0</v>
      </c>
      <c r="J88" s="85">
        <f t="shared" si="21"/>
        <v>0</v>
      </c>
      <c r="K88" s="85">
        <f t="shared" si="21"/>
        <v>0</v>
      </c>
      <c r="L88" s="85">
        <f t="shared" si="21"/>
        <v>0</v>
      </c>
      <c r="M88" s="85">
        <f>M24-(L24+(M74+M76)+(M75+M77)+(M78))</f>
        <v>0</v>
      </c>
      <c r="N88" s="85">
        <f t="shared" ref="N88:S88" si="22">N24-(M24+(N74+N76)+(N75+N77)+(N78))</f>
        <v>0</v>
      </c>
      <c r="O88" s="85">
        <f t="shared" si="22"/>
        <v>0</v>
      </c>
      <c r="P88" s="85">
        <f t="shared" si="22"/>
        <v>0</v>
      </c>
      <c r="Q88" s="85">
        <f t="shared" si="22"/>
        <v>0</v>
      </c>
      <c r="R88" s="85">
        <f t="shared" si="22"/>
        <v>0</v>
      </c>
      <c r="S88" s="85">
        <f t="shared" si="22"/>
        <v>0</v>
      </c>
    </row>
    <row r="89" spans="1:19" s="4" customFormat="1" x14ac:dyDescent="0.2">
      <c r="A89" s="8"/>
      <c r="B89" s="2" t="s">
        <v>382</v>
      </c>
      <c r="C89" s="10"/>
      <c r="D89" s="10"/>
      <c r="E89" s="9"/>
      <c r="F89" s="8"/>
      <c r="G89" s="89" t="s">
        <v>383</v>
      </c>
      <c r="H89" s="98"/>
      <c r="I89" s="85">
        <f t="shared" ref="I89:S89" si="23">I28-(H28+(I82+I83))</f>
        <v>0</v>
      </c>
      <c r="J89" s="85">
        <f t="shared" si="23"/>
        <v>0</v>
      </c>
      <c r="K89" s="85">
        <f t="shared" si="23"/>
        <v>0</v>
      </c>
      <c r="L89" s="85">
        <f t="shared" si="23"/>
        <v>0</v>
      </c>
      <c r="M89" s="85">
        <f t="shared" si="23"/>
        <v>0</v>
      </c>
      <c r="N89" s="85">
        <f t="shared" si="23"/>
        <v>0</v>
      </c>
      <c r="O89" s="85">
        <f t="shared" si="23"/>
        <v>0</v>
      </c>
      <c r="P89" s="85">
        <f t="shared" si="23"/>
        <v>0</v>
      </c>
      <c r="Q89" s="85">
        <f t="shared" si="23"/>
        <v>0</v>
      </c>
      <c r="R89" s="85">
        <f t="shared" si="23"/>
        <v>0</v>
      </c>
      <c r="S89" s="85">
        <f t="shared" si="23"/>
        <v>0</v>
      </c>
    </row>
    <row r="90" spans="1:19" s="4" customFormat="1" x14ac:dyDescent="0.2">
      <c r="A90" s="8"/>
      <c r="B90" s="2" t="s">
        <v>384</v>
      </c>
      <c r="C90" s="10"/>
      <c r="D90" s="10"/>
      <c r="E90" s="9"/>
      <c r="F90" s="8"/>
      <c r="G90" s="89" t="s">
        <v>385</v>
      </c>
      <c r="H90" s="98"/>
      <c r="I90" s="85">
        <f t="shared" ref="I90:M90" si="24">I29-(H29+H30)-I84</f>
        <v>0</v>
      </c>
      <c r="J90" s="85">
        <f t="shared" si="24"/>
        <v>-9.9999999997635314E-4</v>
      </c>
      <c r="K90" s="85">
        <f t="shared" si="24"/>
        <v>0</v>
      </c>
      <c r="L90" s="85">
        <f t="shared" si="24"/>
        <v>0</v>
      </c>
      <c r="M90" s="85">
        <f t="shared" si="24"/>
        <v>5.6843418860808015E-14</v>
      </c>
      <c r="N90" s="85">
        <f>N29-(M29+M30)-N84</f>
        <v>-5.6843418860808015E-14</v>
      </c>
      <c r="O90" s="85">
        <f t="shared" ref="O90:S90" si="25">O29-(N29+N30)-O84</f>
        <v>0.13999999999998636</v>
      </c>
      <c r="P90" s="85">
        <f t="shared" si="25"/>
        <v>0</v>
      </c>
      <c r="Q90" s="85">
        <f t="shared" si="25"/>
        <v>0</v>
      </c>
      <c r="R90" s="85">
        <f t="shared" si="25"/>
        <v>0</v>
      </c>
      <c r="S90" s="85">
        <f t="shared" si="25"/>
        <v>0</v>
      </c>
    </row>
    <row r="91" spans="1:19" s="4" customFormat="1" x14ac:dyDescent="0.2">
      <c r="A91" s="8"/>
      <c r="B91" s="2"/>
      <c r="C91" s="10"/>
      <c r="D91" s="10"/>
      <c r="E91" s="9"/>
      <c r="F91" s="8"/>
      <c r="G91" s="28"/>
      <c r="L91" s="93">
        <f>L90-L87</f>
        <v>-9.9999999999766942E-4</v>
      </c>
    </row>
    <row r="92" spans="1:19" s="4" customFormat="1" x14ac:dyDescent="0.2">
      <c r="A92" s="13" t="s">
        <v>0</v>
      </c>
      <c r="B92" s="2"/>
      <c r="C92" s="10"/>
      <c r="D92" s="753" t="s">
        <v>187</v>
      </c>
      <c r="E92" s="754"/>
      <c r="F92" s="8"/>
      <c r="G92" s="94" t="s">
        <v>386</v>
      </c>
      <c r="H92" s="87">
        <f>H73</f>
        <v>2011</v>
      </c>
      <c r="I92" s="87">
        <f t="shared" ref="I92:S92" si="26">I73</f>
        <v>2012</v>
      </c>
      <c r="J92" s="87">
        <f t="shared" si="26"/>
        <v>2013</v>
      </c>
      <c r="K92" s="87">
        <f t="shared" si="26"/>
        <v>2014</v>
      </c>
      <c r="L92" s="87">
        <f t="shared" si="26"/>
        <v>2015</v>
      </c>
      <c r="M92" s="87">
        <f t="shared" si="26"/>
        <v>2016</v>
      </c>
      <c r="N92" s="87">
        <f t="shared" si="26"/>
        <v>2017</v>
      </c>
      <c r="O92" s="87">
        <f t="shared" si="26"/>
        <v>2018</v>
      </c>
      <c r="P92" s="87">
        <f t="shared" si="26"/>
        <v>2019</v>
      </c>
      <c r="Q92" s="87">
        <f t="shared" si="26"/>
        <v>2020</v>
      </c>
      <c r="R92" s="87">
        <f t="shared" si="26"/>
        <v>2021</v>
      </c>
      <c r="S92" s="87">
        <f t="shared" si="26"/>
        <v>2022</v>
      </c>
    </row>
    <row r="93" spans="1:19" s="4" customFormat="1" x14ac:dyDescent="0.2">
      <c r="A93" s="8"/>
      <c r="B93" s="2" t="s">
        <v>387</v>
      </c>
      <c r="C93" s="10" t="s">
        <v>388</v>
      </c>
      <c r="D93" s="10"/>
      <c r="E93" s="9"/>
      <c r="F93" s="8"/>
      <c r="G93" s="95" t="s">
        <v>389</v>
      </c>
      <c r="H93" s="96">
        <f>H5+H11+H12+H13</f>
        <v>2400.1309999999999</v>
      </c>
      <c r="I93" s="96">
        <f>I5+I11+I12+I13</f>
        <v>2915.848</v>
      </c>
      <c r="J93" s="96">
        <f t="shared" ref="J93:S93" si="27">J5+J11+J12+J13</f>
        <v>2719.799</v>
      </c>
      <c r="K93" s="96">
        <f t="shared" si="27"/>
        <v>1438.8059999999998</v>
      </c>
      <c r="L93" s="96">
        <f t="shared" si="27"/>
        <v>1279.366</v>
      </c>
      <c r="M93" s="96">
        <f t="shared" si="27"/>
        <v>1367.943</v>
      </c>
      <c r="N93" s="96">
        <f t="shared" si="27"/>
        <v>1153.6809999999998</v>
      </c>
      <c r="O93" s="96">
        <f t="shared" si="27"/>
        <v>1129.0900000000001</v>
      </c>
      <c r="P93" s="96">
        <f t="shared" si="27"/>
        <v>1323</v>
      </c>
      <c r="Q93" s="96">
        <f t="shared" si="27"/>
        <v>1313</v>
      </c>
      <c r="R93" s="96">
        <f t="shared" si="27"/>
        <v>1289</v>
      </c>
      <c r="S93" s="96">
        <f t="shared" si="27"/>
        <v>1244</v>
      </c>
    </row>
    <row r="94" spans="1:19" s="4" customFormat="1" x14ac:dyDescent="0.2">
      <c r="A94" s="8"/>
      <c r="B94" s="2" t="s">
        <v>390</v>
      </c>
      <c r="C94" s="10"/>
      <c r="D94" s="10"/>
      <c r="E94" s="9"/>
      <c r="F94" s="8"/>
      <c r="G94" s="97" t="s">
        <v>391</v>
      </c>
      <c r="H94" s="98"/>
      <c r="I94" s="96">
        <f>I93-H93</f>
        <v>515.7170000000001</v>
      </c>
      <c r="J94" s="96">
        <f t="shared" ref="J94:S94" si="28">J93-I93</f>
        <v>-196.04899999999998</v>
      </c>
      <c r="K94" s="96">
        <f t="shared" si="28"/>
        <v>-1280.9930000000002</v>
      </c>
      <c r="L94" s="96">
        <f t="shared" si="28"/>
        <v>-159.43999999999983</v>
      </c>
      <c r="M94" s="96">
        <f t="shared" si="28"/>
        <v>88.576999999999998</v>
      </c>
      <c r="N94" s="96">
        <f t="shared" si="28"/>
        <v>-214.26200000000017</v>
      </c>
      <c r="O94" s="96">
        <f t="shared" si="28"/>
        <v>-24.590999999999667</v>
      </c>
      <c r="P94" s="96">
        <f t="shared" si="28"/>
        <v>193.90999999999985</v>
      </c>
      <c r="Q94" s="96">
        <f t="shared" si="28"/>
        <v>-10</v>
      </c>
      <c r="R94" s="96">
        <f t="shared" si="28"/>
        <v>-24</v>
      </c>
      <c r="S94" s="96">
        <f t="shared" si="28"/>
        <v>-45</v>
      </c>
    </row>
    <row r="95" spans="1:19" s="4" customFormat="1" x14ac:dyDescent="0.2">
      <c r="A95" s="8"/>
      <c r="B95" s="2" t="s">
        <v>392</v>
      </c>
      <c r="C95" s="10" t="s">
        <v>42</v>
      </c>
      <c r="D95" s="10"/>
      <c r="E95" s="9"/>
      <c r="F95" s="8"/>
      <c r="G95" s="95" t="s">
        <v>393</v>
      </c>
      <c r="H95" s="96">
        <f>H19</f>
        <v>2243.0070000000001</v>
      </c>
      <c r="I95" s="96">
        <f t="shared" ref="I95:S95" si="29">I19</f>
        <v>2795.4989999999998</v>
      </c>
      <c r="J95" s="96">
        <f t="shared" si="29"/>
        <v>2575.223</v>
      </c>
      <c r="K95" s="96">
        <f t="shared" si="29"/>
        <v>1276.047</v>
      </c>
      <c r="L95" s="96">
        <f t="shared" si="29"/>
        <v>841.14099999999996</v>
      </c>
      <c r="M95" s="96">
        <f t="shared" si="29"/>
        <v>1033.873</v>
      </c>
      <c r="N95" s="96">
        <f>N19</f>
        <v>728.822</v>
      </c>
      <c r="O95" s="96">
        <f t="shared" si="29"/>
        <v>602.23500000000001</v>
      </c>
      <c r="P95" s="96">
        <f t="shared" si="29"/>
        <v>792</v>
      </c>
      <c r="Q95" s="96">
        <f t="shared" si="29"/>
        <v>778</v>
      </c>
      <c r="R95" s="96">
        <f t="shared" si="29"/>
        <v>750</v>
      </c>
      <c r="S95" s="96">
        <f t="shared" si="29"/>
        <v>701</v>
      </c>
    </row>
    <row r="96" spans="1:19" s="4" customFormat="1" x14ac:dyDescent="0.2">
      <c r="A96" s="8"/>
      <c r="B96" s="2" t="s">
        <v>394</v>
      </c>
      <c r="C96" s="10"/>
      <c r="D96" s="10"/>
      <c r="E96" s="9"/>
      <c r="F96" s="8"/>
      <c r="G96" s="97" t="s">
        <v>391</v>
      </c>
      <c r="H96" s="98"/>
      <c r="I96" s="96">
        <f>I95-H95</f>
        <v>552.49199999999973</v>
      </c>
      <c r="J96" s="96">
        <f t="shared" ref="J96:S96" si="30">J95-I95</f>
        <v>-220.27599999999984</v>
      </c>
      <c r="K96" s="96">
        <f t="shared" si="30"/>
        <v>-1299.1759999999999</v>
      </c>
      <c r="L96" s="96">
        <f t="shared" si="30"/>
        <v>-434.90600000000006</v>
      </c>
      <c r="M96" s="96">
        <f t="shared" si="30"/>
        <v>192.73200000000008</v>
      </c>
      <c r="N96" s="96">
        <f t="shared" si="30"/>
        <v>-305.05100000000004</v>
      </c>
      <c r="O96" s="96">
        <f t="shared" si="30"/>
        <v>-126.58699999999999</v>
      </c>
      <c r="P96" s="96">
        <f t="shared" si="30"/>
        <v>189.76499999999999</v>
      </c>
      <c r="Q96" s="96">
        <f t="shared" si="30"/>
        <v>-14</v>
      </c>
      <c r="R96" s="96">
        <f t="shared" si="30"/>
        <v>-28</v>
      </c>
      <c r="S96" s="96">
        <f t="shared" si="30"/>
        <v>-49</v>
      </c>
    </row>
    <row r="97" spans="1:20" s="40" customFormat="1" x14ac:dyDescent="0.2">
      <c r="A97" s="29" t="s">
        <v>395</v>
      </c>
      <c r="B97" s="2" t="s">
        <v>188</v>
      </c>
      <c r="C97" s="10" t="s">
        <v>396</v>
      </c>
      <c r="D97" s="99"/>
      <c r="E97" s="30"/>
      <c r="F97" s="29"/>
      <c r="G97" s="100" t="s">
        <v>386</v>
      </c>
      <c r="H97" s="101"/>
      <c r="I97" s="102">
        <f>I94-I96</f>
        <v>-36.774999999999636</v>
      </c>
      <c r="J97" s="102">
        <f t="shared" ref="J97:S97" si="31">J94-J96</f>
        <v>24.226999999999862</v>
      </c>
      <c r="K97" s="102">
        <f t="shared" si="31"/>
        <v>18.182999999999765</v>
      </c>
      <c r="L97" s="102">
        <f t="shared" si="31"/>
        <v>275.46600000000024</v>
      </c>
      <c r="M97" s="102">
        <f t="shared" si="31"/>
        <v>-104.15500000000009</v>
      </c>
      <c r="N97" s="102">
        <f t="shared" si="31"/>
        <v>90.788999999999874</v>
      </c>
      <c r="O97" s="102">
        <f t="shared" si="31"/>
        <v>101.99600000000032</v>
      </c>
      <c r="P97" s="102">
        <f t="shared" si="31"/>
        <v>4.1449999999998681</v>
      </c>
      <c r="Q97" s="102">
        <f t="shared" si="31"/>
        <v>4</v>
      </c>
      <c r="R97" s="102">
        <f t="shared" si="31"/>
        <v>4</v>
      </c>
      <c r="S97" s="102">
        <f t="shared" si="31"/>
        <v>4</v>
      </c>
    </row>
    <row r="98" spans="1:20" s="4" customFormat="1" x14ac:dyDescent="0.2">
      <c r="A98" s="8"/>
      <c r="B98" s="2"/>
      <c r="C98" s="10"/>
      <c r="D98" s="10"/>
      <c r="E98" s="9"/>
      <c r="F98" s="8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</row>
    <row r="99" spans="1:20" s="4" customFormat="1" x14ac:dyDescent="0.2">
      <c r="A99" s="8"/>
      <c r="B99" s="2" t="s">
        <v>397</v>
      </c>
      <c r="C99" s="10" t="s">
        <v>398</v>
      </c>
      <c r="D99" s="10"/>
      <c r="E99" s="9"/>
      <c r="F99" s="8"/>
      <c r="G99" s="95" t="s">
        <v>399</v>
      </c>
      <c r="H99" s="96">
        <f>H4-H93</f>
        <v>102.05699999999979</v>
      </c>
      <c r="I99" s="96">
        <f t="shared" ref="I99:S99" si="32">I4-I93</f>
        <v>55.27599999999984</v>
      </c>
      <c r="J99" s="96">
        <f t="shared" si="32"/>
        <v>27.631000000000313</v>
      </c>
      <c r="K99" s="96">
        <f t="shared" si="32"/>
        <v>16.609000000000151</v>
      </c>
      <c r="L99" s="96">
        <f t="shared" si="32"/>
        <v>13.144999999999982</v>
      </c>
      <c r="M99" s="96">
        <f t="shared" si="32"/>
        <v>0</v>
      </c>
      <c r="N99" s="96">
        <f t="shared" si="32"/>
        <v>0</v>
      </c>
      <c r="O99" s="96">
        <f t="shared" si="32"/>
        <v>0</v>
      </c>
      <c r="P99" s="96">
        <f t="shared" si="32"/>
        <v>0</v>
      </c>
      <c r="Q99" s="96">
        <f t="shared" si="32"/>
        <v>0</v>
      </c>
      <c r="R99" s="96">
        <f t="shared" si="32"/>
        <v>0</v>
      </c>
      <c r="S99" s="96">
        <f t="shared" si="32"/>
        <v>0</v>
      </c>
    </row>
    <row r="100" spans="1:20" s="4" customFormat="1" x14ac:dyDescent="0.2">
      <c r="A100" s="8"/>
      <c r="B100" s="2" t="s">
        <v>400</v>
      </c>
      <c r="C100" s="10"/>
      <c r="D100" s="10"/>
      <c r="E100" s="9"/>
      <c r="F100" s="8"/>
      <c r="G100" s="97" t="s">
        <v>391</v>
      </c>
      <c r="H100" s="98"/>
      <c r="I100" s="96">
        <f>I99-H99</f>
        <v>-46.780999999999949</v>
      </c>
      <c r="J100" s="96">
        <f t="shared" ref="J100:S100" si="33">J99-I99</f>
        <v>-27.644999999999527</v>
      </c>
      <c r="K100" s="96">
        <f t="shared" si="33"/>
        <v>-11.022000000000162</v>
      </c>
      <c r="L100" s="96">
        <f t="shared" si="33"/>
        <v>-3.4640000000001692</v>
      </c>
      <c r="M100" s="96">
        <f t="shared" si="33"/>
        <v>-13.144999999999982</v>
      </c>
      <c r="N100" s="96">
        <f t="shared" si="33"/>
        <v>0</v>
      </c>
      <c r="O100" s="96">
        <f t="shared" si="33"/>
        <v>0</v>
      </c>
      <c r="P100" s="96">
        <f t="shared" si="33"/>
        <v>0</v>
      </c>
      <c r="Q100" s="96">
        <f t="shared" si="33"/>
        <v>0</v>
      </c>
      <c r="R100" s="96">
        <f t="shared" si="33"/>
        <v>0</v>
      </c>
      <c r="S100" s="96">
        <f t="shared" si="33"/>
        <v>0</v>
      </c>
    </row>
    <row r="101" spans="1:20" s="4" customFormat="1" x14ac:dyDescent="0.2">
      <c r="A101" s="8"/>
      <c r="B101" s="2" t="s">
        <v>401</v>
      </c>
      <c r="C101" s="10" t="s">
        <v>64</v>
      </c>
      <c r="D101" s="10"/>
      <c r="E101" s="9"/>
      <c r="F101" s="8"/>
      <c r="G101" s="95" t="s">
        <v>402</v>
      </c>
      <c r="H101" s="96">
        <f>H27</f>
        <v>259.18299999999999</v>
      </c>
      <c r="I101" s="96">
        <f t="shared" ref="I101:S101" si="34">I27</f>
        <v>175.62599999999998</v>
      </c>
      <c r="J101" s="96">
        <f t="shared" si="34"/>
        <v>172.20599999999999</v>
      </c>
      <c r="K101" s="96">
        <f t="shared" si="34"/>
        <v>179.36799999999999</v>
      </c>
      <c r="L101" s="96">
        <f t="shared" si="34"/>
        <v>451.36899999999997</v>
      </c>
      <c r="M101" s="96">
        <f t="shared" si="34"/>
        <v>334.07000000000005</v>
      </c>
      <c r="N101" s="96">
        <f t="shared" si="34"/>
        <v>424.86</v>
      </c>
      <c r="O101" s="96">
        <f t="shared" si="34"/>
        <v>527</v>
      </c>
      <c r="P101" s="96">
        <f t="shared" si="34"/>
        <v>531</v>
      </c>
      <c r="Q101" s="96">
        <f t="shared" si="34"/>
        <v>535</v>
      </c>
      <c r="R101" s="96">
        <f t="shared" si="34"/>
        <v>539</v>
      </c>
      <c r="S101" s="96">
        <f t="shared" si="34"/>
        <v>543</v>
      </c>
    </row>
    <row r="102" spans="1:20" s="4" customFormat="1" x14ac:dyDescent="0.2">
      <c r="A102" s="8"/>
      <c r="B102" s="2" t="s">
        <v>403</v>
      </c>
      <c r="C102" s="10"/>
      <c r="D102" s="10"/>
      <c r="E102" s="9"/>
      <c r="F102" s="8"/>
      <c r="G102" s="97" t="s">
        <v>391</v>
      </c>
      <c r="H102" s="98"/>
      <c r="I102" s="96">
        <f>I101-H101</f>
        <v>-83.557000000000016</v>
      </c>
      <c r="J102" s="96">
        <f t="shared" ref="J102:S102" si="35">J101-I101</f>
        <v>-3.4199999999999875</v>
      </c>
      <c r="K102" s="96">
        <f t="shared" si="35"/>
        <v>7.1620000000000061</v>
      </c>
      <c r="L102" s="96">
        <f t="shared" si="35"/>
        <v>272.00099999999998</v>
      </c>
      <c r="M102" s="96">
        <f t="shared" si="35"/>
        <v>-117.29899999999992</v>
      </c>
      <c r="N102" s="96">
        <f t="shared" si="35"/>
        <v>90.789999999999964</v>
      </c>
      <c r="O102" s="96">
        <f t="shared" si="35"/>
        <v>102.13999999999999</v>
      </c>
      <c r="P102" s="96">
        <f t="shared" si="35"/>
        <v>4</v>
      </c>
      <c r="Q102" s="96">
        <f t="shared" si="35"/>
        <v>4</v>
      </c>
      <c r="R102" s="96">
        <f t="shared" si="35"/>
        <v>4</v>
      </c>
      <c r="S102" s="96">
        <f t="shared" si="35"/>
        <v>4</v>
      </c>
    </row>
    <row r="103" spans="1:20" s="40" customFormat="1" x14ac:dyDescent="0.2">
      <c r="A103" s="29" t="s">
        <v>404</v>
      </c>
      <c r="B103" s="2" t="s">
        <v>189</v>
      </c>
      <c r="C103" s="10" t="s">
        <v>405</v>
      </c>
      <c r="D103" s="10"/>
      <c r="E103" s="9"/>
      <c r="F103" s="8"/>
      <c r="G103" s="100" t="s">
        <v>406</v>
      </c>
      <c r="H103" s="101"/>
      <c r="I103" s="102">
        <f>I102-I100</f>
        <v>-36.776000000000067</v>
      </c>
      <c r="J103" s="102">
        <f t="shared" ref="J103:S103" si="36">J102-J100</f>
        <v>24.22499999999954</v>
      </c>
      <c r="K103" s="102">
        <f t="shared" si="36"/>
        <v>18.184000000000168</v>
      </c>
      <c r="L103" s="102">
        <f t="shared" si="36"/>
        <v>275.46500000000015</v>
      </c>
      <c r="M103" s="102">
        <f t="shared" si="36"/>
        <v>-104.15399999999994</v>
      </c>
      <c r="N103" s="102">
        <f t="shared" si="36"/>
        <v>90.789999999999964</v>
      </c>
      <c r="O103" s="102">
        <f t="shared" si="36"/>
        <v>102.13999999999999</v>
      </c>
      <c r="P103" s="102">
        <f t="shared" si="36"/>
        <v>4</v>
      </c>
      <c r="Q103" s="102">
        <f t="shared" si="36"/>
        <v>4</v>
      </c>
      <c r="R103" s="102">
        <f t="shared" si="36"/>
        <v>4</v>
      </c>
      <c r="S103" s="102">
        <f t="shared" si="36"/>
        <v>4</v>
      </c>
    </row>
    <row r="104" spans="1:20" s="4" customFormat="1" x14ac:dyDescent="0.2">
      <c r="A104" s="8"/>
      <c r="B104" s="2"/>
      <c r="C104" s="10"/>
      <c r="D104" s="10"/>
      <c r="E104" s="9"/>
      <c r="F104" s="8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</row>
    <row r="105" spans="1:20" s="4" customFormat="1" x14ac:dyDescent="0.2">
      <c r="A105" s="13"/>
      <c r="B105" s="2"/>
      <c r="C105" s="10"/>
      <c r="D105" s="10"/>
      <c r="E105" s="9"/>
      <c r="F105" s="8"/>
      <c r="G105" s="94" t="s">
        <v>407</v>
      </c>
      <c r="H105" s="87">
        <f t="shared" ref="H105:S105" si="37">H32</f>
        <v>2011</v>
      </c>
      <c r="I105" s="87">
        <f t="shared" si="37"/>
        <v>2012</v>
      </c>
      <c r="J105" s="87">
        <f t="shared" si="37"/>
        <v>2013</v>
      </c>
      <c r="K105" s="87">
        <f t="shared" si="37"/>
        <v>2014</v>
      </c>
      <c r="L105" s="87">
        <f t="shared" si="37"/>
        <v>2015</v>
      </c>
      <c r="M105" s="87">
        <f t="shared" si="37"/>
        <v>2016</v>
      </c>
      <c r="N105" s="87">
        <f t="shared" si="37"/>
        <v>2017</v>
      </c>
      <c r="O105" s="87">
        <f t="shared" si="37"/>
        <v>2018</v>
      </c>
      <c r="P105" s="87">
        <f t="shared" si="37"/>
        <v>2019</v>
      </c>
      <c r="Q105" s="87">
        <f t="shared" si="37"/>
        <v>2020</v>
      </c>
      <c r="R105" s="87">
        <f t="shared" si="37"/>
        <v>2021</v>
      </c>
      <c r="S105" s="87">
        <f t="shared" si="37"/>
        <v>2022</v>
      </c>
    </row>
    <row r="106" spans="1:20" s="40" customFormat="1" x14ac:dyDescent="0.2">
      <c r="A106" s="29" t="s">
        <v>408</v>
      </c>
      <c r="B106" s="2" t="s">
        <v>192</v>
      </c>
      <c r="C106" s="29" t="s">
        <v>409</v>
      </c>
      <c r="D106" s="10"/>
      <c r="E106" s="9"/>
      <c r="F106" s="8"/>
      <c r="G106" s="103" t="s">
        <v>407</v>
      </c>
      <c r="H106" s="101" t="s">
        <v>358</v>
      </c>
      <c r="I106" s="104">
        <f t="shared" ref="I106:N106" si="38">(I48-I45+I50)+(I58+I59)+(I82+I83+I84+I85)-(I85-I49)</f>
        <v>-20.45099999999962</v>
      </c>
      <c r="J106" s="104">
        <f t="shared" si="38"/>
        <v>7.8990000000000276</v>
      </c>
      <c r="K106" s="104">
        <f t="shared" si="38"/>
        <v>18.185000000000159</v>
      </c>
      <c r="L106" s="104">
        <f t="shared" si="38"/>
        <v>275.01499999999965</v>
      </c>
      <c r="M106" s="104">
        <f t="shared" si="38"/>
        <v>-104.15399999999978</v>
      </c>
      <c r="N106" s="104">
        <f t="shared" si="38"/>
        <v>90.477000000000317</v>
      </c>
      <c r="O106" s="104">
        <f>(O48-O45+O50)+(O58+O59)+(O82+O83+O84+O85)-(O85-O49)</f>
        <v>101.9380000000001</v>
      </c>
      <c r="P106" s="104">
        <f>(P48-P45+P50)+(P58+P59)+(P82+P83+P84+P85)-(P85-P49)</f>
        <v>3.8699999999998909</v>
      </c>
      <c r="Q106" s="104">
        <f t="shared" ref="Q106:S106" si="39">(Q48-Q45+Q50)+(Q58+Q59)+(Q82+Q83+Q84+Q85)-(Q85-Q49)</f>
        <v>4.1639999999997599</v>
      </c>
      <c r="R106" s="104">
        <f t="shared" si="39"/>
        <v>4</v>
      </c>
      <c r="S106" s="104">
        <f t="shared" si="39"/>
        <v>4</v>
      </c>
    </row>
    <row r="107" spans="1:20" s="40" customFormat="1" x14ac:dyDescent="0.2">
      <c r="A107" s="29" t="s">
        <v>410</v>
      </c>
      <c r="B107" s="2" t="s">
        <v>194</v>
      </c>
      <c r="C107" s="29" t="s">
        <v>411</v>
      </c>
      <c r="D107" s="10"/>
      <c r="E107" s="9"/>
      <c r="F107" s="8"/>
      <c r="G107" s="89" t="s">
        <v>412</v>
      </c>
      <c r="H107" s="101" t="s">
        <v>358</v>
      </c>
      <c r="I107" s="85">
        <f>I97-I106</f>
        <v>-16.324000000000016</v>
      </c>
      <c r="J107" s="85">
        <f t="shared" ref="J107:S107" si="40">J97-J106</f>
        <v>16.327999999999832</v>
      </c>
      <c r="K107" s="85">
        <f t="shared" si="40"/>
        <v>-2.0000000003932428E-3</v>
      </c>
      <c r="L107" s="85">
        <f t="shared" si="40"/>
        <v>0.45100000000059026</v>
      </c>
      <c r="M107" s="85">
        <f t="shared" si="40"/>
        <v>-1.0000000003032028E-3</v>
      </c>
      <c r="N107" s="85">
        <f t="shared" si="40"/>
        <v>0.31199999999955708</v>
      </c>
      <c r="O107" s="85">
        <f t="shared" si="40"/>
        <v>5.8000000000220098E-2</v>
      </c>
      <c r="P107" s="85">
        <f t="shared" si="40"/>
        <v>0.27499999999997726</v>
      </c>
      <c r="Q107" s="85">
        <f t="shared" si="40"/>
        <v>-0.16399999999975989</v>
      </c>
      <c r="R107" s="85">
        <f t="shared" si="40"/>
        <v>0</v>
      </c>
      <c r="S107" s="85">
        <f t="shared" si="40"/>
        <v>0</v>
      </c>
    </row>
    <row r="108" spans="1:20" s="40" customFormat="1" x14ac:dyDescent="0.2">
      <c r="A108" s="29"/>
      <c r="B108" s="2"/>
      <c r="C108" s="29"/>
      <c r="D108" s="10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</row>
    <row r="109" spans="1:20" s="40" customFormat="1" x14ac:dyDescent="0.2">
      <c r="A109" s="29"/>
      <c r="B109" s="2"/>
      <c r="C109" s="29"/>
      <c r="D109" s="10"/>
      <c r="E109" s="9"/>
      <c r="F109" s="8"/>
      <c r="G109" s="94" t="s">
        <v>413</v>
      </c>
      <c r="H109" s="87">
        <f>H105</f>
        <v>2011</v>
      </c>
      <c r="I109" s="87">
        <f t="shared" ref="I109:S109" si="41">I105</f>
        <v>2012</v>
      </c>
      <c r="J109" s="87">
        <f t="shared" si="41"/>
        <v>2013</v>
      </c>
      <c r="K109" s="87">
        <f t="shared" si="41"/>
        <v>2014</v>
      </c>
      <c r="L109" s="87">
        <f t="shared" si="41"/>
        <v>2015</v>
      </c>
      <c r="M109" s="87">
        <f t="shared" si="41"/>
        <v>2016</v>
      </c>
      <c r="N109" s="87">
        <f t="shared" si="41"/>
        <v>2017</v>
      </c>
      <c r="O109" s="87">
        <f t="shared" si="41"/>
        <v>2018</v>
      </c>
      <c r="P109" s="87">
        <f t="shared" si="41"/>
        <v>2019</v>
      </c>
      <c r="Q109" s="87">
        <f t="shared" si="41"/>
        <v>2020</v>
      </c>
      <c r="R109" s="87">
        <f t="shared" si="41"/>
        <v>2021</v>
      </c>
      <c r="S109" s="87">
        <f t="shared" si="41"/>
        <v>2022</v>
      </c>
    </row>
    <row r="110" spans="1:20" s="4" customFormat="1" x14ac:dyDescent="0.2">
      <c r="A110" s="8" t="s">
        <v>414</v>
      </c>
      <c r="B110" s="2" t="s">
        <v>415</v>
      </c>
      <c r="C110" s="34" t="s">
        <v>190</v>
      </c>
      <c r="D110" s="10"/>
      <c r="E110" s="9"/>
      <c r="F110" s="8"/>
      <c r="G110" s="103" t="s">
        <v>191</v>
      </c>
      <c r="H110" s="105">
        <f t="shared" ref="H110:S110" si="42">H33+H38+H41-H45</f>
        <v>0</v>
      </c>
      <c r="I110" s="77">
        <f t="shared" si="42"/>
        <v>-19.242999999999626</v>
      </c>
      <c r="J110" s="77">
        <f t="shared" si="42"/>
        <v>23.946000000000026</v>
      </c>
      <c r="K110" s="77">
        <f t="shared" si="42"/>
        <v>22.703000000000156</v>
      </c>
      <c r="L110" s="77">
        <f t="shared" si="42"/>
        <v>272.62899999999962</v>
      </c>
      <c r="M110" s="77">
        <f t="shared" si="42"/>
        <v>-112.49099999999979</v>
      </c>
      <c r="N110" s="77">
        <f t="shared" si="42"/>
        <v>90.477000000000317</v>
      </c>
      <c r="O110" s="77">
        <f t="shared" si="42"/>
        <v>101.9380000000001</v>
      </c>
      <c r="P110" s="77">
        <f t="shared" si="42"/>
        <v>3.8699999999998909</v>
      </c>
      <c r="Q110" s="77">
        <f t="shared" si="42"/>
        <v>4.1639999999997599</v>
      </c>
      <c r="R110" s="77">
        <f t="shared" si="42"/>
        <v>4</v>
      </c>
      <c r="S110" s="77">
        <f t="shared" si="42"/>
        <v>4</v>
      </c>
    </row>
    <row r="111" spans="1:20" s="4" customFormat="1" x14ac:dyDescent="0.2">
      <c r="A111" s="8" t="s">
        <v>416</v>
      </c>
      <c r="B111" s="2" t="s">
        <v>197</v>
      </c>
      <c r="C111" s="8" t="s">
        <v>417</v>
      </c>
      <c r="D111" s="10"/>
      <c r="E111" s="106">
        <v>0</v>
      </c>
      <c r="F111" s="8"/>
      <c r="G111" s="46" t="s">
        <v>193</v>
      </c>
      <c r="H111" s="107">
        <f t="shared" ref="H111:S111" si="43">H110/H33</f>
        <v>0</v>
      </c>
      <c r="I111" s="108">
        <f t="shared" si="43"/>
        <v>-4.8057076112887611E-3</v>
      </c>
      <c r="J111" s="108">
        <f t="shared" si="43"/>
        <v>5.6401071775816526E-3</v>
      </c>
      <c r="K111" s="108">
        <f t="shared" si="43"/>
        <v>6.4056985690375779E-3</v>
      </c>
      <c r="L111" s="108">
        <f t="shared" si="43"/>
        <v>0.10795204366405525</v>
      </c>
      <c r="M111" s="108">
        <f t="shared" si="43"/>
        <v>-3.2666828319904917E-2</v>
      </c>
      <c r="N111" s="108">
        <f t="shared" si="43"/>
        <v>2.3984012249005225E-2</v>
      </c>
      <c r="O111" s="108">
        <f t="shared" si="43"/>
        <v>1.6241017994362228E-2</v>
      </c>
      <c r="P111" s="108">
        <f t="shared" si="43"/>
        <v>6.9182873395339732E-4</v>
      </c>
      <c r="Q111" s="108">
        <f t="shared" si="43"/>
        <v>8.70735508025187E-4</v>
      </c>
      <c r="R111" s="108">
        <f t="shared" si="43"/>
        <v>9.1012514220705344E-4</v>
      </c>
      <c r="S111" s="108">
        <f t="shared" si="43"/>
        <v>1.0449320794148381E-3</v>
      </c>
    </row>
    <row r="112" spans="1:20" s="4" customFormat="1" x14ac:dyDescent="0.2">
      <c r="A112" s="8" t="s">
        <v>418</v>
      </c>
      <c r="B112" s="2" t="s">
        <v>200</v>
      </c>
      <c r="C112" s="34" t="s">
        <v>195</v>
      </c>
      <c r="D112" s="10"/>
      <c r="E112" s="109"/>
      <c r="F112" s="8"/>
      <c r="G112" s="110" t="s">
        <v>196</v>
      </c>
      <c r="H112" s="111">
        <f t="shared" ref="H112:S112" si="44">-H33/(H38+H41)</f>
        <v>0.97982141219270469</v>
      </c>
      <c r="I112" s="111">
        <f t="shared" si="44"/>
        <v>0.97925806509202362</v>
      </c>
      <c r="J112" s="111">
        <f t="shared" si="44"/>
        <v>0.99977558607239592</v>
      </c>
      <c r="K112" s="111">
        <f t="shared" si="44"/>
        <v>1.0018246148027565</v>
      </c>
      <c r="L112" s="111">
        <f t="shared" si="44"/>
        <v>1.1192944200682533</v>
      </c>
      <c r="M112" s="111">
        <f t="shared" si="44"/>
        <v>0.96637051866731427</v>
      </c>
      <c r="N112" s="111">
        <f t="shared" si="44"/>
        <v>1.0245733805081112</v>
      </c>
      <c r="O112" s="111">
        <f t="shared" si="44"/>
        <v>1.016509143287567</v>
      </c>
      <c r="P112" s="111">
        <f t="shared" si="44"/>
        <v>1.0006923076923078</v>
      </c>
      <c r="Q112" s="111">
        <f t="shared" si="44"/>
        <v>1.0008714943490999</v>
      </c>
      <c r="R112" s="111">
        <f t="shared" si="44"/>
        <v>1.0009109542245502</v>
      </c>
      <c r="S112" s="111">
        <f t="shared" si="44"/>
        <v>1.0010460251046025</v>
      </c>
    </row>
    <row r="113" spans="1:20" s="4" customFormat="1" x14ac:dyDescent="0.2">
      <c r="A113" s="8" t="s">
        <v>419</v>
      </c>
      <c r="B113" s="2" t="s">
        <v>420</v>
      </c>
      <c r="C113" s="8" t="s">
        <v>198</v>
      </c>
      <c r="D113" s="10"/>
      <c r="E113" s="109"/>
      <c r="F113" s="8"/>
      <c r="G113" s="103" t="s">
        <v>199</v>
      </c>
      <c r="H113" s="105">
        <f t="shared" ref="H113:S113" si="45">H46</f>
        <v>-74.579999999999927</v>
      </c>
      <c r="I113" s="105">
        <f t="shared" si="45"/>
        <v>-84.813999999999623</v>
      </c>
      <c r="J113" s="105">
        <f t="shared" si="45"/>
        <v>-0.95299999999997453</v>
      </c>
      <c r="K113" s="105">
        <f t="shared" si="45"/>
        <v>6.4550000000001546</v>
      </c>
      <c r="L113" s="105">
        <f t="shared" si="45"/>
        <v>269.16399999999965</v>
      </c>
      <c r="M113" s="105">
        <f t="shared" si="45"/>
        <v>-119.83599999999979</v>
      </c>
      <c r="N113" s="105">
        <f t="shared" si="45"/>
        <v>90.477000000000317</v>
      </c>
      <c r="O113" s="105">
        <f t="shared" si="45"/>
        <v>101.9380000000001</v>
      </c>
      <c r="P113" s="105">
        <f t="shared" si="45"/>
        <v>3.8699999999998909</v>
      </c>
      <c r="Q113" s="105">
        <f t="shared" si="45"/>
        <v>4.1639999999997599</v>
      </c>
      <c r="R113" s="105">
        <f t="shared" si="45"/>
        <v>4</v>
      </c>
      <c r="S113" s="105">
        <f t="shared" si="45"/>
        <v>4</v>
      </c>
    </row>
    <row r="114" spans="1:20" s="4" customFormat="1" x14ac:dyDescent="0.2">
      <c r="A114" s="8" t="s">
        <v>421</v>
      </c>
      <c r="B114" s="2" t="s">
        <v>422</v>
      </c>
      <c r="C114" s="8" t="s">
        <v>201</v>
      </c>
      <c r="D114" s="106">
        <v>-0.3</v>
      </c>
      <c r="E114" s="106">
        <v>0</v>
      </c>
      <c r="F114" s="8"/>
      <c r="G114" s="110" t="s">
        <v>202</v>
      </c>
      <c r="H114" s="112">
        <f t="shared" ref="H114:S114" si="46">H46/H33</f>
        <v>-2.0594148644025232E-2</v>
      </c>
      <c r="I114" s="113">
        <f t="shared" si="46"/>
        <v>-2.11812755466326E-2</v>
      </c>
      <c r="J114" s="113">
        <f t="shared" si="46"/>
        <v>-2.2446430051930029E-4</v>
      </c>
      <c r="K114" s="113">
        <f t="shared" si="46"/>
        <v>1.821291647057141E-3</v>
      </c>
      <c r="L114" s="113">
        <f t="shared" si="46"/>
        <v>0.10658001856292533</v>
      </c>
      <c r="M114" s="113">
        <f t="shared" si="46"/>
        <v>-3.4799779880560461E-2</v>
      </c>
      <c r="N114" s="113">
        <f t="shared" si="46"/>
        <v>2.3984012249005225E-2</v>
      </c>
      <c r="O114" s="113">
        <f t="shared" si="46"/>
        <v>1.6241017994362228E-2</v>
      </c>
      <c r="P114" s="113">
        <f t="shared" si="46"/>
        <v>6.9182873395339732E-4</v>
      </c>
      <c r="Q114" s="113">
        <f t="shared" si="46"/>
        <v>8.70735508025187E-4</v>
      </c>
      <c r="R114" s="113">
        <f t="shared" si="46"/>
        <v>9.1012514220705344E-4</v>
      </c>
      <c r="S114" s="113">
        <f t="shared" si="46"/>
        <v>1.0449320794148381E-3</v>
      </c>
    </row>
    <row r="115" spans="1:20" s="4" customFormat="1" x14ac:dyDescent="0.2">
      <c r="A115" s="8" t="s">
        <v>423</v>
      </c>
      <c r="B115" s="2" t="s">
        <v>424</v>
      </c>
      <c r="C115" s="8" t="s">
        <v>204</v>
      </c>
      <c r="D115" s="10"/>
      <c r="E115" s="109"/>
      <c r="F115" s="8"/>
      <c r="G115" s="46" t="s">
        <v>205</v>
      </c>
      <c r="H115" s="105">
        <f t="shared" ref="H115:S115" si="47">H29+H30</f>
        <v>259.18299999999999</v>
      </c>
      <c r="I115" s="105">
        <f t="shared" si="47"/>
        <v>175.62599999999998</v>
      </c>
      <c r="J115" s="105">
        <f t="shared" si="47"/>
        <v>172.20599999999999</v>
      </c>
      <c r="K115" s="105">
        <f t="shared" si="47"/>
        <v>179.36799999999999</v>
      </c>
      <c r="L115" s="105">
        <f t="shared" si="47"/>
        <v>451.36899999999997</v>
      </c>
      <c r="M115" s="105">
        <f t="shared" si="47"/>
        <v>334.07000000000005</v>
      </c>
      <c r="N115" s="105">
        <f t="shared" si="47"/>
        <v>424.86</v>
      </c>
      <c r="O115" s="105">
        <f t="shared" si="47"/>
        <v>527</v>
      </c>
      <c r="P115" s="105">
        <f t="shared" si="47"/>
        <v>531</v>
      </c>
      <c r="Q115" s="105">
        <f t="shared" si="47"/>
        <v>535</v>
      </c>
      <c r="R115" s="105">
        <f t="shared" si="47"/>
        <v>539</v>
      </c>
      <c r="S115" s="105">
        <f t="shared" si="47"/>
        <v>543</v>
      </c>
    </row>
    <row r="116" spans="1:20" s="4" customFormat="1" x14ac:dyDescent="0.2">
      <c r="A116" s="8"/>
      <c r="B116" s="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</row>
    <row r="117" spans="1:20" s="4" customFormat="1" x14ac:dyDescent="0.2">
      <c r="A117" s="8"/>
      <c r="B117" s="2"/>
      <c r="C117" s="10"/>
      <c r="D117" s="10"/>
      <c r="E117" s="8"/>
      <c r="F117" s="8"/>
      <c r="G117" s="94" t="s">
        <v>206</v>
      </c>
      <c r="H117" s="87">
        <f t="shared" ref="H117:S117" si="48">H105</f>
        <v>2011</v>
      </c>
      <c r="I117" s="87">
        <f t="shared" si="48"/>
        <v>2012</v>
      </c>
      <c r="J117" s="87">
        <f t="shared" si="48"/>
        <v>2013</v>
      </c>
      <c r="K117" s="87">
        <f t="shared" si="48"/>
        <v>2014</v>
      </c>
      <c r="L117" s="87">
        <f t="shared" si="48"/>
        <v>2015</v>
      </c>
      <c r="M117" s="87">
        <f t="shared" si="48"/>
        <v>2016</v>
      </c>
      <c r="N117" s="87">
        <f t="shared" si="48"/>
        <v>2017</v>
      </c>
      <c r="O117" s="87">
        <f t="shared" si="48"/>
        <v>2018</v>
      </c>
      <c r="P117" s="87">
        <f t="shared" si="48"/>
        <v>2019</v>
      </c>
      <c r="Q117" s="87">
        <f t="shared" si="48"/>
        <v>2020</v>
      </c>
      <c r="R117" s="87">
        <f t="shared" si="48"/>
        <v>2021</v>
      </c>
      <c r="S117" s="87">
        <f t="shared" si="48"/>
        <v>2022</v>
      </c>
    </row>
    <row r="118" spans="1:20" s="4" customFormat="1" x14ac:dyDescent="0.2">
      <c r="A118" s="34" t="s">
        <v>425</v>
      </c>
      <c r="B118" s="2" t="s">
        <v>426</v>
      </c>
      <c r="C118" s="10" t="s">
        <v>208</v>
      </c>
      <c r="D118" s="10"/>
      <c r="E118" s="109"/>
      <c r="F118" s="37"/>
      <c r="G118" s="103" t="s">
        <v>209</v>
      </c>
      <c r="H118" s="105">
        <f t="shared" ref="H118:S118" si="49">H6+H12</f>
        <v>796.02599999999995</v>
      </c>
      <c r="I118" s="77">
        <f t="shared" si="49"/>
        <v>953.03399999999999</v>
      </c>
      <c r="J118" s="77">
        <f t="shared" si="49"/>
        <v>929.77599999999995</v>
      </c>
      <c r="K118" s="77">
        <f t="shared" si="49"/>
        <v>944.51900000000001</v>
      </c>
      <c r="L118" s="77">
        <f t="shared" si="49"/>
        <v>1071.3979999999999</v>
      </c>
      <c r="M118" s="77">
        <f t="shared" si="49"/>
        <v>368.17500000000001</v>
      </c>
      <c r="N118" s="77">
        <f t="shared" si="49"/>
        <v>233.84899999999999</v>
      </c>
      <c r="O118" s="77">
        <f t="shared" si="49"/>
        <v>267.85500000000002</v>
      </c>
      <c r="P118" s="77">
        <f t="shared" si="49"/>
        <v>244</v>
      </c>
      <c r="Q118" s="77">
        <f t="shared" si="49"/>
        <v>248</v>
      </c>
      <c r="R118" s="77">
        <f t="shared" si="49"/>
        <v>252</v>
      </c>
      <c r="S118" s="77">
        <f t="shared" si="49"/>
        <v>256</v>
      </c>
    </row>
    <row r="119" spans="1:20" s="4" customFormat="1" x14ac:dyDescent="0.2">
      <c r="A119" s="8" t="s">
        <v>427</v>
      </c>
      <c r="B119" s="2" t="s">
        <v>428</v>
      </c>
      <c r="C119" s="8" t="s">
        <v>42</v>
      </c>
      <c r="D119" s="10"/>
      <c r="E119" s="109"/>
      <c r="F119" s="37"/>
      <c r="G119" s="110" t="s">
        <v>211</v>
      </c>
      <c r="H119" s="105">
        <f t="shared" ref="H119:S119" si="50">H19</f>
        <v>2243.0070000000001</v>
      </c>
      <c r="I119" s="105">
        <f t="shared" si="50"/>
        <v>2795.4989999999998</v>
      </c>
      <c r="J119" s="105">
        <f t="shared" si="50"/>
        <v>2575.223</v>
      </c>
      <c r="K119" s="105">
        <f t="shared" si="50"/>
        <v>1276.047</v>
      </c>
      <c r="L119" s="105">
        <f t="shared" si="50"/>
        <v>841.14099999999996</v>
      </c>
      <c r="M119" s="105">
        <f t="shared" si="50"/>
        <v>1033.873</v>
      </c>
      <c r="N119" s="105">
        <f t="shared" si="50"/>
        <v>728.822</v>
      </c>
      <c r="O119" s="105">
        <f t="shared" si="50"/>
        <v>602.23500000000001</v>
      </c>
      <c r="P119" s="105">
        <f t="shared" si="50"/>
        <v>792</v>
      </c>
      <c r="Q119" s="105">
        <f t="shared" si="50"/>
        <v>778</v>
      </c>
      <c r="R119" s="105">
        <f t="shared" si="50"/>
        <v>750</v>
      </c>
      <c r="S119" s="105">
        <f t="shared" si="50"/>
        <v>701</v>
      </c>
    </row>
    <row r="120" spans="1:20" s="4" customFormat="1" x14ac:dyDescent="0.2">
      <c r="A120" s="8" t="s">
        <v>429</v>
      </c>
      <c r="B120" s="2" t="s">
        <v>203</v>
      </c>
      <c r="C120" s="8" t="s">
        <v>430</v>
      </c>
      <c r="D120" s="10"/>
      <c r="E120" s="109"/>
      <c r="F120" s="37"/>
      <c r="G120" s="110" t="s">
        <v>212</v>
      </c>
      <c r="H120" s="105">
        <f t="shared" ref="H120:S120" si="51">H119-H118</f>
        <v>1446.9810000000002</v>
      </c>
      <c r="I120" s="77">
        <f t="shared" si="51"/>
        <v>1842.4649999999997</v>
      </c>
      <c r="J120" s="77">
        <f t="shared" si="51"/>
        <v>1645.4470000000001</v>
      </c>
      <c r="K120" s="77">
        <f t="shared" si="51"/>
        <v>331.52800000000002</v>
      </c>
      <c r="L120" s="77">
        <f t="shared" si="51"/>
        <v>-230.25699999999995</v>
      </c>
      <c r="M120" s="77">
        <f>M119-M118</f>
        <v>665.69800000000009</v>
      </c>
      <c r="N120" s="77">
        <f t="shared" si="51"/>
        <v>494.97300000000001</v>
      </c>
      <c r="O120" s="77">
        <f t="shared" si="51"/>
        <v>334.38</v>
      </c>
      <c r="P120" s="77">
        <f t="shared" si="51"/>
        <v>548</v>
      </c>
      <c r="Q120" s="77">
        <f t="shared" si="51"/>
        <v>530</v>
      </c>
      <c r="R120" s="77">
        <f t="shared" si="51"/>
        <v>498</v>
      </c>
      <c r="S120" s="77">
        <f t="shared" si="51"/>
        <v>445</v>
      </c>
    </row>
    <row r="121" spans="1:20" s="4" customFormat="1" x14ac:dyDescent="0.2">
      <c r="A121" s="34" t="s">
        <v>431</v>
      </c>
      <c r="B121" s="2" t="s">
        <v>207</v>
      </c>
      <c r="C121" s="8" t="s">
        <v>432</v>
      </c>
      <c r="D121" s="10"/>
      <c r="E121" s="106">
        <v>0.4</v>
      </c>
      <c r="F121" s="114" t="s">
        <v>433</v>
      </c>
      <c r="G121" s="46" t="s">
        <v>213</v>
      </c>
      <c r="H121" s="115">
        <f t="shared" ref="H121:S121" si="52">H120/H33</f>
        <v>0.39956210510968504</v>
      </c>
      <c r="I121" s="108">
        <f t="shared" si="52"/>
        <v>0.46013345497237013</v>
      </c>
      <c r="J121" s="108">
        <f t="shared" si="52"/>
        <v>0.38755940178026338</v>
      </c>
      <c r="K121" s="108">
        <f t="shared" si="52"/>
        <v>9.3541313271192167E-2</v>
      </c>
      <c r="L121" s="108">
        <f t="shared" si="52"/>
        <v>-9.1174136713095086E-2</v>
      </c>
      <c r="M121" s="108">
        <f t="shared" si="52"/>
        <v>0.19331539659976452</v>
      </c>
      <c r="N121" s="108">
        <f t="shared" si="52"/>
        <v>0.1312094620171626</v>
      </c>
      <c r="O121" s="108">
        <f t="shared" si="52"/>
        <v>5.3274260795334781E-2</v>
      </c>
      <c r="P121" s="108">
        <f t="shared" si="52"/>
        <v>9.7964378864721563E-2</v>
      </c>
      <c r="Q121" s="108">
        <f t="shared" si="52"/>
        <v>0.1108284868523957</v>
      </c>
      <c r="R121" s="108">
        <f t="shared" si="52"/>
        <v>0.11331058020477816</v>
      </c>
      <c r="S121" s="108">
        <f t="shared" si="52"/>
        <v>0.11624869383490073</v>
      </c>
    </row>
    <row r="122" spans="1:20" s="4" customFormat="1" x14ac:dyDescent="0.2">
      <c r="A122" s="8" t="s">
        <v>434</v>
      </c>
      <c r="B122" s="2" t="s">
        <v>210</v>
      </c>
      <c r="C122" s="8" t="s">
        <v>435</v>
      </c>
      <c r="D122" s="116">
        <v>0</v>
      </c>
      <c r="E122" s="116">
        <v>5</v>
      </c>
      <c r="F122" s="37"/>
      <c r="G122" s="100" t="s">
        <v>215</v>
      </c>
      <c r="H122" s="111" t="e">
        <f t="shared" ref="H122:S122" si="53">H120/H110</f>
        <v>#DIV/0!</v>
      </c>
      <c r="I122" s="111">
        <f t="shared" si="53"/>
        <v>-95.747284726915524</v>
      </c>
      <c r="J122" s="111">
        <f t="shared" si="53"/>
        <v>68.714900192098824</v>
      </c>
      <c r="K122" s="111">
        <f t="shared" si="53"/>
        <v>14.602827820111781</v>
      </c>
      <c r="L122" s="111">
        <f t="shared" si="53"/>
        <v>-0.8445799969922505</v>
      </c>
      <c r="M122" s="111">
        <f>M120/M110</f>
        <v>-5.9177889786738618</v>
      </c>
      <c r="N122" s="111">
        <f t="shared" si="53"/>
        <v>5.4707052621107941</v>
      </c>
      <c r="O122" s="111">
        <f t="shared" si="53"/>
        <v>3.280229158900505</v>
      </c>
      <c r="P122" s="111">
        <f t="shared" si="53"/>
        <v>141.60206718346652</v>
      </c>
      <c r="Q122" s="111">
        <f t="shared" si="53"/>
        <v>127.28146013449341</v>
      </c>
      <c r="R122" s="111">
        <f t="shared" si="53"/>
        <v>124.5</v>
      </c>
      <c r="S122" s="111">
        <f t="shared" si="53"/>
        <v>111.25</v>
      </c>
    </row>
    <row r="123" spans="1:20" s="4" customFormat="1" x14ac:dyDescent="0.2">
      <c r="A123" s="8" t="s">
        <v>436</v>
      </c>
      <c r="B123" s="2" t="s">
        <v>437</v>
      </c>
      <c r="C123" s="8" t="s">
        <v>217</v>
      </c>
      <c r="D123" s="10"/>
      <c r="E123" s="109"/>
      <c r="F123" s="37"/>
      <c r="G123" s="110" t="s">
        <v>218</v>
      </c>
      <c r="H123" s="105">
        <f t="shared" ref="H123:S123" si="54">-(H75+H77+H78+H79+H80+H81)</f>
        <v>1.534</v>
      </c>
      <c r="I123" s="105">
        <f t="shared" si="54"/>
        <v>4.0000000000000001E-3</v>
      </c>
      <c r="J123" s="105">
        <f t="shared" si="54"/>
        <v>0</v>
      </c>
      <c r="K123" s="105">
        <f t="shared" si="54"/>
        <v>0</v>
      </c>
      <c r="L123" s="105">
        <f t="shared" si="54"/>
        <v>0.08</v>
      </c>
      <c r="M123" s="105">
        <f t="shared" si="54"/>
        <v>0</v>
      </c>
      <c r="N123" s="105">
        <f t="shared" si="54"/>
        <v>0</v>
      </c>
      <c r="O123" s="105">
        <f t="shared" si="54"/>
        <v>0</v>
      </c>
      <c r="P123" s="105">
        <f t="shared" si="54"/>
        <v>0</v>
      </c>
      <c r="Q123" s="105">
        <f t="shared" si="54"/>
        <v>0</v>
      </c>
      <c r="R123" s="105">
        <f t="shared" si="54"/>
        <v>0</v>
      </c>
      <c r="S123" s="105">
        <f t="shared" si="54"/>
        <v>0</v>
      </c>
    </row>
    <row r="124" spans="1:20" s="4" customFormat="1" x14ac:dyDescent="0.2">
      <c r="A124" s="8" t="s">
        <v>438</v>
      </c>
      <c r="B124" s="2" t="s">
        <v>439</v>
      </c>
      <c r="C124" s="8" t="s">
        <v>440</v>
      </c>
      <c r="D124" s="10"/>
      <c r="E124" s="116">
        <v>1.2</v>
      </c>
      <c r="F124" s="114" t="s">
        <v>433</v>
      </c>
      <c r="G124" s="110" t="s">
        <v>220</v>
      </c>
      <c r="H124" s="117">
        <f t="shared" ref="H124:S124" si="55">H110/H123</f>
        <v>0</v>
      </c>
      <c r="I124" s="111">
        <f t="shared" si="55"/>
        <v>-4810.7499999999063</v>
      </c>
      <c r="J124" s="111" t="e">
        <f t="shared" si="55"/>
        <v>#DIV/0!</v>
      </c>
      <c r="K124" s="111" t="e">
        <f t="shared" si="55"/>
        <v>#DIV/0!</v>
      </c>
      <c r="L124" s="111">
        <f t="shared" si="55"/>
        <v>3407.8624999999952</v>
      </c>
      <c r="M124" s="111" t="e">
        <f t="shared" si="55"/>
        <v>#DIV/0!</v>
      </c>
      <c r="N124" s="111" t="e">
        <f t="shared" si="55"/>
        <v>#DIV/0!</v>
      </c>
      <c r="O124" s="111" t="e">
        <f t="shared" si="55"/>
        <v>#DIV/0!</v>
      </c>
      <c r="P124" s="111" t="e">
        <f t="shared" si="55"/>
        <v>#DIV/0!</v>
      </c>
      <c r="Q124" s="111" t="e">
        <f t="shared" si="55"/>
        <v>#DIV/0!</v>
      </c>
      <c r="R124" s="111" t="e">
        <f t="shared" si="55"/>
        <v>#DIV/0!</v>
      </c>
      <c r="S124" s="111" t="e">
        <f t="shared" si="55"/>
        <v>#DIV/0!</v>
      </c>
    </row>
    <row r="125" spans="1:20" s="4" customFormat="1" x14ac:dyDescent="0.2">
      <c r="A125" s="38" t="s">
        <v>441</v>
      </c>
      <c r="B125" s="2" t="s">
        <v>442</v>
      </c>
      <c r="C125" s="8" t="s">
        <v>222</v>
      </c>
      <c r="D125" s="10"/>
      <c r="E125" s="116">
        <v>0</v>
      </c>
      <c r="F125" s="37"/>
      <c r="G125" s="103" t="s">
        <v>223</v>
      </c>
      <c r="H125" s="105">
        <f t="shared" ref="H125:S125" si="56">H5-H20</f>
        <v>157.12699999999995</v>
      </c>
      <c r="I125" s="105">
        <f t="shared" si="56"/>
        <v>120.34900000000016</v>
      </c>
      <c r="J125" s="105">
        <f t="shared" si="56"/>
        <v>131.61700000000019</v>
      </c>
      <c r="K125" s="105">
        <f t="shared" si="56"/>
        <v>149.3119999999999</v>
      </c>
      <c r="L125" s="105">
        <f t="shared" si="56"/>
        <v>425.274</v>
      </c>
      <c r="M125" s="105">
        <f t="shared" si="56"/>
        <v>333.05999999999995</v>
      </c>
      <c r="N125" s="105">
        <f t="shared" si="56"/>
        <v>1152.8789999999999</v>
      </c>
      <c r="O125" s="105">
        <f t="shared" si="56"/>
        <v>1129.0900000000001</v>
      </c>
      <c r="P125" s="105">
        <f t="shared" si="56"/>
        <v>1323</v>
      </c>
      <c r="Q125" s="105">
        <f t="shared" si="56"/>
        <v>1313</v>
      </c>
      <c r="R125" s="105">
        <f t="shared" si="56"/>
        <v>1289</v>
      </c>
      <c r="S125" s="105">
        <f t="shared" si="56"/>
        <v>1244</v>
      </c>
    </row>
    <row r="126" spans="1:20" s="4" customFormat="1" x14ac:dyDescent="0.2">
      <c r="A126" s="34" t="s">
        <v>443</v>
      </c>
      <c r="B126" s="2" t="s">
        <v>444</v>
      </c>
      <c r="C126" s="8" t="s">
        <v>225</v>
      </c>
      <c r="D126" s="10"/>
      <c r="E126" s="116">
        <v>1</v>
      </c>
      <c r="F126" s="114" t="s">
        <v>433</v>
      </c>
      <c r="G126" s="110" t="s">
        <v>226</v>
      </c>
      <c r="H126" s="117">
        <f t="shared" ref="H126:S126" si="57">H5/H20</f>
        <v>1.0700520373570443</v>
      </c>
      <c r="I126" s="117">
        <f t="shared" si="57"/>
        <v>1.0430509901810017</v>
      </c>
      <c r="J126" s="117">
        <f t="shared" si="57"/>
        <v>1.0511089719220432</v>
      </c>
      <c r="K126" s="117">
        <f t="shared" si="57"/>
        <v>1.1170113640014827</v>
      </c>
      <c r="L126" s="117">
        <f t="shared" si="57"/>
        <v>1.5055918092210463</v>
      </c>
      <c r="M126" s="117">
        <f t="shared" si="57"/>
        <v>1.3221478847015058</v>
      </c>
      <c r="N126" s="117" t="e">
        <f t="shared" si="57"/>
        <v>#DIV/0!</v>
      </c>
      <c r="O126" s="117" t="e">
        <f t="shared" si="57"/>
        <v>#DIV/0!</v>
      </c>
      <c r="P126" s="117" t="e">
        <f t="shared" si="57"/>
        <v>#DIV/0!</v>
      </c>
      <c r="Q126" s="117" t="e">
        <f t="shared" si="57"/>
        <v>#DIV/0!</v>
      </c>
      <c r="R126" s="117" t="e">
        <f t="shared" si="57"/>
        <v>#DIV/0!</v>
      </c>
      <c r="S126" s="117" t="e">
        <f t="shared" si="57"/>
        <v>#DIV/0!</v>
      </c>
    </row>
    <row r="127" spans="1:20" s="4" customFormat="1" x14ac:dyDescent="0.2">
      <c r="A127" s="34" t="s">
        <v>445</v>
      </c>
      <c r="B127" s="2" t="s">
        <v>214</v>
      </c>
      <c r="C127" s="34" t="s">
        <v>228</v>
      </c>
      <c r="D127" s="10"/>
      <c r="E127" s="116">
        <v>1</v>
      </c>
      <c r="F127" s="37"/>
      <c r="G127" s="46" t="s">
        <v>229</v>
      </c>
      <c r="H127" s="117">
        <f t="shared" ref="H127:S127" si="58">-H6/((H38+H41-H45+H47)/12)</f>
        <v>2.6402502848983556</v>
      </c>
      <c r="I127" s="117">
        <f t="shared" si="58"/>
        <v>2.8433335827832802</v>
      </c>
      <c r="J127" s="117">
        <f t="shared" si="58"/>
        <v>2.6412934092611948</v>
      </c>
      <c r="K127" s="117">
        <f t="shared" si="58"/>
        <v>3.219240525599889</v>
      </c>
      <c r="L127" s="117">
        <f t="shared" si="58"/>
        <v>5.7129826092481979</v>
      </c>
      <c r="M127" s="117">
        <f t="shared" si="58"/>
        <v>1.2432957679654</v>
      </c>
      <c r="N127" s="117">
        <f t="shared" si="58"/>
        <v>0.76215530467738091</v>
      </c>
      <c r="O127" s="117">
        <f t="shared" si="58"/>
        <v>0.52055836786571652</v>
      </c>
      <c r="P127" s="117">
        <f t="shared" si="58"/>
        <v>0.52379248658318422</v>
      </c>
      <c r="Q127" s="117">
        <f t="shared" si="58"/>
        <v>0.62285475094181664</v>
      </c>
      <c r="R127" s="117">
        <f t="shared" si="58"/>
        <v>0.68868139375996351</v>
      </c>
      <c r="S127" s="117">
        <f t="shared" si="58"/>
        <v>0.80334728033472802</v>
      </c>
    </row>
    <row r="128" spans="1:20" s="4" customFormat="1" x14ac:dyDescent="0.2">
      <c r="A128" s="34"/>
      <c r="B128" s="2"/>
      <c r="C128" s="34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</row>
    <row r="129" spans="1:21" s="4" customFormat="1" x14ac:dyDescent="0.2">
      <c r="A129" s="8"/>
      <c r="B129" s="2"/>
      <c r="C129" s="8"/>
      <c r="D129" s="10"/>
      <c r="E129" s="9"/>
      <c r="F129" s="37"/>
      <c r="G129" s="94" t="s">
        <v>230</v>
      </c>
      <c r="H129" s="87">
        <f t="shared" ref="H129:S129" si="59">H117</f>
        <v>2011</v>
      </c>
      <c r="I129" s="87">
        <f t="shared" si="59"/>
        <v>2012</v>
      </c>
      <c r="J129" s="87">
        <f t="shared" si="59"/>
        <v>2013</v>
      </c>
      <c r="K129" s="87">
        <f t="shared" si="59"/>
        <v>2014</v>
      </c>
      <c r="L129" s="87">
        <f t="shared" si="59"/>
        <v>2015</v>
      </c>
      <c r="M129" s="87">
        <f t="shared" si="59"/>
        <v>2016</v>
      </c>
      <c r="N129" s="87">
        <f t="shared" si="59"/>
        <v>2017</v>
      </c>
      <c r="O129" s="87">
        <f t="shared" si="59"/>
        <v>2018</v>
      </c>
      <c r="P129" s="87">
        <f t="shared" si="59"/>
        <v>2019</v>
      </c>
      <c r="Q129" s="87">
        <f t="shared" si="59"/>
        <v>2020</v>
      </c>
      <c r="R129" s="87">
        <f t="shared" si="59"/>
        <v>2021</v>
      </c>
      <c r="S129" s="87">
        <f t="shared" si="59"/>
        <v>2022</v>
      </c>
    </row>
    <row r="130" spans="1:21" s="4" customFormat="1" x14ac:dyDescent="0.2">
      <c r="A130" s="34" t="s">
        <v>446</v>
      </c>
      <c r="B130" s="2" t="s">
        <v>216</v>
      </c>
      <c r="C130" s="34" t="s">
        <v>232</v>
      </c>
      <c r="D130" s="10"/>
      <c r="E130" s="106">
        <v>0.6</v>
      </c>
      <c r="F130" s="37"/>
      <c r="G130" s="103" t="s">
        <v>233</v>
      </c>
      <c r="H130" s="115">
        <f t="shared" ref="H130:S130" si="60">H17/H4</f>
        <v>0</v>
      </c>
      <c r="I130" s="115">
        <f t="shared" si="60"/>
        <v>0</v>
      </c>
      <c r="J130" s="115">
        <f t="shared" si="60"/>
        <v>0</v>
      </c>
      <c r="K130" s="115">
        <f t="shared" si="60"/>
        <v>0</v>
      </c>
      <c r="L130" s="115">
        <f t="shared" si="60"/>
        <v>0</v>
      </c>
      <c r="M130" s="115">
        <f t="shared" si="60"/>
        <v>0</v>
      </c>
      <c r="N130" s="115">
        <f t="shared" si="60"/>
        <v>0</v>
      </c>
      <c r="O130" s="115">
        <f t="shared" si="60"/>
        <v>0</v>
      </c>
      <c r="P130" s="115">
        <f t="shared" si="60"/>
        <v>0</v>
      </c>
      <c r="Q130" s="115">
        <f t="shared" si="60"/>
        <v>0</v>
      </c>
      <c r="R130" s="115">
        <f t="shared" si="60"/>
        <v>0</v>
      </c>
      <c r="S130" s="115">
        <f t="shared" si="60"/>
        <v>0</v>
      </c>
    </row>
    <row r="131" spans="1:21" s="4" customFormat="1" x14ac:dyDescent="0.2">
      <c r="A131" s="34" t="s">
        <v>447</v>
      </c>
      <c r="B131" s="2" t="s">
        <v>219</v>
      </c>
      <c r="C131" s="34" t="s">
        <v>235</v>
      </c>
      <c r="D131" s="10"/>
      <c r="E131" s="106">
        <v>0.4</v>
      </c>
      <c r="F131" s="37"/>
      <c r="G131" s="46" t="s">
        <v>236</v>
      </c>
      <c r="H131" s="115" t="e">
        <f t="shared" ref="H131:S131" si="61">H27/H17</f>
        <v>#DIV/0!</v>
      </c>
      <c r="I131" s="115" t="e">
        <f t="shared" si="61"/>
        <v>#DIV/0!</v>
      </c>
      <c r="J131" s="115" t="e">
        <f t="shared" si="61"/>
        <v>#DIV/0!</v>
      </c>
      <c r="K131" s="115" t="e">
        <f t="shared" si="61"/>
        <v>#DIV/0!</v>
      </c>
      <c r="L131" s="115" t="e">
        <f t="shared" si="61"/>
        <v>#DIV/0!</v>
      </c>
      <c r="M131" s="115" t="e">
        <f t="shared" si="61"/>
        <v>#DIV/0!</v>
      </c>
      <c r="N131" s="115" t="e">
        <f t="shared" si="61"/>
        <v>#DIV/0!</v>
      </c>
      <c r="O131" s="115" t="e">
        <f t="shared" si="61"/>
        <v>#DIV/0!</v>
      </c>
      <c r="P131" s="115" t="e">
        <f t="shared" si="61"/>
        <v>#DIV/0!</v>
      </c>
      <c r="Q131" s="115" t="e">
        <f t="shared" si="61"/>
        <v>#DIV/0!</v>
      </c>
      <c r="R131" s="115" t="e">
        <f t="shared" si="61"/>
        <v>#DIV/0!</v>
      </c>
      <c r="S131" s="115" t="e">
        <f t="shared" si="61"/>
        <v>#DIV/0!</v>
      </c>
    </row>
    <row r="132" spans="1:21" s="4" customFormat="1" x14ac:dyDescent="0.2">
      <c r="A132" s="34"/>
      <c r="B132" s="2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</row>
    <row r="133" spans="1:21" s="4" customFormat="1" x14ac:dyDescent="0.2">
      <c r="A133" s="8"/>
      <c r="B133" s="2"/>
      <c r="C133" s="8"/>
      <c r="D133" s="10"/>
      <c r="E133" s="9"/>
      <c r="F133" s="37"/>
      <c r="G133" s="94" t="s">
        <v>237</v>
      </c>
      <c r="H133" s="87">
        <f t="shared" ref="H133:S133" si="62">H117</f>
        <v>2011</v>
      </c>
      <c r="I133" s="87">
        <f t="shared" si="62"/>
        <v>2012</v>
      </c>
      <c r="J133" s="87">
        <f t="shared" si="62"/>
        <v>2013</v>
      </c>
      <c r="K133" s="87">
        <f t="shared" si="62"/>
        <v>2014</v>
      </c>
      <c r="L133" s="87">
        <f t="shared" si="62"/>
        <v>2015</v>
      </c>
      <c r="M133" s="87">
        <f t="shared" si="62"/>
        <v>2016</v>
      </c>
      <c r="N133" s="87">
        <f t="shared" si="62"/>
        <v>2017</v>
      </c>
      <c r="O133" s="87">
        <f t="shared" si="62"/>
        <v>2018</v>
      </c>
      <c r="P133" s="87">
        <f t="shared" si="62"/>
        <v>2019</v>
      </c>
      <c r="Q133" s="87">
        <f t="shared" si="62"/>
        <v>2020</v>
      </c>
      <c r="R133" s="87">
        <f t="shared" si="62"/>
        <v>2021</v>
      </c>
      <c r="S133" s="87">
        <f t="shared" si="62"/>
        <v>2022</v>
      </c>
    </row>
    <row r="134" spans="1:21" s="4" customFormat="1" x14ac:dyDescent="0.2">
      <c r="A134" s="34" t="s">
        <v>448</v>
      </c>
      <c r="B134" s="2" t="s">
        <v>221</v>
      </c>
      <c r="C134" s="39" t="s">
        <v>239</v>
      </c>
      <c r="D134" s="10"/>
      <c r="E134" s="109"/>
      <c r="F134" s="37"/>
      <c r="G134" s="110" t="s">
        <v>240</v>
      </c>
      <c r="H134" s="118">
        <f t="shared" ref="H134:S134" si="63">H10/H4</f>
        <v>4.0787103127342954E-2</v>
      </c>
      <c r="I134" s="118">
        <f t="shared" si="63"/>
        <v>1.8604406951712553E-2</v>
      </c>
      <c r="J134" s="118">
        <f t="shared" si="63"/>
        <v>1.4773806793985652E-2</v>
      </c>
      <c r="K134" s="118">
        <f t="shared" si="63"/>
        <v>2.0651154481711401E-2</v>
      </c>
      <c r="L134" s="118">
        <f t="shared" si="63"/>
        <v>2.0190156988992743E-2</v>
      </c>
      <c r="M134" s="118">
        <f t="shared" si="63"/>
        <v>7.3833485751964817E-4</v>
      </c>
      <c r="N134" s="118">
        <f t="shared" si="63"/>
        <v>6.9516616811753009E-4</v>
      </c>
      <c r="O134" s="118">
        <f t="shared" si="63"/>
        <v>0</v>
      </c>
      <c r="P134" s="118">
        <f t="shared" si="63"/>
        <v>0</v>
      </c>
      <c r="Q134" s="118">
        <f t="shared" si="63"/>
        <v>0</v>
      </c>
      <c r="R134" s="118">
        <f t="shared" si="63"/>
        <v>0</v>
      </c>
      <c r="S134" s="118">
        <f t="shared" si="63"/>
        <v>0</v>
      </c>
    </row>
    <row r="135" spans="1:21" s="4" customFormat="1" x14ac:dyDescent="0.2">
      <c r="A135" s="34" t="s">
        <v>449</v>
      </c>
      <c r="B135" s="2" t="s">
        <v>224</v>
      </c>
      <c r="C135" s="39" t="s">
        <v>242</v>
      </c>
      <c r="D135" s="10"/>
      <c r="E135" s="109"/>
      <c r="F135" s="37"/>
      <c r="G135" s="110" t="s">
        <v>243</v>
      </c>
      <c r="H135" s="118">
        <f t="shared" ref="H135:S135" si="64">-(H58)/H15</f>
        <v>0</v>
      </c>
      <c r="I135" s="118">
        <f t="shared" si="64"/>
        <v>4.459439901584774E-2</v>
      </c>
      <c r="J135" s="118">
        <f t="shared" si="64"/>
        <v>0.49147696427925158</v>
      </c>
      <c r="K135" s="118">
        <f t="shared" si="64"/>
        <v>0.31464868444819072</v>
      </c>
      <c r="L135" s="118">
        <f t="shared" si="64"/>
        <v>0</v>
      </c>
      <c r="M135" s="118" t="e">
        <f t="shared" si="64"/>
        <v>#DIV/0!</v>
      </c>
      <c r="N135" s="118" t="e">
        <f t="shared" si="64"/>
        <v>#DIV/0!</v>
      </c>
      <c r="O135" s="118" t="e">
        <f t="shared" si="64"/>
        <v>#DIV/0!</v>
      </c>
      <c r="P135" s="118" t="e">
        <f t="shared" si="64"/>
        <v>#DIV/0!</v>
      </c>
      <c r="Q135" s="118" t="e">
        <f t="shared" si="64"/>
        <v>#DIV/0!</v>
      </c>
      <c r="R135" s="118" t="e">
        <f t="shared" si="64"/>
        <v>#DIV/0!</v>
      </c>
      <c r="S135" s="118" t="e">
        <f t="shared" si="64"/>
        <v>#DIV/0!</v>
      </c>
    </row>
    <row r="136" spans="1:21" s="4" customFormat="1" x14ac:dyDescent="0.2">
      <c r="A136" s="34" t="s">
        <v>450</v>
      </c>
      <c r="B136" s="2" t="s">
        <v>227</v>
      </c>
      <c r="C136" s="8" t="s">
        <v>245</v>
      </c>
      <c r="D136" s="10"/>
      <c r="E136" s="109"/>
      <c r="F136" s="37"/>
      <c r="G136" s="103" t="s">
        <v>246</v>
      </c>
      <c r="H136" s="111">
        <f t="shared" ref="H136:S136" si="65">H33/H4</f>
        <v>1.4473001229324096</v>
      </c>
      <c r="I136" s="111">
        <f t="shared" si="65"/>
        <v>1.3477044377817959</v>
      </c>
      <c r="J136" s="111">
        <f t="shared" si="65"/>
        <v>1.5453219918250871</v>
      </c>
      <c r="K136" s="111">
        <f t="shared" si="65"/>
        <v>2.4351734728582572</v>
      </c>
      <c r="L136" s="111">
        <f t="shared" si="65"/>
        <v>1.9539207016419977</v>
      </c>
      <c r="M136" s="111">
        <f t="shared" si="65"/>
        <v>2.5173453864671265</v>
      </c>
      <c r="N136" s="111">
        <f t="shared" si="65"/>
        <v>3.2698709608635319</v>
      </c>
      <c r="O136" s="111">
        <f t="shared" si="65"/>
        <v>5.5589696126969503</v>
      </c>
      <c r="P136" s="111">
        <f t="shared" si="65"/>
        <v>4.2281708238851099</v>
      </c>
      <c r="Q136" s="111">
        <f t="shared" si="65"/>
        <v>3.6421660319878142</v>
      </c>
      <c r="R136" s="111">
        <f t="shared" si="65"/>
        <v>3.4096198603568659</v>
      </c>
      <c r="S136" s="111">
        <f t="shared" si="65"/>
        <v>3.077170418006431</v>
      </c>
    </row>
    <row r="137" spans="1:21" s="4" customFormat="1" x14ac:dyDescent="0.2">
      <c r="A137" s="34" t="s">
        <v>451</v>
      </c>
      <c r="B137" s="2" t="s">
        <v>231</v>
      </c>
      <c r="C137" s="39" t="s">
        <v>248</v>
      </c>
      <c r="D137" s="10"/>
      <c r="E137" s="109"/>
      <c r="F137" s="37"/>
      <c r="G137" s="46" t="s">
        <v>249</v>
      </c>
      <c r="H137" s="111">
        <f t="shared" ref="H137:S137" si="66">H33/H15</f>
        <v>35.484258796554862</v>
      </c>
      <c r="I137" s="111">
        <f t="shared" si="66"/>
        <v>72.44006440408134</v>
      </c>
      <c r="J137" s="111">
        <f t="shared" si="66"/>
        <v>153.65582136006657</v>
      </c>
      <c r="K137" s="111">
        <f t="shared" si="66"/>
        <v>213.38960804383163</v>
      </c>
      <c r="L137" s="111">
        <f t="shared" si="66"/>
        <v>192.12354507417268</v>
      </c>
      <c r="M137" s="111" t="e">
        <f t="shared" si="66"/>
        <v>#DIV/0!</v>
      </c>
      <c r="N137" s="111" t="e">
        <f t="shared" si="66"/>
        <v>#DIV/0!</v>
      </c>
      <c r="O137" s="111" t="e">
        <f t="shared" si="66"/>
        <v>#DIV/0!</v>
      </c>
      <c r="P137" s="111" t="e">
        <f t="shared" si="66"/>
        <v>#DIV/0!</v>
      </c>
      <c r="Q137" s="111" t="e">
        <f t="shared" si="66"/>
        <v>#DIV/0!</v>
      </c>
      <c r="R137" s="111" t="e">
        <f t="shared" si="66"/>
        <v>#DIV/0!</v>
      </c>
      <c r="S137" s="111" t="e">
        <f t="shared" si="66"/>
        <v>#DIV/0!</v>
      </c>
    </row>
    <row r="138" spans="1:21" s="4" customFormat="1" x14ac:dyDescent="0.2">
      <c r="A138" s="8" t="s">
        <v>452</v>
      </c>
      <c r="B138" s="2" t="s">
        <v>234</v>
      </c>
      <c r="C138" s="39" t="s">
        <v>251</v>
      </c>
      <c r="D138" s="106">
        <v>0.5</v>
      </c>
      <c r="E138" s="106">
        <f>1/3</f>
        <v>0.33333333333333331</v>
      </c>
      <c r="F138" s="114" t="s">
        <v>433</v>
      </c>
      <c r="G138" s="100" t="s">
        <v>252</v>
      </c>
      <c r="H138" s="118">
        <f t="shared" ref="H138:S138" si="67">H27/H4</f>
        <v>0.10358254455700372</v>
      </c>
      <c r="I138" s="118">
        <f t="shared" si="67"/>
        <v>5.9110962719832627E-2</v>
      </c>
      <c r="J138" s="118">
        <f t="shared" si="67"/>
        <v>6.2678939954794108E-2</v>
      </c>
      <c r="K138" s="118">
        <f t="shared" si="67"/>
        <v>0.12324182449679301</v>
      </c>
      <c r="L138" s="118">
        <f t="shared" si="67"/>
        <v>0.34921869136897093</v>
      </c>
      <c r="M138" s="118">
        <f t="shared" si="67"/>
        <v>0.24421339193226621</v>
      </c>
      <c r="N138" s="118">
        <f t="shared" si="67"/>
        <v>0.36826471095562818</v>
      </c>
      <c r="O138" s="118">
        <f t="shared" si="67"/>
        <v>0.46674755776775984</v>
      </c>
      <c r="P138" s="118">
        <f t="shared" si="67"/>
        <v>0.40136054421768708</v>
      </c>
      <c r="Q138" s="118">
        <f t="shared" si="67"/>
        <v>0.40746382330540748</v>
      </c>
      <c r="R138" s="118">
        <f t="shared" si="67"/>
        <v>0.4181536074476338</v>
      </c>
      <c r="S138" s="118">
        <f t="shared" si="67"/>
        <v>0.43649517684887462</v>
      </c>
    </row>
    <row r="139" spans="1:21" s="4" customFormat="1" x14ac:dyDescent="0.2">
      <c r="A139" s="8"/>
      <c r="B139" s="2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</row>
    <row r="140" spans="1:21" s="4" customFormat="1" x14ac:dyDescent="0.2">
      <c r="A140" s="40"/>
      <c r="B140" s="2"/>
      <c r="C140" s="2"/>
      <c r="D140" s="41"/>
      <c r="E140" s="42"/>
      <c r="F140" s="37"/>
      <c r="G140" s="94" t="s">
        <v>253</v>
      </c>
      <c r="H140" s="87">
        <f t="shared" ref="H140:S140" si="68">H133</f>
        <v>2011</v>
      </c>
      <c r="I140" s="87">
        <f t="shared" si="68"/>
        <v>2012</v>
      </c>
      <c r="J140" s="87">
        <f t="shared" si="68"/>
        <v>2013</v>
      </c>
      <c r="K140" s="87">
        <f t="shared" si="68"/>
        <v>2014</v>
      </c>
      <c r="L140" s="87">
        <f t="shared" si="68"/>
        <v>2015</v>
      </c>
      <c r="M140" s="87">
        <f t="shared" si="68"/>
        <v>2016</v>
      </c>
      <c r="N140" s="87">
        <f t="shared" si="68"/>
        <v>2017</v>
      </c>
      <c r="O140" s="87">
        <f t="shared" si="68"/>
        <v>2018</v>
      </c>
      <c r="P140" s="87">
        <f t="shared" si="68"/>
        <v>2019</v>
      </c>
      <c r="Q140" s="87">
        <f t="shared" si="68"/>
        <v>2020</v>
      </c>
      <c r="R140" s="87">
        <f t="shared" si="68"/>
        <v>2021</v>
      </c>
      <c r="S140" s="87">
        <f t="shared" si="68"/>
        <v>2022</v>
      </c>
    </row>
    <row r="141" spans="1:21" s="4" customFormat="1" x14ac:dyDescent="0.2">
      <c r="A141" s="8" t="s">
        <v>453</v>
      </c>
      <c r="B141" s="2" t="s">
        <v>238</v>
      </c>
      <c r="C141" s="8" t="s">
        <v>255</v>
      </c>
      <c r="D141" s="43"/>
      <c r="E141" s="106">
        <v>0.05</v>
      </c>
      <c r="F141" s="8"/>
      <c r="G141" s="103" t="s">
        <v>256</v>
      </c>
      <c r="H141" s="108">
        <f t="shared" ref="H141:S141" si="69">H35/H33</f>
        <v>0</v>
      </c>
      <c r="I141" s="108">
        <f t="shared" si="69"/>
        <v>0</v>
      </c>
      <c r="J141" s="108">
        <f t="shared" si="69"/>
        <v>0</v>
      </c>
      <c r="K141" s="108">
        <f t="shared" si="69"/>
        <v>0</v>
      </c>
      <c r="L141" s="108">
        <f t="shared" si="69"/>
        <v>0</v>
      </c>
      <c r="M141" s="108">
        <f t="shared" si="69"/>
        <v>0</v>
      </c>
      <c r="N141" s="108">
        <f t="shared" si="69"/>
        <v>2.5182987539987935E-3</v>
      </c>
      <c r="O141" s="108">
        <f t="shared" si="69"/>
        <v>0</v>
      </c>
      <c r="P141" s="108">
        <f t="shared" si="69"/>
        <v>0</v>
      </c>
      <c r="Q141" s="108">
        <f t="shared" si="69"/>
        <v>0</v>
      </c>
      <c r="R141" s="108">
        <f t="shared" si="69"/>
        <v>0</v>
      </c>
      <c r="S141" s="108">
        <f t="shared" si="69"/>
        <v>0</v>
      </c>
    </row>
    <row r="142" spans="1:21" s="4" customFormat="1" x14ac:dyDescent="0.2">
      <c r="A142" s="8" t="s">
        <v>454</v>
      </c>
      <c r="B142" s="2" t="s">
        <v>241</v>
      </c>
      <c r="C142" s="8" t="s">
        <v>258</v>
      </c>
      <c r="D142" s="10"/>
      <c r="E142" s="106">
        <v>0.95</v>
      </c>
      <c r="F142" s="8"/>
      <c r="G142" s="110" t="s">
        <v>259</v>
      </c>
      <c r="H142" s="118">
        <f t="shared" ref="H142:S142" si="70">(H36+H34)/H33</f>
        <v>1</v>
      </c>
      <c r="I142" s="118">
        <f t="shared" si="70"/>
        <v>0.99990809642982104</v>
      </c>
      <c r="J142" s="118">
        <f t="shared" si="70"/>
        <v>1</v>
      </c>
      <c r="K142" s="118">
        <f t="shared" si="70"/>
        <v>0.99996219162188915</v>
      </c>
      <c r="L142" s="118">
        <f t="shared" si="70"/>
        <v>0.99996040331598479</v>
      </c>
      <c r="M142" s="118">
        <f t="shared" si="70"/>
        <v>1</v>
      </c>
      <c r="N142" s="118">
        <f t="shared" si="70"/>
        <v>0.99748170124600122</v>
      </c>
      <c r="O142" s="118">
        <f t="shared" si="70"/>
        <v>1</v>
      </c>
      <c r="P142" s="118">
        <f t="shared" si="70"/>
        <v>1</v>
      </c>
      <c r="Q142" s="118">
        <f t="shared" si="70"/>
        <v>1</v>
      </c>
      <c r="R142" s="118">
        <f t="shared" si="70"/>
        <v>1</v>
      </c>
      <c r="S142" s="118">
        <f t="shared" si="70"/>
        <v>1</v>
      </c>
    </row>
    <row r="143" spans="1:21" s="4" customFormat="1" x14ac:dyDescent="0.2">
      <c r="A143" s="8" t="s">
        <v>455</v>
      </c>
      <c r="B143" s="2" t="s">
        <v>244</v>
      </c>
      <c r="C143" s="8" t="s">
        <v>261</v>
      </c>
      <c r="D143" s="10"/>
      <c r="E143" s="106">
        <v>0.95</v>
      </c>
      <c r="F143" s="8"/>
      <c r="G143" s="46" t="s">
        <v>262</v>
      </c>
      <c r="H143" s="108">
        <f t="shared" ref="H143:S143" si="71">H38/(H38+H41)</f>
        <v>0.67923729375321462</v>
      </c>
      <c r="I143" s="108">
        <f t="shared" si="71"/>
        <v>0.66788741825346032</v>
      </c>
      <c r="J143" s="108">
        <f t="shared" si="71"/>
        <v>0.77251327350688781</v>
      </c>
      <c r="K143" s="108">
        <f t="shared" si="71"/>
        <v>0.77013273754689793</v>
      </c>
      <c r="L143" s="108">
        <f t="shared" si="71"/>
        <v>0.62777822098125247</v>
      </c>
      <c r="M143" s="108">
        <f t="shared" si="71"/>
        <v>0.37003682697048701</v>
      </c>
      <c r="N143" s="108">
        <f t="shared" si="71"/>
        <v>0.29275829861178065</v>
      </c>
      <c r="O143" s="108">
        <f t="shared" si="71"/>
        <v>0.16686756909999109</v>
      </c>
      <c r="P143" s="108">
        <f t="shared" si="71"/>
        <v>0.18139534883720931</v>
      </c>
      <c r="Q143" s="108">
        <f t="shared" si="71"/>
        <v>0.20950188363331937</v>
      </c>
      <c r="R143" s="108">
        <f t="shared" si="71"/>
        <v>0.22796629469369165</v>
      </c>
      <c r="S143" s="108">
        <f t="shared" si="71"/>
        <v>0.26176778242677823</v>
      </c>
    </row>
    <row r="144" spans="1:21" s="4" customFormat="1" x14ac:dyDescent="0.2">
      <c r="A144" s="8"/>
      <c r="B144" s="2"/>
      <c r="C144" s="8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</row>
    <row r="145" spans="1:19" s="4" customFormat="1" x14ac:dyDescent="0.2">
      <c r="A145" s="40"/>
      <c r="B145" s="2"/>
      <c r="C145" s="119"/>
      <c r="D145" s="41"/>
      <c r="E145" s="42"/>
      <c r="F145" s="37"/>
      <c r="G145" s="94"/>
      <c r="H145" s="87">
        <f>H140</f>
        <v>2011</v>
      </c>
      <c r="I145" s="87">
        <f t="shared" ref="I145:S145" si="72">I140</f>
        <v>2012</v>
      </c>
      <c r="J145" s="87">
        <f t="shared" si="72"/>
        <v>2013</v>
      </c>
      <c r="K145" s="87">
        <f t="shared" si="72"/>
        <v>2014</v>
      </c>
      <c r="L145" s="87">
        <f t="shared" si="72"/>
        <v>2015</v>
      </c>
      <c r="M145" s="87">
        <f t="shared" si="72"/>
        <v>2016</v>
      </c>
      <c r="N145" s="87">
        <f t="shared" si="72"/>
        <v>2017</v>
      </c>
      <c r="O145" s="87">
        <f t="shared" si="72"/>
        <v>2018</v>
      </c>
      <c r="P145" s="87">
        <f t="shared" si="72"/>
        <v>2019</v>
      </c>
      <c r="Q145" s="87">
        <f t="shared" si="72"/>
        <v>2020</v>
      </c>
      <c r="R145" s="87">
        <f t="shared" si="72"/>
        <v>2021</v>
      </c>
      <c r="S145" s="87">
        <f t="shared" si="72"/>
        <v>2022</v>
      </c>
    </row>
    <row r="146" spans="1:19" s="4" customFormat="1" x14ac:dyDescent="0.2">
      <c r="A146" s="4" t="s">
        <v>456</v>
      </c>
      <c r="B146" s="2" t="s">
        <v>247</v>
      </c>
      <c r="C146" s="8" t="s">
        <v>264</v>
      </c>
      <c r="D146" s="120">
        <v>0.5</v>
      </c>
      <c r="E146" s="121" t="s">
        <v>265</v>
      </c>
      <c r="G146" s="103" t="s">
        <v>266</v>
      </c>
      <c r="H146" s="111" t="str">
        <f t="shared" ref="H146:S146" si="73">IF(H141&lt;$D$146,$E$146,H35/H4)</f>
        <v>N/A</v>
      </c>
      <c r="I146" s="111" t="str">
        <f t="shared" si="73"/>
        <v>N/A</v>
      </c>
      <c r="J146" s="111" t="str">
        <f t="shared" si="73"/>
        <v>N/A</v>
      </c>
      <c r="K146" s="111" t="str">
        <f t="shared" si="73"/>
        <v>N/A</v>
      </c>
      <c r="L146" s="111" t="str">
        <f t="shared" si="73"/>
        <v>N/A</v>
      </c>
      <c r="M146" s="111" t="str">
        <f t="shared" si="73"/>
        <v>N/A</v>
      </c>
      <c r="N146" s="111" t="str">
        <f t="shared" si="73"/>
        <v>N/A</v>
      </c>
      <c r="O146" s="111" t="str">
        <f t="shared" si="73"/>
        <v>N/A</v>
      </c>
      <c r="P146" s="111" t="str">
        <f t="shared" si="73"/>
        <v>N/A</v>
      </c>
      <c r="Q146" s="111" t="str">
        <f t="shared" si="73"/>
        <v>N/A</v>
      </c>
      <c r="R146" s="111" t="str">
        <f t="shared" si="73"/>
        <v>N/A</v>
      </c>
      <c r="S146" s="111" t="str">
        <f t="shared" si="73"/>
        <v>N/A</v>
      </c>
    </row>
    <row r="147" spans="1:19" s="4" customFormat="1" x14ac:dyDescent="0.2">
      <c r="A147" s="4" t="s">
        <v>457</v>
      </c>
      <c r="B147" s="2" t="s">
        <v>250</v>
      </c>
      <c r="C147" s="8" t="s">
        <v>267</v>
      </c>
      <c r="D147" s="120">
        <v>0.5</v>
      </c>
      <c r="E147" s="121" t="s">
        <v>265</v>
      </c>
      <c r="G147" s="110" t="s">
        <v>268</v>
      </c>
      <c r="H147" s="111" t="str">
        <f t="shared" ref="H147:S147" si="74">IF(H141&lt;$D$147,$E$147,H35/H15)</f>
        <v>N/A</v>
      </c>
      <c r="I147" s="111" t="str">
        <f t="shared" si="74"/>
        <v>N/A</v>
      </c>
      <c r="J147" s="111" t="str">
        <f t="shared" si="74"/>
        <v>N/A</v>
      </c>
      <c r="K147" s="111" t="str">
        <f t="shared" si="74"/>
        <v>N/A</v>
      </c>
      <c r="L147" s="111" t="str">
        <f t="shared" si="74"/>
        <v>N/A</v>
      </c>
      <c r="M147" s="111" t="str">
        <f t="shared" si="74"/>
        <v>N/A</v>
      </c>
      <c r="N147" s="111" t="str">
        <f t="shared" si="74"/>
        <v>N/A</v>
      </c>
      <c r="O147" s="111" t="str">
        <f t="shared" si="74"/>
        <v>N/A</v>
      </c>
      <c r="P147" s="111" t="str">
        <f t="shared" si="74"/>
        <v>N/A</v>
      </c>
      <c r="Q147" s="111" t="str">
        <f t="shared" si="74"/>
        <v>N/A</v>
      </c>
      <c r="R147" s="111" t="str">
        <f t="shared" si="74"/>
        <v>N/A</v>
      </c>
      <c r="S147" s="111" t="str">
        <f t="shared" si="74"/>
        <v>N/A</v>
      </c>
    </row>
    <row r="148" spans="1:19" s="4" customFormat="1" x14ac:dyDescent="0.2">
      <c r="A148" s="4" t="s">
        <v>458</v>
      </c>
      <c r="B148" s="2" t="s">
        <v>254</v>
      </c>
      <c r="C148" s="8" t="s">
        <v>201</v>
      </c>
      <c r="D148" s="120">
        <v>0.5</v>
      </c>
      <c r="E148" s="121" t="s">
        <v>265</v>
      </c>
      <c r="G148" s="103" t="s">
        <v>269</v>
      </c>
      <c r="H148" s="118" t="str">
        <f t="shared" ref="H148:S148" si="75">IF(H141&lt;$D$148,$E$148,H46/H33)</f>
        <v>N/A</v>
      </c>
      <c r="I148" s="118" t="str">
        <f t="shared" si="75"/>
        <v>N/A</v>
      </c>
      <c r="J148" s="118" t="str">
        <f t="shared" si="75"/>
        <v>N/A</v>
      </c>
      <c r="K148" s="118" t="str">
        <f t="shared" si="75"/>
        <v>N/A</v>
      </c>
      <c r="L148" s="118" t="str">
        <f t="shared" si="75"/>
        <v>N/A</v>
      </c>
      <c r="M148" s="118" t="str">
        <f t="shared" si="75"/>
        <v>N/A</v>
      </c>
      <c r="N148" s="118" t="str">
        <f t="shared" si="75"/>
        <v>N/A</v>
      </c>
      <c r="O148" s="118" t="str">
        <f t="shared" si="75"/>
        <v>N/A</v>
      </c>
      <c r="P148" s="118" t="str">
        <f t="shared" si="75"/>
        <v>N/A</v>
      </c>
      <c r="Q148" s="118" t="str">
        <f t="shared" si="75"/>
        <v>N/A</v>
      </c>
      <c r="R148" s="118" t="str">
        <f t="shared" si="75"/>
        <v>N/A</v>
      </c>
      <c r="S148" s="118" t="str">
        <f t="shared" si="75"/>
        <v>N/A</v>
      </c>
    </row>
    <row r="149" spans="1:19" s="4" customFormat="1" x14ac:dyDescent="0.2">
      <c r="A149" s="4" t="s">
        <v>459</v>
      </c>
      <c r="B149" s="2" t="s">
        <v>257</v>
      </c>
      <c r="C149" s="8" t="s">
        <v>270</v>
      </c>
      <c r="D149" s="120">
        <v>0.5</v>
      </c>
      <c r="E149" s="121" t="s">
        <v>265</v>
      </c>
      <c r="G149" s="110" t="s">
        <v>271</v>
      </c>
      <c r="H149" s="118" t="str">
        <f t="shared" ref="H149:S149" si="76">IF(H141&lt;$D$148,$E$149,H51/H33)</f>
        <v>N/A</v>
      </c>
      <c r="I149" s="118" t="str">
        <f t="shared" si="76"/>
        <v>N/A</v>
      </c>
      <c r="J149" s="118" t="str">
        <f t="shared" si="76"/>
        <v>N/A</v>
      </c>
      <c r="K149" s="118" t="str">
        <f t="shared" si="76"/>
        <v>N/A</v>
      </c>
      <c r="L149" s="118" t="str">
        <f t="shared" si="76"/>
        <v>N/A</v>
      </c>
      <c r="M149" s="118" t="str">
        <f t="shared" si="76"/>
        <v>N/A</v>
      </c>
      <c r="N149" s="118" t="str">
        <f t="shared" si="76"/>
        <v>N/A</v>
      </c>
      <c r="O149" s="118" t="str">
        <f t="shared" si="76"/>
        <v>N/A</v>
      </c>
      <c r="P149" s="118" t="str">
        <f t="shared" si="76"/>
        <v>N/A</v>
      </c>
      <c r="Q149" s="118" t="str">
        <f t="shared" si="76"/>
        <v>N/A</v>
      </c>
      <c r="R149" s="118" t="str">
        <f t="shared" si="76"/>
        <v>N/A</v>
      </c>
      <c r="S149" s="118" t="str">
        <f t="shared" si="76"/>
        <v>N/A</v>
      </c>
    </row>
    <row r="150" spans="1:19" s="4" customFormat="1" x14ac:dyDescent="0.2">
      <c r="A150" s="4" t="s">
        <v>460</v>
      </c>
      <c r="B150" s="2" t="s">
        <v>260</v>
      </c>
      <c r="C150" s="8" t="s">
        <v>272</v>
      </c>
      <c r="D150" s="120">
        <v>0.5</v>
      </c>
      <c r="E150" s="121" t="s">
        <v>265</v>
      </c>
      <c r="G150" s="110" t="s">
        <v>273</v>
      </c>
      <c r="H150" s="118" t="str">
        <f t="shared" ref="H150:S150" si="77">IF(H141&lt;$D$150,$E$150,H51/H4)</f>
        <v>N/A</v>
      </c>
      <c r="I150" s="118" t="str">
        <f t="shared" si="77"/>
        <v>N/A</v>
      </c>
      <c r="J150" s="118" t="str">
        <f t="shared" si="77"/>
        <v>N/A</v>
      </c>
      <c r="K150" s="118" t="str">
        <f t="shared" si="77"/>
        <v>N/A</v>
      </c>
      <c r="L150" s="118" t="str">
        <f t="shared" si="77"/>
        <v>N/A</v>
      </c>
      <c r="M150" s="118" t="str">
        <f t="shared" si="77"/>
        <v>N/A</v>
      </c>
      <c r="N150" s="118" t="str">
        <f t="shared" si="77"/>
        <v>N/A</v>
      </c>
      <c r="O150" s="118" t="str">
        <f t="shared" si="77"/>
        <v>N/A</v>
      </c>
      <c r="P150" s="118" t="str">
        <f t="shared" si="77"/>
        <v>N/A</v>
      </c>
      <c r="Q150" s="118" t="str">
        <f t="shared" si="77"/>
        <v>N/A</v>
      </c>
      <c r="R150" s="118" t="str">
        <f t="shared" si="77"/>
        <v>N/A</v>
      </c>
      <c r="S150" s="118" t="str">
        <f t="shared" si="77"/>
        <v>N/A</v>
      </c>
    </row>
    <row r="151" spans="1:19" s="4" customFormat="1" x14ac:dyDescent="0.2">
      <c r="A151" s="4" t="s">
        <v>461</v>
      </c>
      <c r="B151" s="2" t="s">
        <v>263</v>
      </c>
      <c r="C151" s="8" t="s">
        <v>274</v>
      </c>
      <c r="D151" s="120">
        <v>0.5</v>
      </c>
      <c r="E151" s="121" t="s">
        <v>265</v>
      </c>
      <c r="G151" s="46" t="s">
        <v>275</v>
      </c>
      <c r="H151" s="118" t="str">
        <f>IF(H141&lt;$D$151,$E$151,H51/H27)</f>
        <v>N/A</v>
      </c>
      <c r="I151" s="118" t="str">
        <f t="shared" ref="I151:L151" si="78">IF(I141&lt;$D$151,$E$151,I51/((H27+I27)/2))</f>
        <v>N/A</v>
      </c>
      <c r="J151" s="118" t="str">
        <f t="shared" si="78"/>
        <v>N/A</v>
      </c>
      <c r="K151" s="118" t="str">
        <f t="shared" si="78"/>
        <v>N/A</v>
      </c>
      <c r="L151" s="118" t="str">
        <f t="shared" si="78"/>
        <v>N/A</v>
      </c>
      <c r="M151" s="118" t="str">
        <f>IF(M141&lt;$D$151,$E$151,M51/((L27+M27)/2))</f>
        <v>N/A</v>
      </c>
      <c r="N151" s="118" t="str">
        <f t="shared" ref="N151:S151" si="79">IF(N141&lt;$D$151,$E$151,N51/((M27+N27)/2))</f>
        <v>N/A</v>
      </c>
      <c r="O151" s="118" t="str">
        <f t="shared" si="79"/>
        <v>N/A</v>
      </c>
      <c r="P151" s="118" t="str">
        <f t="shared" si="79"/>
        <v>N/A</v>
      </c>
      <c r="Q151" s="118" t="str">
        <f t="shared" si="79"/>
        <v>N/A</v>
      </c>
      <c r="R151" s="118" t="str">
        <f t="shared" si="79"/>
        <v>N/A</v>
      </c>
      <c r="S151" s="118" t="str">
        <f t="shared" si="79"/>
        <v>N/A</v>
      </c>
    </row>
    <row r="152" spans="1:19" s="4" customFormat="1" x14ac:dyDescent="0.2">
      <c r="A152" s="8"/>
      <c r="B152" s="2"/>
      <c r="C152" s="119"/>
      <c r="D152" s="41"/>
      <c r="E152" s="42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</row>
    <row r="153" spans="1:19" s="4" customFormat="1" x14ac:dyDescent="0.2">
      <c r="A153" s="8"/>
      <c r="B153" s="2"/>
      <c r="C153" s="10"/>
      <c r="D153" s="10"/>
      <c r="E153" s="9"/>
      <c r="F153" s="8"/>
      <c r="G153" s="94" t="s">
        <v>462</v>
      </c>
      <c r="H153" s="87">
        <f>H145</f>
        <v>2011</v>
      </c>
      <c r="I153" s="87">
        <f t="shared" ref="I153:S153" si="80">I145</f>
        <v>2012</v>
      </c>
      <c r="J153" s="87">
        <f t="shared" si="80"/>
        <v>2013</v>
      </c>
      <c r="K153" s="87">
        <f t="shared" si="80"/>
        <v>2014</v>
      </c>
      <c r="L153" s="87">
        <f t="shared" si="80"/>
        <v>2015</v>
      </c>
      <c r="M153" s="87">
        <f t="shared" si="80"/>
        <v>2016</v>
      </c>
      <c r="N153" s="87">
        <f t="shared" si="80"/>
        <v>2017</v>
      </c>
      <c r="O153" s="87">
        <f t="shared" si="80"/>
        <v>2018</v>
      </c>
      <c r="P153" s="87">
        <f t="shared" si="80"/>
        <v>2019</v>
      </c>
      <c r="Q153" s="87">
        <f t="shared" si="80"/>
        <v>2020</v>
      </c>
      <c r="R153" s="87">
        <f t="shared" si="80"/>
        <v>2021</v>
      </c>
      <c r="S153" s="87">
        <f t="shared" si="80"/>
        <v>2022</v>
      </c>
    </row>
    <row r="154" spans="1:19" s="4" customFormat="1" x14ac:dyDescent="0.2">
      <c r="A154" s="8"/>
      <c r="B154" s="2"/>
      <c r="C154" s="10"/>
      <c r="D154" s="10"/>
      <c r="E154" s="9"/>
      <c r="F154" s="8"/>
      <c r="G154" s="95" t="s">
        <v>276</v>
      </c>
      <c r="H154" s="96">
        <f t="shared" ref="H154:S154" si="81">H33</f>
        <v>3621.4169999999999</v>
      </c>
      <c r="I154" s="96">
        <f t="shared" si="81"/>
        <v>4004.1970000000001</v>
      </c>
      <c r="J154" s="96">
        <f t="shared" si="81"/>
        <v>4245.6639999999998</v>
      </c>
      <c r="K154" s="96">
        <f t="shared" si="81"/>
        <v>3544.1880000000001</v>
      </c>
      <c r="L154" s="96">
        <f>L33</f>
        <v>2525.4639999999999</v>
      </c>
      <c r="M154" s="96">
        <f t="shared" si="81"/>
        <v>3443.585</v>
      </c>
      <c r="N154" s="96">
        <f t="shared" si="81"/>
        <v>3772.3879999999999</v>
      </c>
      <c r="O154" s="96">
        <f t="shared" si="81"/>
        <v>6276.5770000000002</v>
      </c>
      <c r="P154" s="96">
        <f t="shared" si="81"/>
        <v>5593.87</v>
      </c>
      <c r="Q154" s="96">
        <f t="shared" si="81"/>
        <v>4782.1639999999998</v>
      </c>
      <c r="R154" s="96">
        <f t="shared" si="81"/>
        <v>4395</v>
      </c>
      <c r="S154" s="96">
        <f t="shared" si="81"/>
        <v>3828</v>
      </c>
    </row>
    <row r="155" spans="1:19" s="4" customFormat="1" x14ac:dyDescent="0.2">
      <c r="A155" s="8"/>
      <c r="B155" s="2"/>
      <c r="C155" s="10"/>
      <c r="D155" s="10"/>
      <c r="E155" s="9"/>
      <c r="F155" s="8"/>
      <c r="G155" s="95" t="s">
        <v>277</v>
      </c>
      <c r="H155" s="96">
        <f t="shared" ref="H155:S156" si="82">H35</f>
        <v>0</v>
      </c>
      <c r="I155" s="96">
        <f t="shared" si="82"/>
        <v>0</v>
      </c>
      <c r="J155" s="96">
        <f t="shared" si="82"/>
        <v>0</v>
      </c>
      <c r="K155" s="96">
        <f t="shared" si="82"/>
        <v>0</v>
      </c>
      <c r="L155" s="96">
        <f t="shared" si="82"/>
        <v>0</v>
      </c>
      <c r="M155" s="96">
        <f t="shared" si="82"/>
        <v>0</v>
      </c>
      <c r="N155" s="96">
        <f t="shared" si="82"/>
        <v>9.5</v>
      </c>
      <c r="O155" s="96">
        <f t="shared" si="82"/>
        <v>0</v>
      </c>
      <c r="P155" s="96">
        <f t="shared" si="82"/>
        <v>0</v>
      </c>
      <c r="Q155" s="96">
        <f t="shared" si="82"/>
        <v>0</v>
      </c>
      <c r="R155" s="96">
        <f t="shared" si="82"/>
        <v>0</v>
      </c>
      <c r="S155" s="96">
        <f t="shared" si="82"/>
        <v>0</v>
      </c>
    </row>
    <row r="156" spans="1:19" s="4" customFormat="1" x14ac:dyDescent="0.2">
      <c r="A156" s="8"/>
      <c r="B156" s="2"/>
      <c r="C156" s="10"/>
      <c r="D156" s="10"/>
      <c r="E156" s="9"/>
      <c r="F156" s="8"/>
      <c r="G156" s="95" t="s">
        <v>278</v>
      </c>
      <c r="H156" s="96">
        <f t="shared" si="82"/>
        <v>3621.4169999999999</v>
      </c>
      <c r="I156" s="96">
        <f t="shared" si="82"/>
        <v>4003.8290000000002</v>
      </c>
      <c r="J156" s="96">
        <f t="shared" si="82"/>
        <v>4245.6639999999998</v>
      </c>
      <c r="K156" s="96">
        <f t="shared" si="82"/>
        <v>3544.0540000000001</v>
      </c>
      <c r="L156" s="96">
        <f t="shared" si="82"/>
        <v>2525.364</v>
      </c>
      <c r="M156" s="96">
        <f t="shared" si="82"/>
        <v>3443.585</v>
      </c>
      <c r="N156" s="96">
        <f t="shared" si="82"/>
        <v>3762.8879999999999</v>
      </c>
      <c r="O156" s="96">
        <f t="shared" si="82"/>
        <v>6276.5770000000002</v>
      </c>
      <c r="P156" s="96">
        <f t="shared" si="82"/>
        <v>5593.87</v>
      </c>
      <c r="Q156" s="96">
        <f t="shared" si="82"/>
        <v>4782.1639999999998</v>
      </c>
      <c r="R156" s="96">
        <f t="shared" si="82"/>
        <v>4395</v>
      </c>
      <c r="S156" s="96">
        <f t="shared" si="82"/>
        <v>3828</v>
      </c>
    </row>
    <row r="157" spans="1:19" s="4" customFormat="1" x14ac:dyDescent="0.2">
      <c r="A157" s="8"/>
      <c r="B157" s="2"/>
      <c r="C157" s="10"/>
      <c r="D157" s="10"/>
      <c r="E157" s="9"/>
      <c r="F157" s="8"/>
      <c r="G157" s="95" t="s">
        <v>279</v>
      </c>
      <c r="H157" s="96">
        <f t="shared" ref="H157:S157" si="83">H38+H41</f>
        <v>-3695.9969999999998</v>
      </c>
      <c r="I157" s="96">
        <f t="shared" si="83"/>
        <v>-4089.0109999999995</v>
      </c>
      <c r="J157" s="96">
        <f t="shared" si="83"/>
        <v>-4246.6170000000002</v>
      </c>
      <c r="K157" s="96">
        <f t="shared" si="83"/>
        <v>-3537.7330000000002</v>
      </c>
      <c r="L157" s="96">
        <f t="shared" si="83"/>
        <v>-2256.3000000000002</v>
      </c>
      <c r="M157" s="96">
        <f t="shared" si="83"/>
        <v>-3563.4210000000003</v>
      </c>
      <c r="N157" s="96">
        <f t="shared" si="83"/>
        <v>-3681.9109999999996</v>
      </c>
      <c r="O157" s="96">
        <f t="shared" si="83"/>
        <v>-6174.6390000000001</v>
      </c>
      <c r="P157" s="96">
        <f t="shared" si="83"/>
        <v>-5590</v>
      </c>
      <c r="Q157" s="96">
        <f t="shared" si="83"/>
        <v>-4778</v>
      </c>
      <c r="R157" s="96">
        <f t="shared" si="83"/>
        <v>-4391</v>
      </c>
      <c r="S157" s="96">
        <f t="shared" si="83"/>
        <v>-3824</v>
      </c>
    </row>
    <row r="158" spans="1:19" s="4" customFormat="1" x14ac:dyDescent="0.2">
      <c r="A158" s="8"/>
      <c r="B158" s="2"/>
      <c r="C158" s="10"/>
      <c r="D158" s="10"/>
      <c r="E158" s="9"/>
      <c r="F158" s="8"/>
      <c r="G158" s="95" t="s">
        <v>280</v>
      </c>
      <c r="H158" s="96">
        <f t="shared" ref="H158:S158" si="84">H41</f>
        <v>-1185.538</v>
      </c>
      <c r="I158" s="96">
        <f t="shared" si="84"/>
        <v>-1358.0119999999999</v>
      </c>
      <c r="J158" s="96">
        <f t="shared" si="84"/>
        <v>-966.04899999999998</v>
      </c>
      <c r="K158" s="96">
        <f t="shared" si="84"/>
        <v>-813.20900000000006</v>
      </c>
      <c r="L158" s="96">
        <f t="shared" si="84"/>
        <v>-839.84400000000016</v>
      </c>
      <c r="M158" s="96">
        <f t="shared" si="84"/>
        <v>-2244.8240000000001</v>
      </c>
      <c r="N158" s="96">
        <f t="shared" si="84"/>
        <v>-2604.0009999999997</v>
      </c>
      <c r="O158" s="96">
        <f t="shared" si="84"/>
        <v>-5144.2920000000004</v>
      </c>
      <c r="P158" s="96">
        <f t="shared" si="84"/>
        <v>-4576</v>
      </c>
      <c r="Q158" s="96">
        <f t="shared" si="84"/>
        <v>-3777</v>
      </c>
      <c r="R158" s="96">
        <f t="shared" si="84"/>
        <v>-3390</v>
      </c>
      <c r="S158" s="96">
        <f t="shared" si="84"/>
        <v>-2823</v>
      </c>
    </row>
    <row r="159" spans="1:19" s="4" customFormat="1" x14ac:dyDescent="0.2">
      <c r="A159" s="8"/>
      <c r="B159" s="2"/>
      <c r="C159" s="10"/>
      <c r="D159" s="10"/>
      <c r="E159" s="9"/>
      <c r="F159" s="8"/>
      <c r="G159" s="95" t="s">
        <v>281</v>
      </c>
      <c r="H159" s="96">
        <f t="shared" ref="H159:S159" si="85">H38</f>
        <v>-2510.4589999999998</v>
      </c>
      <c r="I159" s="96">
        <f t="shared" si="85"/>
        <v>-2730.9989999999998</v>
      </c>
      <c r="J159" s="96">
        <f t="shared" si="85"/>
        <v>-3280.5679999999998</v>
      </c>
      <c r="K159" s="96">
        <f t="shared" si="85"/>
        <v>-2724.5239999999999</v>
      </c>
      <c r="L159" s="96">
        <f t="shared" si="85"/>
        <v>-1416.4560000000001</v>
      </c>
      <c r="M159" s="96">
        <f t="shared" si="85"/>
        <v>-1318.597</v>
      </c>
      <c r="N159" s="96">
        <f t="shared" si="85"/>
        <v>-1077.9099999999999</v>
      </c>
      <c r="O159" s="96">
        <f t="shared" si="85"/>
        <v>-1030.347</v>
      </c>
      <c r="P159" s="96">
        <f t="shared" si="85"/>
        <v>-1014</v>
      </c>
      <c r="Q159" s="96">
        <f t="shared" si="85"/>
        <v>-1001</v>
      </c>
      <c r="R159" s="96">
        <f t="shared" si="85"/>
        <v>-1001</v>
      </c>
      <c r="S159" s="96">
        <f t="shared" si="85"/>
        <v>-1001</v>
      </c>
    </row>
    <row r="160" spans="1:19" s="4" customFormat="1" x14ac:dyDescent="0.2">
      <c r="A160" s="8"/>
      <c r="B160" s="2"/>
      <c r="C160" s="10"/>
      <c r="D160" s="10"/>
      <c r="E160" s="9"/>
      <c r="F160" s="8"/>
      <c r="G160" s="95" t="s">
        <v>282</v>
      </c>
      <c r="H160" s="96">
        <f t="shared" ref="H160:S160" si="86">H46</f>
        <v>-74.579999999999927</v>
      </c>
      <c r="I160" s="96">
        <f t="shared" si="86"/>
        <v>-84.813999999999623</v>
      </c>
      <c r="J160" s="96">
        <f t="shared" si="86"/>
        <v>-0.95299999999997453</v>
      </c>
      <c r="K160" s="96">
        <f t="shared" si="86"/>
        <v>6.4550000000001546</v>
      </c>
      <c r="L160" s="96">
        <f t="shared" si="86"/>
        <v>269.16399999999965</v>
      </c>
      <c r="M160" s="96">
        <f t="shared" si="86"/>
        <v>-119.83599999999979</v>
      </c>
      <c r="N160" s="96">
        <f t="shared" si="86"/>
        <v>90.477000000000317</v>
      </c>
      <c r="O160" s="96">
        <f t="shared" si="86"/>
        <v>101.9380000000001</v>
      </c>
      <c r="P160" s="96">
        <f t="shared" si="86"/>
        <v>3.8699999999998909</v>
      </c>
      <c r="Q160" s="96">
        <f t="shared" si="86"/>
        <v>4.1639999999997599</v>
      </c>
      <c r="R160" s="96">
        <f t="shared" si="86"/>
        <v>4</v>
      </c>
      <c r="S160" s="96">
        <f t="shared" si="86"/>
        <v>4</v>
      </c>
    </row>
    <row r="161" spans="1:19" s="4" customFormat="1" x14ac:dyDescent="0.2">
      <c r="A161" s="8"/>
      <c r="B161" s="2"/>
      <c r="C161" s="10"/>
      <c r="D161" s="10"/>
      <c r="E161" s="9"/>
      <c r="F161" s="8"/>
      <c r="G161" s="95" t="s">
        <v>283</v>
      </c>
      <c r="H161" s="96">
        <f t="shared" ref="H161:S161" si="87">H51</f>
        <v>-71.119999999999933</v>
      </c>
      <c r="I161" s="96">
        <f t="shared" si="87"/>
        <v>-83.556999999999618</v>
      </c>
      <c r="J161" s="96">
        <f t="shared" si="87"/>
        <v>-3.4199999999999746</v>
      </c>
      <c r="K161" s="96">
        <f t="shared" si="87"/>
        <v>7.1630000000001548</v>
      </c>
      <c r="L161" s="96">
        <f t="shared" si="87"/>
        <v>271.54999999999967</v>
      </c>
      <c r="M161" s="96">
        <f t="shared" si="87"/>
        <v>-117.29899999999978</v>
      </c>
      <c r="N161" s="96">
        <f t="shared" si="87"/>
        <v>90.477000000000317</v>
      </c>
      <c r="O161" s="96">
        <f t="shared" si="87"/>
        <v>101.9380000000001</v>
      </c>
      <c r="P161" s="96">
        <f t="shared" si="87"/>
        <v>3.8699999999998909</v>
      </c>
      <c r="Q161" s="96">
        <f t="shared" si="87"/>
        <v>4.1639999999997599</v>
      </c>
      <c r="R161" s="96">
        <f t="shared" si="87"/>
        <v>4</v>
      </c>
      <c r="S161" s="96">
        <f t="shared" si="87"/>
        <v>4</v>
      </c>
    </row>
    <row r="162" spans="1:19" s="4" customFormat="1" x14ac:dyDescent="0.2">
      <c r="A162" s="8"/>
      <c r="B162" s="2"/>
      <c r="C162" s="10"/>
      <c r="D162" s="10"/>
      <c r="E162" s="9"/>
      <c r="F162" s="8"/>
      <c r="G162" s="95" t="s">
        <v>284</v>
      </c>
      <c r="H162" s="96">
        <f t="shared" ref="H162:S163" si="88">H4</f>
        <v>2502.1879999999996</v>
      </c>
      <c r="I162" s="96">
        <f t="shared" si="88"/>
        <v>2971.1239999999998</v>
      </c>
      <c r="J162" s="96">
        <f t="shared" si="88"/>
        <v>2747.4300000000003</v>
      </c>
      <c r="K162" s="96">
        <f t="shared" si="88"/>
        <v>1455.415</v>
      </c>
      <c r="L162" s="96">
        <f t="shared" si="88"/>
        <v>1292.511</v>
      </c>
      <c r="M162" s="96">
        <f t="shared" si="88"/>
        <v>1367.943</v>
      </c>
      <c r="N162" s="96">
        <f t="shared" si="88"/>
        <v>1153.6809999999998</v>
      </c>
      <c r="O162" s="96">
        <f t="shared" si="88"/>
        <v>1129.0900000000001</v>
      </c>
      <c r="P162" s="96">
        <f t="shared" si="88"/>
        <v>1323</v>
      </c>
      <c r="Q162" s="96">
        <f t="shared" si="88"/>
        <v>1313</v>
      </c>
      <c r="R162" s="96">
        <f t="shared" si="88"/>
        <v>1289</v>
      </c>
      <c r="S162" s="96">
        <f t="shared" si="88"/>
        <v>1244</v>
      </c>
    </row>
    <row r="163" spans="1:19" s="4" customFormat="1" x14ac:dyDescent="0.2">
      <c r="A163" s="8"/>
      <c r="B163" s="2"/>
      <c r="C163" s="10"/>
      <c r="D163" s="10"/>
      <c r="E163" s="9"/>
      <c r="F163" s="8"/>
      <c r="G163" s="95" t="s">
        <v>285</v>
      </c>
      <c r="H163" s="96">
        <f t="shared" si="88"/>
        <v>2400.1309999999999</v>
      </c>
      <c r="I163" s="96">
        <f t="shared" si="88"/>
        <v>2915.848</v>
      </c>
      <c r="J163" s="96">
        <f t="shared" si="88"/>
        <v>2706.84</v>
      </c>
      <c r="K163" s="96">
        <f t="shared" si="88"/>
        <v>1425.3589999999999</v>
      </c>
      <c r="L163" s="96">
        <f t="shared" si="88"/>
        <v>1266.415</v>
      </c>
      <c r="M163" s="96">
        <f t="shared" si="88"/>
        <v>1366.933</v>
      </c>
      <c r="N163" s="96">
        <f t="shared" si="88"/>
        <v>1152.8789999999999</v>
      </c>
      <c r="O163" s="96">
        <f t="shared" si="88"/>
        <v>1129.0900000000001</v>
      </c>
      <c r="P163" s="96">
        <f t="shared" si="88"/>
        <v>1323</v>
      </c>
      <c r="Q163" s="96">
        <f t="shared" si="88"/>
        <v>1313</v>
      </c>
      <c r="R163" s="96">
        <f t="shared" si="88"/>
        <v>1289</v>
      </c>
      <c r="S163" s="96">
        <f t="shared" si="88"/>
        <v>1244</v>
      </c>
    </row>
    <row r="164" spans="1:19" s="4" customFormat="1" x14ac:dyDescent="0.2">
      <c r="A164" s="8"/>
      <c r="B164" s="2"/>
      <c r="C164" s="10"/>
      <c r="D164" s="10"/>
      <c r="E164" s="9"/>
      <c r="F164" s="8"/>
      <c r="G164" s="95" t="s">
        <v>286</v>
      </c>
      <c r="H164" s="96">
        <f t="shared" ref="H164:S164" si="89">H10</f>
        <v>102.057</v>
      </c>
      <c r="I164" s="96">
        <f t="shared" si="89"/>
        <v>55.276000000000003</v>
      </c>
      <c r="J164" s="96">
        <f t="shared" si="89"/>
        <v>40.590000000000003</v>
      </c>
      <c r="K164" s="96">
        <f t="shared" si="89"/>
        <v>30.056000000000001</v>
      </c>
      <c r="L164" s="96">
        <f t="shared" si="89"/>
        <v>26.096</v>
      </c>
      <c r="M164" s="96">
        <f t="shared" si="89"/>
        <v>1.01</v>
      </c>
      <c r="N164" s="96">
        <f t="shared" si="89"/>
        <v>0.80200000000000005</v>
      </c>
      <c r="O164" s="96">
        <f t="shared" si="89"/>
        <v>0</v>
      </c>
      <c r="P164" s="96">
        <f t="shared" si="89"/>
        <v>0</v>
      </c>
      <c r="Q164" s="96">
        <f t="shared" si="89"/>
        <v>0</v>
      </c>
      <c r="R164" s="96">
        <f t="shared" si="89"/>
        <v>0</v>
      </c>
      <c r="S164" s="96">
        <f t="shared" si="89"/>
        <v>0</v>
      </c>
    </row>
    <row r="165" spans="1:19" s="4" customFormat="1" x14ac:dyDescent="0.2">
      <c r="A165" s="8"/>
      <c r="B165" s="2"/>
      <c r="C165" s="10"/>
      <c r="D165" s="10"/>
      <c r="E165" s="9"/>
      <c r="F165" s="8"/>
      <c r="G165" s="95" t="s">
        <v>287</v>
      </c>
      <c r="H165" s="96">
        <f t="shared" ref="H165:S166" si="90">H19</f>
        <v>2243.0070000000001</v>
      </c>
      <c r="I165" s="96">
        <f t="shared" si="90"/>
        <v>2795.4989999999998</v>
      </c>
      <c r="J165" s="96">
        <f t="shared" si="90"/>
        <v>2575.223</v>
      </c>
      <c r="K165" s="96">
        <f t="shared" si="90"/>
        <v>1276.047</v>
      </c>
      <c r="L165" s="96">
        <f t="shared" si="90"/>
        <v>841.14099999999996</v>
      </c>
      <c r="M165" s="96">
        <f t="shared" si="90"/>
        <v>1033.873</v>
      </c>
      <c r="N165" s="96">
        <f t="shared" si="90"/>
        <v>728.822</v>
      </c>
      <c r="O165" s="96">
        <f t="shared" si="90"/>
        <v>602.23500000000001</v>
      </c>
      <c r="P165" s="96">
        <f t="shared" si="90"/>
        <v>792</v>
      </c>
      <c r="Q165" s="96">
        <f t="shared" si="90"/>
        <v>778</v>
      </c>
      <c r="R165" s="96">
        <f t="shared" si="90"/>
        <v>750</v>
      </c>
      <c r="S165" s="96">
        <f t="shared" si="90"/>
        <v>701</v>
      </c>
    </row>
    <row r="166" spans="1:19" s="4" customFormat="1" x14ac:dyDescent="0.2">
      <c r="A166" s="8"/>
      <c r="B166" s="2"/>
      <c r="C166" s="10"/>
      <c r="D166" s="10"/>
      <c r="E166" s="9"/>
      <c r="F166" s="8"/>
      <c r="G166" s="95" t="s">
        <v>288</v>
      </c>
      <c r="H166" s="96">
        <f t="shared" si="90"/>
        <v>2243.0039999999999</v>
      </c>
      <c r="I166" s="96">
        <f t="shared" si="90"/>
        <v>2795.4989999999998</v>
      </c>
      <c r="J166" s="96">
        <f t="shared" si="90"/>
        <v>2575.223</v>
      </c>
      <c r="K166" s="96">
        <f t="shared" si="90"/>
        <v>1276.047</v>
      </c>
      <c r="L166" s="96">
        <f t="shared" si="90"/>
        <v>841.14099999999996</v>
      </c>
      <c r="M166" s="96">
        <f t="shared" si="90"/>
        <v>1033.873</v>
      </c>
      <c r="N166" s="96">
        <f t="shared" si="90"/>
        <v>0</v>
      </c>
      <c r="O166" s="96">
        <f t="shared" si="90"/>
        <v>0</v>
      </c>
      <c r="P166" s="96">
        <f t="shared" si="90"/>
        <v>0</v>
      </c>
      <c r="Q166" s="96">
        <f t="shared" si="90"/>
        <v>0</v>
      </c>
      <c r="R166" s="96">
        <f t="shared" si="90"/>
        <v>0</v>
      </c>
      <c r="S166" s="96">
        <f t="shared" si="90"/>
        <v>0</v>
      </c>
    </row>
    <row r="167" spans="1:19" s="4" customFormat="1" x14ac:dyDescent="0.2">
      <c r="A167" s="8"/>
      <c r="B167" s="2"/>
      <c r="C167" s="10"/>
      <c r="D167" s="10"/>
      <c r="E167" s="9"/>
      <c r="F167" s="8"/>
      <c r="G167" s="95" t="s">
        <v>289</v>
      </c>
      <c r="H167" s="96">
        <f t="shared" ref="H167:S167" si="91">H24</f>
        <v>0</v>
      </c>
      <c r="I167" s="96">
        <f t="shared" si="91"/>
        <v>0</v>
      </c>
      <c r="J167" s="96">
        <f t="shared" si="91"/>
        <v>0</v>
      </c>
      <c r="K167" s="96">
        <f t="shared" si="91"/>
        <v>0</v>
      </c>
      <c r="L167" s="96">
        <f t="shared" si="91"/>
        <v>0</v>
      </c>
      <c r="M167" s="96">
        <f t="shared" si="91"/>
        <v>0</v>
      </c>
      <c r="N167" s="96">
        <f t="shared" si="91"/>
        <v>0</v>
      </c>
      <c r="O167" s="96">
        <f t="shared" si="91"/>
        <v>0</v>
      </c>
      <c r="P167" s="96">
        <f t="shared" si="91"/>
        <v>0</v>
      </c>
      <c r="Q167" s="96">
        <f t="shared" si="91"/>
        <v>0</v>
      </c>
      <c r="R167" s="96">
        <f t="shared" si="91"/>
        <v>0</v>
      </c>
      <c r="S167" s="96">
        <f t="shared" si="91"/>
        <v>0</v>
      </c>
    </row>
    <row r="168" spans="1:19" s="4" customFormat="1" x14ac:dyDescent="0.2">
      <c r="A168" s="8"/>
      <c r="B168" s="2"/>
      <c r="C168" s="10"/>
      <c r="D168" s="10"/>
      <c r="E168" s="9"/>
      <c r="F168" s="8"/>
      <c r="G168" s="95" t="s">
        <v>290</v>
      </c>
      <c r="H168" s="96">
        <f t="shared" ref="H168:S168" si="92">H27</f>
        <v>259.18299999999999</v>
      </c>
      <c r="I168" s="96">
        <f t="shared" si="92"/>
        <v>175.62599999999998</v>
      </c>
      <c r="J168" s="96">
        <f t="shared" si="92"/>
        <v>172.20599999999999</v>
      </c>
      <c r="K168" s="96">
        <f t="shared" si="92"/>
        <v>179.36799999999999</v>
      </c>
      <c r="L168" s="96">
        <f t="shared" si="92"/>
        <v>451.36899999999997</v>
      </c>
      <c r="M168" s="96">
        <f t="shared" si="92"/>
        <v>334.07000000000005</v>
      </c>
      <c r="N168" s="96">
        <f t="shared" si="92"/>
        <v>424.86</v>
      </c>
      <c r="O168" s="96">
        <f t="shared" si="92"/>
        <v>527</v>
      </c>
      <c r="P168" s="96">
        <f t="shared" si="92"/>
        <v>531</v>
      </c>
      <c r="Q168" s="96">
        <f t="shared" si="92"/>
        <v>535</v>
      </c>
      <c r="R168" s="96">
        <f t="shared" si="92"/>
        <v>539</v>
      </c>
      <c r="S168" s="96">
        <f t="shared" si="92"/>
        <v>543</v>
      </c>
    </row>
    <row r="169" spans="1:19" s="4" customFormat="1" x14ac:dyDescent="0.2">
      <c r="A169" s="8"/>
      <c r="B169" s="2"/>
      <c r="C169" s="119"/>
      <c r="D169" s="41"/>
      <c r="E169" s="42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</row>
    <row r="170" spans="1:19" s="4" customFormat="1" x14ac:dyDescent="0.2">
      <c r="A170" s="8"/>
      <c r="B170" s="2"/>
      <c r="C170" s="119" t="s">
        <v>463</v>
      </c>
      <c r="D170" s="41"/>
      <c r="E170" s="42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</row>
    <row r="171" spans="1:19" s="4" customFormat="1" x14ac:dyDescent="0.2">
      <c r="A171" s="8"/>
      <c r="B171" s="2"/>
      <c r="C171" s="119"/>
      <c r="D171" s="41"/>
      <c r="E171" s="42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</row>
    <row r="172" spans="1:19" s="40" customFormat="1" x14ac:dyDescent="0.2">
      <c r="A172" s="29"/>
      <c r="B172" s="2"/>
      <c r="C172" s="29" t="s">
        <v>464</v>
      </c>
      <c r="D172" s="99"/>
      <c r="E172" s="30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</row>
    <row r="173" spans="1:19" s="4" customFormat="1" x14ac:dyDescent="0.2">
      <c r="A173" s="8"/>
      <c r="B173" s="2"/>
      <c r="C173" s="8"/>
      <c r="D173" s="10"/>
      <c r="E173" s="9"/>
      <c r="F173" s="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</row>
    <row r="174" spans="1:19" s="4" customFormat="1" x14ac:dyDescent="0.2">
      <c r="A174" s="8"/>
      <c r="B174" s="2"/>
      <c r="C174" s="8" t="s">
        <v>291</v>
      </c>
      <c r="D174" s="10"/>
      <c r="E174" s="9"/>
      <c r="F174" s="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</row>
    <row r="175" spans="1:19" s="4" customFormat="1" x14ac:dyDescent="0.2">
      <c r="A175" s="8"/>
      <c r="B175" s="2"/>
      <c r="C175" s="8" t="s">
        <v>292</v>
      </c>
      <c r="D175" s="10"/>
      <c r="E175" s="9"/>
      <c r="F175" s="12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  <c r="R175" s="44"/>
    </row>
    <row r="176" spans="1:19" s="4" customFormat="1" x14ac:dyDescent="0.2">
      <c r="A176" s="8"/>
      <c r="B176" s="2"/>
      <c r="C176" s="8"/>
      <c r="D176" s="10"/>
      <c r="E176" s="9"/>
      <c r="F176" s="12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</row>
    <row r="177" spans="1:7" s="4" customFormat="1" x14ac:dyDescent="0.2">
      <c r="A177" s="8"/>
      <c r="B177" s="2"/>
      <c r="C177" s="8" t="s">
        <v>293</v>
      </c>
      <c r="D177" s="10"/>
      <c r="E177" s="9"/>
      <c r="F177" s="12"/>
      <c r="G177" s="28"/>
    </row>
    <row r="178" spans="1:7" s="4" customFormat="1" x14ac:dyDescent="0.2">
      <c r="A178" s="8"/>
      <c r="B178" s="2"/>
      <c r="C178" s="8" t="s">
        <v>294</v>
      </c>
      <c r="D178" s="10"/>
      <c r="E178" s="9"/>
      <c r="F178" s="12"/>
      <c r="G178" s="28"/>
    </row>
    <row r="179" spans="1:7" s="4" customFormat="1" x14ac:dyDescent="0.2">
      <c r="A179" s="8"/>
      <c r="B179" s="2"/>
      <c r="C179" s="10"/>
      <c r="D179" s="10"/>
      <c r="E179" s="9"/>
      <c r="F179" s="8"/>
      <c r="G179" s="28"/>
    </row>
    <row r="180" spans="1:7" s="4" customFormat="1" x14ac:dyDescent="0.2">
      <c r="A180" s="8"/>
      <c r="B180" s="2"/>
      <c r="C180" s="10"/>
      <c r="D180" s="10"/>
      <c r="E180" s="9"/>
      <c r="F180" s="8"/>
      <c r="G180" s="28"/>
    </row>
    <row r="181" spans="1:7" s="4" customFormat="1" x14ac:dyDescent="0.2">
      <c r="A181" s="8"/>
      <c r="B181" s="2"/>
      <c r="C181" s="10"/>
      <c r="D181" s="10"/>
      <c r="E181" s="9"/>
      <c r="F181" s="8"/>
      <c r="G181" s="28"/>
    </row>
    <row r="182" spans="1:7" s="4" customFormat="1" x14ac:dyDescent="0.2">
      <c r="A182" s="8"/>
      <c r="B182" s="2"/>
      <c r="C182" s="10"/>
      <c r="D182" s="10"/>
      <c r="E182" s="9"/>
      <c r="F182" s="8"/>
      <c r="G182" s="28"/>
    </row>
    <row r="183" spans="1:7" s="4" customFormat="1" x14ac:dyDescent="0.2">
      <c r="A183" s="8"/>
      <c r="B183" s="2"/>
      <c r="C183" s="10"/>
      <c r="D183" s="10"/>
      <c r="E183" s="9"/>
      <c r="F183" s="8"/>
      <c r="G183" s="28"/>
    </row>
    <row r="184" spans="1:7" s="4" customFormat="1" x14ac:dyDescent="0.2">
      <c r="A184" s="8"/>
      <c r="B184" s="2"/>
      <c r="C184" s="10"/>
      <c r="D184" s="10"/>
      <c r="E184" s="9"/>
      <c r="F184" s="8"/>
      <c r="G184" s="28"/>
    </row>
    <row r="185" spans="1:7" s="4" customFormat="1" x14ac:dyDescent="0.2">
      <c r="A185" s="8"/>
      <c r="B185" s="2"/>
      <c r="C185" s="10"/>
      <c r="D185" s="10"/>
      <c r="E185" s="9"/>
      <c r="F185" s="8"/>
      <c r="G185" s="28"/>
    </row>
    <row r="186" spans="1:7" s="4" customFormat="1" x14ac:dyDescent="0.2">
      <c r="A186" s="8"/>
      <c r="B186" s="2"/>
      <c r="C186" s="10"/>
      <c r="D186" s="10"/>
      <c r="E186" s="9"/>
      <c r="F186" s="8"/>
      <c r="G186" s="28"/>
    </row>
    <row r="187" spans="1:7" s="4" customFormat="1" x14ac:dyDescent="0.2">
      <c r="A187" s="8"/>
      <c r="B187" s="2"/>
      <c r="C187" s="10"/>
      <c r="D187" s="10"/>
      <c r="E187" s="9"/>
      <c r="F187" s="8"/>
      <c r="G187" s="28"/>
    </row>
    <row r="188" spans="1:7" s="4" customFormat="1" x14ac:dyDescent="0.2">
      <c r="A188" s="8"/>
      <c r="B188" s="2"/>
      <c r="C188" s="10"/>
      <c r="D188" s="10"/>
      <c r="E188" s="9"/>
      <c r="F188" s="8"/>
      <c r="G188" s="28"/>
    </row>
    <row r="189" spans="1:7" s="4" customFormat="1" x14ac:dyDescent="0.2">
      <c r="A189" s="8"/>
      <c r="B189" s="2"/>
      <c r="C189" s="10"/>
      <c r="D189" s="10"/>
      <c r="E189" s="9"/>
      <c r="F189" s="8"/>
      <c r="G189" s="28"/>
    </row>
    <row r="190" spans="1:7" s="4" customFormat="1" x14ac:dyDescent="0.2">
      <c r="A190" s="8"/>
      <c r="B190" s="2"/>
      <c r="C190" s="10"/>
      <c r="D190" s="10"/>
      <c r="E190" s="9"/>
      <c r="F190" s="8"/>
      <c r="G190" s="28"/>
    </row>
    <row r="191" spans="1:7" s="4" customFormat="1" x14ac:dyDescent="0.2">
      <c r="A191" s="8"/>
      <c r="B191" s="2"/>
      <c r="C191" s="10"/>
      <c r="D191" s="10"/>
      <c r="E191" s="9"/>
      <c r="F191" s="8"/>
      <c r="G191" s="28"/>
    </row>
    <row r="192" spans="1:7" s="4" customFormat="1" x14ac:dyDescent="0.2">
      <c r="A192" s="8"/>
      <c r="B192" s="2"/>
      <c r="C192" s="10"/>
      <c r="D192" s="10"/>
      <c r="E192" s="9"/>
      <c r="F192" s="8"/>
      <c r="G192" s="28"/>
    </row>
    <row r="193" spans="1:7" s="4" customFormat="1" x14ac:dyDescent="0.2">
      <c r="A193" s="8"/>
      <c r="B193" s="2"/>
      <c r="C193" s="10"/>
      <c r="D193" s="10"/>
      <c r="E193" s="9"/>
      <c r="F193" s="8"/>
      <c r="G193" s="28"/>
    </row>
    <row r="194" spans="1:7" s="4" customFormat="1" x14ac:dyDescent="0.2">
      <c r="A194" s="8"/>
      <c r="B194" s="2"/>
      <c r="C194" s="10"/>
      <c r="D194" s="10"/>
      <c r="E194" s="9"/>
      <c r="F194" s="8"/>
      <c r="G194" s="28"/>
    </row>
    <row r="195" spans="1:7" s="4" customFormat="1" x14ac:dyDescent="0.2">
      <c r="A195" s="8"/>
      <c r="B195" s="2"/>
      <c r="C195" s="10"/>
      <c r="D195" s="10"/>
      <c r="E195" s="9"/>
      <c r="F195" s="8"/>
      <c r="G195" s="28"/>
    </row>
    <row r="196" spans="1:7" s="4" customFormat="1" x14ac:dyDescent="0.2">
      <c r="A196" s="8"/>
      <c r="B196" s="2"/>
      <c r="C196" s="10"/>
      <c r="D196" s="10"/>
      <c r="E196" s="9"/>
      <c r="F196" s="8"/>
      <c r="G196" s="28"/>
    </row>
    <row r="197" spans="1:7" s="4" customFormat="1" x14ac:dyDescent="0.2">
      <c r="A197" s="8"/>
      <c r="B197" s="2"/>
      <c r="C197" s="10"/>
      <c r="D197" s="10"/>
      <c r="E197" s="9"/>
      <c r="F197" s="8"/>
      <c r="G197" s="28"/>
    </row>
    <row r="198" spans="1:7" s="4" customFormat="1" x14ac:dyDescent="0.2">
      <c r="A198" s="8"/>
      <c r="B198" s="2"/>
      <c r="C198" s="10"/>
      <c r="D198" s="10"/>
      <c r="E198" s="9"/>
      <c r="F198" s="8"/>
      <c r="G198" s="28"/>
    </row>
    <row r="199" spans="1:7" s="4" customFormat="1" x14ac:dyDescent="0.2">
      <c r="A199" s="8"/>
      <c r="B199" s="2"/>
      <c r="C199" s="10"/>
      <c r="D199" s="10"/>
      <c r="E199" s="9"/>
      <c r="F199" s="8"/>
      <c r="G199" s="28"/>
    </row>
    <row r="200" spans="1:7" s="4" customFormat="1" x14ac:dyDescent="0.2">
      <c r="A200" s="8"/>
      <c r="B200" s="2"/>
      <c r="C200" s="10"/>
      <c r="D200" s="10"/>
      <c r="E200" s="9"/>
      <c r="F200" s="8"/>
      <c r="G200" s="28"/>
    </row>
    <row r="201" spans="1:7" s="4" customFormat="1" x14ac:dyDescent="0.2">
      <c r="A201" s="8"/>
      <c r="B201" s="2"/>
      <c r="C201" s="10"/>
      <c r="D201" s="10"/>
      <c r="E201" s="9"/>
      <c r="F201" s="8"/>
      <c r="G201" s="28"/>
    </row>
    <row r="202" spans="1:7" s="4" customFormat="1" x14ac:dyDescent="0.2">
      <c r="A202" s="8"/>
      <c r="B202" s="2"/>
      <c r="C202" s="10"/>
      <c r="D202" s="10"/>
      <c r="E202" s="9"/>
      <c r="F202" s="8"/>
      <c r="G202" s="28"/>
    </row>
  </sheetData>
  <mergeCells count="1">
    <mergeCell ref="D92:E92"/>
  </mergeCells>
  <conditionalFormatting sqref="H141:Q141">
    <cfRule type="cellIs" dxfId="2056" priority="51" stopIfTrue="1" operator="greaterThan">
      <formula>$E$141</formula>
    </cfRule>
    <cfRule type="cellIs" dxfId="2055" priority="52" stopIfTrue="1" operator="lessThanOrEqual">
      <formula>$E$141</formula>
    </cfRule>
  </conditionalFormatting>
  <conditionalFormatting sqref="H143:Q143">
    <cfRule type="cellIs" dxfId="2054" priority="49" stopIfTrue="1" operator="lessThanOrEqual">
      <formula>$E$143</formula>
    </cfRule>
    <cfRule type="cellIs" dxfId="2053" priority="50" stopIfTrue="1" operator="greaterThan">
      <formula>$E$143</formula>
    </cfRule>
  </conditionalFormatting>
  <conditionalFormatting sqref="H121:Q121">
    <cfRule type="cellIs" dxfId="2052" priority="47" operator="greaterThan">
      <formula>$E$121</formula>
    </cfRule>
    <cfRule type="cellIs" dxfId="2051" priority="48" operator="lessThanOrEqual">
      <formula>$E$121</formula>
    </cfRule>
  </conditionalFormatting>
  <conditionalFormatting sqref="H124:Q124">
    <cfRule type="cellIs" dxfId="2050" priority="45" stopIfTrue="1" operator="greaterThanOrEqual">
      <formula>$E$124</formula>
    </cfRule>
    <cfRule type="cellIs" dxfId="2049" priority="46" stopIfTrue="1" operator="lessThan">
      <formula>$E$124</formula>
    </cfRule>
  </conditionalFormatting>
  <conditionalFormatting sqref="H126:Q126">
    <cfRule type="cellIs" dxfId="2048" priority="43" stopIfTrue="1" operator="lessThan">
      <formula>$E$126</formula>
    </cfRule>
    <cfRule type="cellIs" dxfId="2047" priority="44" stopIfTrue="1" operator="greaterThanOrEqual">
      <formula>$E$126</formula>
    </cfRule>
  </conditionalFormatting>
  <conditionalFormatting sqref="H125:Q125">
    <cfRule type="cellIs" dxfId="2046" priority="41" stopIfTrue="1" operator="greaterThan">
      <formula>$E$125</formula>
    </cfRule>
    <cfRule type="cellIs" dxfId="2045" priority="42" stopIfTrue="1" operator="lessThanOrEqual">
      <formula>$E$125</formula>
    </cfRule>
  </conditionalFormatting>
  <conditionalFormatting sqref="H122:Q122">
    <cfRule type="cellIs" dxfId="2044" priority="30" stopIfTrue="1" operator="between">
      <formula>$D$122</formula>
      <formula>$E$122</formula>
    </cfRule>
    <cfRule type="cellIs" dxfId="2043" priority="39" stopIfTrue="1" operator="lessThanOrEqual">
      <formula>$D$122</formula>
    </cfRule>
    <cfRule type="cellIs" dxfId="2042" priority="40" stopIfTrue="1" operator="greaterThan">
      <formula>$E$122</formula>
    </cfRule>
  </conditionalFormatting>
  <conditionalFormatting sqref="H142:Q142">
    <cfRule type="cellIs" dxfId="2041" priority="37" stopIfTrue="1" operator="greaterThan">
      <formula>$E$142</formula>
    </cfRule>
    <cfRule type="cellIs" dxfId="2040" priority="38" stopIfTrue="1" operator="lessThanOrEqual">
      <formula>$E$142</formula>
    </cfRule>
  </conditionalFormatting>
  <conditionalFormatting sqref="H130:Q130">
    <cfRule type="cellIs" dxfId="2039" priority="35" stopIfTrue="1" operator="greaterThan">
      <formula>$E$130</formula>
    </cfRule>
    <cfRule type="cellIs" dxfId="2038" priority="36" stopIfTrue="1" operator="lessThanOrEqual">
      <formula>$E$130</formula>
    </cfRule>
  </conditionalFormatting>
  <conditionalFormatting sqref="H131:Q131">
    <cfRule type="cellIs" dxfId="2037" priority="33" stopIfTrue="1" operator="lessThan">
      <formula>$E$131</formula>
    </cfRule>
    <cfRule type="cellIs" dxfId="2036" priority="34" stopIfTrue="1" operator="greaterThanOrEqual">
      <formula>$E$131</formula>
    </cfRule>
  </conditionalFormatting>
  <conditionalFormatting sqref="H114:Q114">
    <cfRule type="cellIs" dxfId="2035" priority="53" stopIfTrue="1" operator="lessThan">
      <formula>$D$114</formula>
    </cfRule>
    <cfRule type="cellIs" dxfId="2034" priority="54" stopIfTrue="1" operator="between">
      <formula>$D$114</formula>
      <formula>$E$114</formula>
    </cfRule>
    <cfRule type="cellIs" dxfId="2033" priority="55" stopIfTrue="1" operator="greaterThan">
      <formula>$E$114</formula>
    </cfRule>
  </conditionalFormatting>
  <conditionalFormatting sqref="H138:Q138">
    <cfRule type="cellIs" dxfId="2032" priority="56" stopIfTrue="1" operator="lessThan">
      <formula>$E$138</formula>
    </cfRule>
    <cfRule type="cellIs" dxfId="2031" priority="57" stopIfTrue="1" operator="between">
      <formula>$D$138</formula>
      <formula>$E$138</formula>
    </cfRule>
    <cfRule type="cellIs" dxfId="2030" priority="58" stopIfTrue="1" operator="greaterThanOrEqual">
      <formula>$D$138</formula>
    </cfRule>
  </conditionalFormatting>
  <conditionalFormatting sqref="H111:Q111">
    <cfRule type="cellIs" dxfId="2029" priority="31" stopIfTrue="1" operator="lessThan">
      <formula>$E$111</formula>
    </cfRule>
    <cfRule type="cellIs" dxfId="2028" priority="32" stopIfTrue="1" operator="greaterThan">
      <formula>$E$111</formula>
    </cfRule>
  </conditionalFormatting>
  <conditionalFormatting sqref="R141:S141">
    <cfRule type="cellIs" dxfId="2027" priority="22" stopIfTrue="1" operator="greaterThan">
      <formula>$E$141</formula>
    </cfRule>
    <cfRule type="cellIs" dxfId="2026" priority="23" stopIfTrue="1" operator="lessThanOrEqual">
      <formula>$E$141</formula>
    </cfRule>
  </conditionalFormatting>
  <conditionalFormatting sqref="R143:S143">
    <cfRule type="cellIs" dxfId="2025" priority="20" stopIfTrue="1" operator="lessThanOrEqual">
      <formula>$E$143</formula>
    </cfRule>
    <cfRule type="cellIs" dxfId="2024" priority="21" stopIfTrue="1" operator="greaterThan">
      <formula>$E$143</formula>
    </cfRule>
  </conditionalFormatting>
  <conditionalFormatting sqref="R121:S121">
    <cfRule type="cellIs" dxfId="2023" priority="18" operator="greaterThan">
      <formula>$E$121</formula>
    </cfRule>
    <cfRule type="cellIs" dxfId="2022" priority="19" operator="lessThanOrEqual">
      <formula>$E$121</formula>
    </cfRule>
  </conditionalFormatting>
  <conditionalFormatting sqref="R124:S124">
    <cfRule type="cellIs" dxfId="2021" priority="16" stopIfTrue="1" operator="greaterThanOrEqual">
      <formula>$E$124</formula>
    </cfRule>
    <cfRule type="cellIs" dxfId="2020" priority="17" stopIfTrue="1" operator="lessThan">
      <formula>$E$124</formula>
    </cfRule>
  </conditionalFormatting>
  <conditionalFormatting sqref="R126:S126">
    <cfRule type="cellIs" dxfId="2019" priority="14" stopIfTrue="1" operator="lessThan">
      <formula>$E$126</formula>
    </cfRule>
    <cfRule type="cellIs" dxfId="2018" priority="15" stopIfTrue="1" operator="greaterThanOrEqual">
      <formula>$E$126</formula>
    </cfRule>
  </conditionalFormatting>
  <conditionalFormatting sqref="R125:S125">
    <cfRule type="cellIs" dxfId="2017" priority="12" stopIfTrue="1" operator="greaterThan">
      <formula>$E$125</formula>
    </cfRule>
    <cfRule type="cellIs" dxfId="2016" priority="13" stopIfTrue="1" operator="lessThanOrEqual">
      <formula>$E$125</formula>
    </cfRule>
  </conditionalFormatting>
  <conditionalFormatting sqref="R122:S122">
    <cfRule type="cellIs" dxfId="2015" priority="1" stopIfTrue="1" operator="between">
      <formula>$D$122</formula>
      <formula>$E$122</formula>
    </cfRule>
    <cfRule type="cellIs" dxfId="2014" priority="10" stopIfTrue="1" operator="lessThanOrEqual">
      <formula>$D$122</formula>
    </cfRule>
    <cfRule type="cellIs" dxfId="2013" priority="11" stopIfTrue="1" operator="greaterThan">
      <formula>$E$122</formula>
    </cfRule>
  </conditionalFormatting>
  <conditionalFormatting sqref="R142:S142">
    <cfRule type="cellIs" dxfId="2012" priority="8" stopIfTrue="1" operator="greaterThan">
      <formula>$E$142</formula>
    </cfRule>
    <cfRule type="cellIs" dxfId="2011" priority="9" stopIfTrue="1" operator="lessThanOrEqual">
      <formula>$E$142</formula>
    </cfRule>
  </conditionalFormatting>
  <conditionalFormatting sqref="R130:S130">
    <cfRule type="cellIs" dxfId="2010" priority="6" stopIfTrue="1" operator="greaterThan">
      <formula>$E$130</formula>
    </cfRule>
    <cfRule type="cellIs" dxfId="2009" priority="7" stopIfTrue="1" operator="lessThanOrEqual">
      <formula>$E$130</formula>
    </cfRule>
  </conditionalFormatting>
  <conditionalFormatting sqref="R131:S131">
    <cfRule type="cellIs" dxfId="2008" priority="4" stopIfTrue="1" operator="lessThan">
      <formula>$E$131</formula>
    </cfRule>
    <cfRule type="cellIs" dxfId="2007" priority="5" stopIfTrue="1" operator="greaterThanOrEqual">
      <formula>$E$131</formula>
    </cfRule>
  </conditionalFormatting>
  <conditionalFormatting sqref="R114:S114">
    <cfRule type="cellIs" dxfId="2006" priority="24" stopIfTrue="1" operator="lessThan">
      <formula>$D$114</formula>
    </cfRule>
    <cfRule type="cellIs" dxfId="2005" priority="25" stopIfTrue="1" operator="between">
      <formula>$D$114</formula>
      <formula>$E$114</formula>
    </cfRule>
    <cfRule type="cellIs" dxfId="2004" priority="26" stopIfTrue="1" operator="greaterThan">
      <formula>$E$114</formula>
    </cfRule>
  </conditionalFormatting>
  <conditionalFormatting sqref="R138:S138">
    <cfRule type="cellIs" dxfId="2003" priority="27" stopIfTrue="1" operator="lessThan">
      <formula>$E$138</formula>
    </cfRule>
    <cfRule type="cellIs" dxfId="2002" priority="28" stopIfTrue="1" operator="between">
      <formula>$D$138</formula>
      <formula>$E$138</formula>
    </cfRule>
    <cfRule type="cellIs" dxfId="2001" priority="29" stopIfTrue="1" operator="greaterThanOrEqual">
      <formula>$D$138</formula>
    </cfRule>
  </conditionalFormatting>
  <conditionalFormatting sqref="R111:S111">
    <cfRule type="cellIs" dxfId="2000" priority="2" stopIfTrue="1" operator="lessThan">
      <formula>$E$111</formula>
    </cfRule>
    <cfRule type="cellIs" dxfId="1999" priority="3" stopIfTrue="1" operator="greaterThan">
      <formula>$E$111</formula>
    </cfRule>
  </conditionalFormatting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F7B163-B877-446F-A6CD-AA5532DB010B}">
  <dimension ref="A1:U202"/>
  <sheetViews>
    <sheetView zoomScaleNormal="100" workbookViewId="0">
      <pane ySplit="3" topLeftCell="A4" activePane="bottomLeft" state="frozen"/>
      <selection activeCell="W16" sqref="W16"/>
      <selection pane="bottomLeft" activeCell="G2" sqref="G2"/>
    </sheetView>
  </sheetViews>
  <sheetFormatPr defaultRowHeight="11.25" outlineLevelCol="1" x14ac:dyDescent="0.2"/>
  <cols>
    <col min="1" max="1" width="6.140625" style="47" customWidth="1"/>
    <col min="2" max="2" width="6.85546875" style="47" customWidth="1"/>
    <col min="3" max="3" width="9.140625" style="47"/>
    <col min="4" max="4" width="7.85546875" style="47" customWidth="1"/>
    <col min="5" max="5" width="5.140625" style="47" bestFit="1" customWidth="1"/>
    <col min="6" max="6" width="2" style="8" bestFit="1" customWidth="1"/>
    <col min="7" max="7" width="29.140625" style="47" customWidth="1"/>
    <col min="8" max="12" width="8.7109375" style="47" hidden="1" customWidth="1" outlineLevel="1"/>
    <col min="13" max="13" width="8.7109375" style="47" bestFit="1" customWidth="1" collapsed="1"/>
    <col min="14" max="14" width="8.5703125" style="47" customWidth="1"/>
    <col min="15" max="19" width="8.7109375" style="47" bestFit="1" customWidth="1"/>
    <col min="20" max="256" width="9.140625" style="47"/>
    <col min="257" max="257" width="6.140625" style="47" customWidth="1"/>
    <col min="258" max="258" width="6.85546875" style="47" customWidth="1"/>
    <col min="259" max="259" width="9.140625" style="47"/>
    <col min="260" max="260" width="7.85546875" style="47" customWidth="1"/>
    <col min="261" max="261" width="5.140625" style="47" bestFit="1" customWidth="1"/>
    <col min="262" max="262" width="2" style="47" bestFit="1" customWidth="1"/>
    <col min="263" max="263" width="29.140625" style="47" customWidth="1"/>
    <col min="264" max="268" width="0" style="47" hidden="1" customWidth="1"/>
    <col min="269" max="269" width="8.7109375" style="47" bestFit="1" customWidth="1"/>
    <col min="270" max="270" width="8.5703125" style="47" customWidth="1"/>
    <col min="271" max="275" width="8.7109375" style="47" bestFit="1" customWidth="1"/>
    <col min="276" max="512" width="9.140625" style="47"/>
    <col min="513" max="513" width="6.140625" style="47" customWidth="1"/>
    <col min="514" max="514" width="6.85546875" style="47" customWidth="1"/>
    <col min="515" max="515" width="9.140625" style="47"/>
    <col min="516" max="516" width="7.85546875" style="47" customWidth="1"/>
    <col min="517" max="517" width="5.140625" style="47" bestFit="1" customWidth="1"/>
    <col min="518" max="518" width="2" style="47" bestFit="1" customWidth="1"/>
    <col min="519" max="519" width="29.140625" style="47" customWidth="1"/>
    <col min="520" max="524" width="0" style="47" hidden="1" customWidth="1"/>
    <col min="525" max="525" width="8.7109375" style="47" bestFit="1" customWidth="1"/>
    <col min="526" max="526" width="8.5703125" style="47" customWidth="1"/>
    <col min="527" max="531" width="8.7109375" style="47" bestFit="1" customWidth="1"/>
    <col min="532" max="768" width="9.140625" style="47"/>
    <col min="769" max="769" width="6.140625" style="47" customWidth="1"/>
    <col min="770" max="770" width="6.85546875" style="47" customWidth="1"/>
    <col min="771" max="771" width="9.140625" style="47"/>
    <col min="772" max="772" width="7.85546875" style="47" customWidth="1"/>
    <col min="773" max="773" width="5.140625" style="47" bestFit="1" customWidth="1"/>
    <col min="774" max="774" width="2" style="47" bestFit="1" customWidth="1"/>
    <col min="775" max="775" width="29.140625" style="47" customWidth="1"/>
    <col min="776" max="780" width="0" style="47" hidden="1" customWidth="1"/>
    <col min="781" max="781" width="8.7109375" style="47" bestFit="1" customWidth="1"/>
    <col min="782" max="782" width="8.5703125" style="47" customWidth="1"/>
    <col min="783" max="787" width="8.7109375" style="47" bestFit="1" customWidth="1"/>
    <col min="788" max="1024" width="9.140625" style="47"/>
    <col min="1025" max="1025" width="6.140625" style="47" customWidth="1"/>
    <col min="1026" max="1026" width="6.85546875" style="47" customWidth="1"/>
    <col min="1027" max="1027" width="9.140625" style="47"/>
    <col min="1028" max="1028" width="7.85546875" style="47" customWidth="1"/>
    <col min="1029" max="1029" width="5.140625" style="47" bestFit="1" customWidth="1"/>
    <col min="1030" max="1030" width="2" style="47" bestFit="1" customWidth="1"/>
    <col min="1031" max="1031" width="29.140625" style="47" customWidth="1"/>
    <col min="1032" max="1036" width="0" style="47" hidden="1" customWidth="1"/>
    <col min="1037" max="1037" width="8.7109375" style="47" bestFit="1" customWidth="1"/>
    <col min="1038" max="1038" width="8.5703125" style="47" customWidth="1"/>
    <col min="1039" max="1043" width="8.7109375" style="47" bestFit="1" customWidth="1"/>
    <col min="1044" max="1280" width="9.140625" style="47"/>
    <col min="1281" max="1281" width="6.140625" style="47" customWidth="1"/>
    <col min="1282" max="1282" width="6.85546875" style="47" customWidth="1"/>
    <col min="1283" max="1283" width="9.140625" style="47"/>
    <col min="1284" max="1284" width="7.85546875" style="47" customWidth="1"/>
    <col min="1285" max="1285" width="5.140625" style="47" bestFit="1" customWidth="1"/>
    <col min="1286" max="1286" width="2" style="47" bestFit="1" customWidth="1"/>
    <col min="1287" max="1287" width="29.140625" style="47" customWidth="1"/>
    <col min="1288" max="1292" width="0" style="47" hidden="1" customWidth="1"/>
    <col min="1293" max="1293" width="8.7109375" style="47" bestFit="1" customWidth="1"/>
    <col min="1294" max="1294" width="8.5703125" style="47" customWidth="1"/>
    <col min="1295" max="1299" width="8.7109375" style="47" bestFit="1" customWidth="1"/>
    <col min="1300" max="1536" width="9.140625" style="47"/>
    <col min="1537" max="1537" width="6.140625" style="47" customWidth="1"/>
    <col min="1538" max="1538" width="6.85546875" style="47" customWidth="1"/>
    <col min="1539" max="1539" width="9.140625" style="47"/>
    <col min="1540" max="1540" width="7.85546875" style="47" customWidth="1"/>
    <col min="1541" max="1541" width="5.140625" style="47" bestFit="1" customWidth="1"/>
    <col min="1542" max="1542" width="2" style="47" bestFit="1" customWidth="1"/>
    <col min="1543" max="1543" width="29.140625" style="47" customWidth="1"/>
    <col min="1544" max="1548" width="0" style="47" hidden="1" customWidth="1"/>
    <col min="1549" max="1549" width="8.7109375" style="47" bestFit="1" customWidth="1"/>
    <col min="1550" max="1550" width="8.5703125" style="47" customWidth="1"/>
    <col min="1551" max="1555" width="8.7109375" style="47" bestFit="1" customWidth="1"/>
    <col min="1556" max="1792" width="9.140625" style="47"/>
    <col min="1793" max="1793" width="6.140625" style="47" customWidth="1"/>
    <col min="1794" max="1794" width="6.85546875" style="47" customWidth="1"/>
    <col min="1795" max="1795" width="9.140625" style="47"/>
    <col min="1796" max="1796" width="7.85546875" style="47" customWidth="1"/>
    <col min="1797" max="1797" width="5.140625" style="47" bestFit="1" customWidth="1"/>
    <col min="1798" max="1798" width="2" style="47" bestFit="1" customWidth="1"/>
    <col min="1799" max="1799" width="29.140625" style="47" customWidth="1"/>
    <col min="1800" max="1804" width="0" style="47" hidden="1" customWidth="1"/>
    <col min="1805" max="1805" width="8.7109375" style="47" bestFit="1" customWidth="1"/>
    <col min="1806" max="1806" width="8.5703125" style="47" customWidth="1"/>
    <col min="1807" max="1811" width="8.7109375" style="47" bestFit="1" customWidth="1"/>
    <col min="1812" max="2048" width="9.140625" style="47"/>
    <col min="2049" max="2049" width="6.140625" style="47" customWidth="1"/>
    <col min="2050" max="2050" width="6.85546875" style="47" customWidth="1"/>
    <col min="2051" max="2051" width="9.140625" style="47"/>
    <col min="2052" max="2052" width="7.85546875" style="47" customWidth="1"/>
    <col min="2053" max="2053" width="5.140625" style="47" bestFit="1" customWidth="1"/>
    <col min="2054" max="2054" width="2" style="47" bestFit="1" customWidth="1"/>
    <col min="2055" max="2055" width="29.140625" style="47" customWidth="1"/>
    <col min="2056" max="2060" width="0" style="47" hidden="1" customWidth="1"/>
    <col min="2061" max="2061" width="8.7109375" style="47" bestFit="1" customWidth="1"/>
    <col min="2062" max="2062" width="8.5703125" style="47" customWidth="1"/>
    <col min="2063" max="2067" width="8.7109375" style="47" bestFit="1" customWidth="1"/>
    <col min="2068" max="2304" width="9.140625" style="47"/>
    <col min="2305" max="2305" width="6.140625" style="47" customWidth="1"/>
    <col min="2306" max="2306" width="6.85546875" style="47" customWidth="1"/>
    <col min="2307" max="2307" width="9.140625" style="47"/>
    <col min="2308" max="2308" width="7.85546875" style="47" customWidth="1"/>
    <col min="2309" max="2309" width="5.140625" style="47" bestFit="1" customWidth="1"/>
    <col min="2310" max="2310" width="2" style="47" bestFit="1" customWidth="1"/>
    <col min="2311" max="2311" width="29.140625" style="47" customWidth="1"/>
    <col min="2312" max="2316" width="0" style="47" hidden="1" customWidth="1"/>
    <col min="2317" max="2317" width="8.7109375" style="47" bestFit="1" customWidth="1"/>
    <col min="2318" max="2318" width="8.5703125" style="47" customWidth="1"/>
    <col min="2319" max="2323" width="8.7109375" style="47" bestFit="1" customWidth="1"/>
    <col min="2324" max="2560" width="9.140625" style="47"/>
    <col min="2561" max="2561" width="6.140625" style="47" customWidth="1"/>
    <col min="2562" max="2562" width="6.85546875" style="47" customWidth="1"/>
    <col min="2563" max="2563" width="9.140625" style="47"/>
    <col min="2564" max="2564" width="7.85546875" style="47" customWidth="1"/>
    <col min="2565" max="2565" width="5.140625" style="47" bestFit="1" customWidth="1"/>
    <col min="2566" max="2566" width="2" style="47" bestFit="1" customWidth="1"/>
    <col min="2567" max="2567" width="29.140625" style="47" customWidth="1"/>
    <col min="2568" max="2572" width="0" style="47" hidden="1" customWidth="1"/>
    <col min="2573" max="2573" width="8.7109375" style="47" bestFit="1" customWidth="1"/>
    <col min="2574" max="2574" width="8.5703125" style="47" customWidth="1"/>
    <col min="2575" max="2579" width="8.7109375" style="47" bestFit="1" customWidth="1"/>
    <col min="2580" max="2816" width="9.140625" style="47"/>
    <col min="2817" max="2817" width="6.140625" style="47" customWidth="1"/>
    <col min="2818" max="2818" width="6.85546875" style="47" customWidth="1"/>
    <col min="2819" max="2819" width="9.140625" style="47"/>
    <col min="2820" max="2820" width="7.85546875" style="47" customWidth="1"/>
    <col min="2821" max="2821" width="5.140625" style="47" bestFit="1" customWidth="1"/>
    <col min="2822" max="2822" width="2" style="47" bestFit="1" customWidth="1"/>
    <col min="2823" max="2823" width="29.140625" style="47" customWidth="1"/>
    <col min="2824" max="2828" width="0" style="47" hidden="1" customWidth="1"/>
    <col min="2829" max="2829" width="8.7109375" style="47" bestFit="1" customWidth="1"/>
    <col min="2830" max="2830" width="8.5703125" style="47" customWidth="1"/>
    <col min="2831" max="2835" width="8.7109375" style="47" bestFit="1" customWidth="1"/>
    <col min="2836" max="3072" width="9.140625" style="47"/>
    <col min="3073" max="3073" width="6.140625" style="47" customWidth="1"/>
    <col min="3074" max="3074" width="6.85546875" style="47" customWidth="1"/>
    <col min="3075" max="3075" width="9.140625" style="47"/>
    <col min="3076" max="3076" width="7.85546875" style="47" customWidth="1"/>
    <col min="3077" max="3077" width="5.140625" style="47" bestFit="1" customWidth="1"/>
    <col min="3078" max="3078" width="2" style="47" bestFit="1" customWidth="1"/>
    <col min="3079" max="3079" width="29.140625" style="47" customWidth="1"/>
    <col min="3080" max="3084" width="0" style="47" hidden="1" customWidth="1"/>
    <col min="3085" max="3085" width="8.7109375" style="47" bestFit="1" customWidth="1"/>
    <col min="3086" max="3086" width="8.5703125" style="47" customWidth="1"/>
    <col min="3087" max="3091" width="8.7109375" style="47" bestFit="1" customWidth="1"/>
    <col min="3092" max="3328" width="9.140625" style="47"/>
    <col min="3329" max="3329" width="6.140625" style="47" customWidth="1"/>
    <col min="3330" max="3330" width="6.85546875" style="47" customWidth="1"/>
    <col min="3331" max="3331" width="9.140625" style="47"/>
    <col min="3332" max="3332" width="7.85546875" style="47" customWidth="1"/>
    <col min="3333" max="3333" width="5.140625" style="47" bestFit="1" customWidth="1"/>
    <col min="3334" max="3334" width="2" style="47" bestFit="1" customWidth="1"/>
    <col min="3335" max="3335" width="29.140625" style="47" customWidth="1"/>
    <col min="3336" max="3340" width="0" style="47" hidden="1" customWidth="1"/>
    <col min="3341" max="3341" width="8.7109375" style="47" bestFit="1" customWidth="1"/>
    <col min="3342" max="3342" width="8.5703125" style="47" customWidth="1"/>
    <col min="3343" max="3347" width="8.7109375" style="47" bestFit="1" customWidth="1"/>
    <col min="3348" max="3584" width="9.140625" style="47"/>
    <col min="3585" max="3585" width="6.140625" style="47" customWidth="1"/>
    <col min="3586" max="3586" width="6.85546875" style="47" customWidth="1"/>
    <col min="3587" max="3587" width="9.140625" style="47"/>
    <col min="3588" max="3588" width="7.85546875" style="47" customWidth="1"/>
    <col min="3589" max="3589" width="5.140625" style="47" bestFit="1" customWidth="1"/>
    <col min="3590" max="3590" width="2" style="47" bestFit="1" customWidth="1"/>
    <col min="3591" max="3591" width="29.140625" style="47" customWidth="1"/>
    <col min="3592" max="3596" width="0" style="47" hidden="1" customWidth="1"/>
    <col min="3597" max="3597" width="8.7109375" style="47" bestFit="1" customWidth="1"/>
    <col min="3598" max="3598" width="8.5703125" style="47" customWidth="1"/>
    <col min="3599" max="3603" width="8.7109375" style="47" bestFit="1" customWidth="1"/>
    <col min="3604" max="3840" width="9.140625" style="47"/>
    <col min="3841" max="3841" width="6.140625" style="47" customWidth="1"/>
    <col min="3842" max="3842" width="6.85546875" style="47" customWidth="1"/>
    <col min="3843" max="3843" width="9.140625" style="47"/>
    <col min="3844" max="3844" width="7.85546875" style="47" customWidth="1"/>
    <col min="3845" max="3845" width="5.140625" style="47" bestFit="1" customWidth="1"/>
    <col min="3846" max="3846" width="2" style="47" bestFit="1" customWidth="1"/>
    <col min="3847" max="3847" width="29.140625" style="47" customWidth="1"/>
    <col min="3848" max="3852" width="0" style="47" hidden="1" customWidth="1"/>
    <col min="3853" max="3853" width="8.7109375" style="47" bestFit="1" customWidth="1"/>
    <col min="3854" max="3854" width="8.5703125" style="47" customWidth="1"/>
    <col min="3855" max="3859" width="8.7109375" style="47" bestFit="1" customWidth="1"/>
    <col min="3860" max="4096" width="9.140625" style="47"/>
    <col min="4097" max="4097" width="6.140625" style="47" customWidth="1"/>
    <col min="4098" max="4098" width="6.85546875" style="47" customWidth="1"/>
    <col min="4099" max="4099" width="9.140625" style="47"/>
    <col min="4100" max="4100" width="7.85546875" style="47" customWidth="1"/>
    <col min="4101" max="4101" width="5.140625" style="47" bestFit="1" customWidth="1"/>
    <col min="4102" max="4102" width="2" style="47" bestFit="1" customWidth="1"/>
    <col min="4103" max="4103" width="29.140625" style="47" customWidth="1"/>
    <col min="4104" max="4108" width="0" style="47" hidden="1" customWidth="1"/>
    <col min="4109" max="4109" width="8.7109375" style="47" bestFit="1" customWidth="1"/>
    <col min="4110" max="4110" width="8.5703125" style="47" customWidth="1"/>
    <col min="4111" max="4115" width="8.7109375" style="47" bestFit="1" customWidth="1"/>
    <col min="4116" max="4352" width="9.140625" style="47"/>
    <col min="4353" max="4353" width="6.140625" style="47" customWidth="1"/>
    <col min="4354" max="4354" width="6.85546875" style="47" customWidth="1"/>
    <col min="4355" max="4355" width="9.140625" style="47"/>
    <col min="4356" max="4356" width="7.85546875" style="47" customWidth="1"/>
    <col min="4357" max="4357" width="5.140625" style="47" bestFit="1" customWidth="1"/>
    <col min="4358" max="4358" width="2" style="47" bestFit="1" customWidth="1"/>
    <col min="4359" max="4359" width="29.140625" style="47" customWidth="1"/>
    <col min="4360" max="4364" width="0" style="47" hidden="1" customWidth="1"/>
    <col min="4365" max="4365" width="8.7109375" style="47" bestFit="1" customWidth="1"/>
    <col min="4366" max="4366" width="8.5703125" style="47" customWidth="1"/>
    <col min="4367" max="4371" width="8.7109375" style="47" bestFit="1" customWidth="1"/>
    <col min="4372" max="4608" width="9.140625" style="47"/>
    <col min="4609" max="4609" width="6.140625" style="47" customWidth="1"/>
    <col min="4610" max="4610" width="6.85546875" style="47" customWidth="1"/>
    <col min="4611" max="4611" width="9.140625" style="47"/>
    <col min="4612" max="4612" width="7.85546875" style="47" customWidth="1"/>
    <col min="4613" max="4613" width="5.140625" style="47" bestFit="1" customWidth="1"/>
    <col min="4614" max="4614" width="2" style="47" bestFit="1" customWidth="1"/>
    <col min="4615" max="4615" width="29.140625" style="47" customWidth="1"/>
    <col min="4616" max="4620" width="0" style="47" hidden="1" customWidth="1"/>
    <col min="4621" max="4621" width="8.7109375" style="47" bestFit="1" customWidth="1"/>
    <col min="4622" max="4622" width="8.5703125" style="47" customWidth="1"/>
    <col min="4623" max="4627" width="8.7109375" style="47" bestFit="1" customWidth="1"/>
    <col min="4628" max="4864" width="9.140625" style="47"/>
    <col min="4865" max="4865" width="6.140625" style="47" customWidth="1"/>
    <col min="4866" max="4866" width="6.85546875" style="47" customWidth="1"/>
    <col min="4867" max="4867" width="9.140625" style="47"/>
    <col min="4868" max="4868" width="7.85546875" style="47" customWidth="1"/>
    <col min="4869" max="4869" width="5.140625" style="47" bestFit="1" customWidth="1"/>
    <col min="4870" max="4870" width="2" style="47" bestFit="1" customWidth="1"/>
    <col min="4871" max="4871" width="29.140625" style="47" customWidth="1"/>
    <col min="4872" max="4876" width="0" style="47" hidden="1" customWidth="1"/>
    <col min="4877" max="4877" width="8.7109375" style="47" bestFit="1" customWidth="1"/>
    <col min="4878" max="4878" width="8.5703125" style="47" customWidth="1"/>
    <col min="4879" max="4883" width="8.7109375" style="47" bestFit="1" customWidth="1"/>
    <col min="4884" max="5120" width="9.140625" style="47"/>
    <col min="5121" max="5121" width="6.140625" style="47" customWidth="1"/>
    <col min="5122" max="5122" width="6.85546875" style="47" customWidth="1"/>
    <col min="5123" max="5123" width="9.140625" style="47"/>
    <col min="5124" max="5124" width="7.85546875" style="47" customWidth="1"/>
    <col min="5125" max="5125" width="5.140625" style="47" bestFit="1" customWidth="1"/>
    <col min="5126" max="5126" width="2" style="47" bestFit="1" customWidth="1"/>
    <col min="5127" max="5127" width="29.140625" style="47" customWidth="1"/>
    <col min="5128" max="5132" width="0" style="47" hidden="1" customWidth="1"/>
    <col min="5133" max="5133" width="8.7109375" style="47" bestFit="1" customWidth="1"/>
    <col min="5134" max="5134" width="8.5703125" style="47" customWidth="1"/>
    <col min="5135" max="5139" width="8.7109375" style="47" bestFit="1" customWidth="1"/>
    <col min="5140" max="5376" width="9.140625" style="47"/>
    <col min="5377" max="5377" width="6.140625" style="47" customWidth="1"/>
    <col min="5378" max="5378" width="6.85546875" style="47" customWidth="1"/>
    <col min="5379" max="5379" width="9.140625" style="47"/>
    <col min="5380" max="5380" width="7.85546875" style="47" customWidth="1"/>
    <col min="5381" max="5381" width="5.140625" style="47" bestFit="1" customWidth="1"/>
    <col min="5382" max="5382" width="2" style="47" bestFit="1" customWidth="1"/>
    <col min="5383" max="5383" width="29.140625" style="47" customWidth="1"/>
    <col min="5384" max="5388" width="0" style="47" hidden="1" customWidth="1"/>
    <col min="5389" max="5389" width="8.7109375" style="47" bestFit="1" customWidth="1"/>
    <col min="5390" max="5390" width="8.5703125" style="47" customWidth="1"/>
    <col min="5391" max="5395" width="8.7109375" style="47" bestFit="1" customWidth="1"/>
    <col min="5396" max="5632" width="9.140625" style="47"/>
    <col min="5633" max="5633" width="6.140625" style="47" customWidth="1"/>
    <col min="5634" max="5634" width="6.85546875" style="47" customWidth="1"/>
    <col min="5635" max="5635" width="9.140625" style="47"/>
    <col min="5636" max="5636" width="7.85546875" style="47" customWidth="1"/>
    <col min="5637" max="5637" width="5.140625" style="47" bestFit="1" customWidth="1"/>
    <col min="5638" max="5638" width="2" style="47" bestFit="1" customWidth="1"/>
    <col min="5639" max="5639" width="29.140625" style="47" customWidth="1"/>
    <col min="5640" max="5644" width="0" style="47" hidden="1" customWidth="1"/>
    <col min="5645" max="5645" width="8.7109375" style="47" bestFit="1" customWidth="1"/>
    <col min="5646" max="5646" width="8.5703125" style="47" customWidth="1"/>
    <col min="5647" max="5651" width="8.7109375" style="47" bestFit="1" customWidth="1"/>
    <col min="5652" max="5888" width="9.140625" style="47"/>
    <col min="5889" max="5889" width="6.140625" style="47" customWidth="1"/>
    <col min="5890" max="5890" width="6.85546875" style="47" customWidth="1"/>
    <col min="5891" max="5891" width="9.140625" style="47"/>
    <col min="5892" max="5892" width="7.85546875" style="47" customWidth="1"/>
    <col min="5893" max="5893" width="5.140625" style="47" bestFit="1" customWidth="1"/>
    <col min="5894" max="5894" width="2" style="47" bestFit="1" customWidth="1"/>
    <col min="5895" max="5895" width="29.140625" style="47" customWidth="1"/>
    <col min="5896" max="5900" width="0" style="47" hidden="1" customWidth="1"/>
    <col min="5901" max="5901" width="8.7109375" style="47" bestFit="1" customWidth="1"/>
    <col min="5902" max="5902" width="8.5703125" style="47" customWidth="1"/>
    <col min="5903" max="5907" width="8.7109375" style="47" bestFit="1" customWidth="1"/>
    <col min="5908" max="6144" width="9.140625" style="47"/>
    <col min="6145" max="6145" width="6.140625" style="47" customWidth="1"/>
    <col min="6146" max="6146" width="6.85546875" style="47" customWidth="1"/>
    <col min="6147" max="6147" width="9.140625" style="47"/>
    <col min="6148" max="6148" width="7.85546875" style="47" customWidth="1"/>
    <col min="6149" max="6149" width="5.140625" style="47" bestFit="1" customWidth="1"/>
    <col min="6150" max="6150" width="2" style="47" bestFit="1" customWidth="1"/>
    <col min="6151" max="6151" width="29.140625" style="47" customWidth="1"/>
    <col min="6152" max="6156" width="0" style="47" hidden="1" customWidth="1"/>
    <col min="6157" max="6157" width="8.7109375" style="47" bestFit="1" customWidth="1"/>
    <col min="6158" max="6158" width="8.5703125" style="47" customWidth="1"/>
    <col min="6159" max="6163" width="8.7109375" style="47" bestFit="1" customWidth="1"/>
    <col min="6164" max="6400" width="9.140625" style="47"/>
    <col min="6401" max="6401" width="6.140625" style="47" customWidth="1"/>
    <col min="6402" max="6402" width="6.85546875" style="47" customWidth="1"/>
    <col min="6403" max="6403" width="9.140625" style="47"/>
    <col min="6404" max="6404" width="7.85546875" style="47" customWidth="1"/>
    <col min="6405" max="6405" width="5.140625" style="47" bestFit="1" customWidth="1"/>
    <col min="6406" max="6406" width="2" style="47" bestFit="1" customWidth="1"/>
    <col min="6407" max="6407" width="29.140625" style="47" customWidth="1"/>
    <col min="6408" max="6412" width="0" style="47" hidden="1" customWidth="1"/>
    <col min="6413" max="6413" width="8.7109375" style="47" bestFit="1" customWidth="1"/>
    <col min="6414" max="6414" width="8.5703125" style="47" customWidth="1"/>
    <col min="6415" max="6419" width="8.7109375" style="47" bestFit="1" customWidth="1"/>
    <col min="6420" max="6656" width="9.140625" style="47"/>
    <col min="6657" max="6657" width="6.140625" style="47" customWidth="1"/>
    <col min="6658" max="6658" width="6.85546875" style="47" customWidth="1"/>
    <col min="6659" max="6659" width="9.140625" style="47"/>
    <col min="6660" max="6660" width="7.85546875" style="47" customWidth="1"/>
    <col min="6661" max="6661" width="5.140625" style="47" bestFit="1" customWidth="1"/>
    <col min="6662" max="6662" width="2" style="47" bestFit="1" customWidth="1"/>
    <col min="6663" max="6663" width="29.140625" style="47" customWidth="1"/>
    <col min="6664" max="6668" width="0" style="47" hidden="1" customWidth="1"/>
    <col min="6669" max="6669" width="8.7109375" style="47" bestFit="1" customWidth="1"/>
    <col min="6670" max="6670" width="8.5703125" style="47" customWidth="1"/>
    <col min="6671" max="6675" width="8.7109375" style="47" bestFit="1" customWidth="1"/>
    <col min="6676" max="6912" width="9.140625" style="47"/>
    <col min="6913" max="6913" width="6.140625" style="47" customWidth="1"/>
    <col min="6914" max="6914" width="6.85546875" style="47" customWidth="1"/>
    <col min="6915" max="6915" width="9.140625" style="47"/>
    <col min="6916" max="6916" width="7.85546875" style="47" customWidth="1"/>
    <col min="6917" max="6917" width="5.140625" style="47" bestFit="1" customWidth="1"/>
    <col min="6918" max="6918" width="2" style="47" bestFit="1" customWidth="1"/>
    <col min="6919" max="6919" width="29.140625" style="47" customWidth="1"/>
    <col min="6920" max="6924" width="0" style="47" hidden="1" customWidth="1"/>
    <col min="6925" max="6925" width="8.7109375" style="47" bestFit="1" customWidth="1"/>
    <col min="6926" max="6926" width="8.5703125" style="47" customWidth="1"/>
    <col min="6927" max="6931" width="8.7109375" style="47" bestFit="1" customWidth="1"/>
    <col min="6932" max="7168" width="9.140625" style="47"/>
    <col min="7169" max="7169" width="6.140625" style="47" customWidth="1"/>
    <col min="7170" max="7170" width="6.85546875" style="47" customWidth="1"/>
    <col min="7171" max="7171" width="9.140625" style="47"/>
    <col min="7172" max="7172" width="7.85546875" style="47" customWidth="1"/>
    <col min="7173" max="7173" width="5.140625" style="47" bestFit="1" customWidth="1"/>
    <col min="7174" max="7174" width="2" style="47" bestFit="1" customWidth="1"/>
    <col min="7175" max="7175" width="29.140625" style="47" customWidth="1"/>
    <col min="7176" max="7180" width="0" style="47" hidden="1" customWidth="1"/>
    <col min="7181" max="7181" width="8.7109375" style="47" bestFit="1" customWidth="1"/>
    <col min="7182" max="7182" width="8.5703125" style="47" customWidth="1"/>
    <col min="7183" max="7187" width="8.7109375" style="47" bestFit="1" customWidth="1"/>
    <col min="7188" max="7424" width="9.140625" style="47"/>
    <col min="7425" max="7425" width="6.140625" style="47" customWidth="1"/>
    <col min="7426" max="7426" width="6.85546875" style="47" customWidth="1"/>
    <col min="7427" max="7427" width="9.140625" style="47"/>
    <col min="7428" max="7428" width="7.85546875" style="47" customWidth="1"/>
    <col min="7429" max="7429" width="5.140625" style="47" bestFit="1" customWidth="1"/>
    <col min="7430" max="7430" width="2" style="47" bestFit="1" customWidth="1"/>
    <col min="7431" max="7431" width="29.140625" style="47" customWidth="1"/>
    <col min="7432" max="7436" width="0" style="47" hidden="1" customWidth="1"/>
    <col min="7437" max="7437" width="8.7109375" style="47" bestFit="1" customWidth="1"/>
    <col min="7438" max="7438" width="8.5703125" style="47" customWidth="1"/>
    <col min="7439" max="7443" width="8.7109375" style="47" bestFit="1" customWidth="1"/>
    <col min="7444" max="7680" width="9.140625" style="47"/>
    <col min="7681" max="7681" width="6.140625" style="47" customWidth="1"/>
    <col min="7682" max="7682" width="6.85546875" style="47" customWidth="1"/>
    <col min="7683" max="7683" width="9.140625" style="47"/>
    <col min="7684" max="7684" width="7.85546875" style="47" customWidth="1"/>
    <col min="7685" max="7685" width="5.140625" style="47" bestFit="1" customWidth="1"/>
    <col min="7686" max="7686" width="2" style="47" bestFit="1" customWidth="1"/>
    <col min="7687" max="7687" width="29.140625" style="47" customWidth="1"/>
    <col min="7688" max="7692" width="0" style="47" hidden="1" customWidth="1"/>
    <col min="7693" max="7693" width="8.7109375" style="47" bestFit="1" customWidth="1"/>
    <col min="7694" max="7694" width="8.5703125" style="47" customWidth="1"/>
    <col min="7695" max="7699" width="8.7109375" style="47" bestFit="1" customWidth="1"/>
    <col min="7700" max="7936" width="9.140625" style="47"/>
    <col min="7937" max="7937" width="6.140625" style="47" customWidth="1"/>
    <col min="7938" max="7938" width="6.85546875" style="47" customWidth="1"/>
    <col min="7939" max="7939" width="9.140625" style="47"/>
    <col min="7940" max="7940" width="7.85546875" style="47" customWidth="1"/>
    <col min="7941" max="7941" width="5.140625" style="47" bestFit="1" customWidth="1"/>
    <col min="7942" max="7942" width="2" style="47" bestFit="1" customWidth="1"/>
    <col min="7943" max="7943" width="29.140625" style="47" customWidth="1"/>
    <col min="7944" max="7948" width="0" style="47" hidden="1" customWidth="1"/>
    <col min="7949" max="7949" width="8.7109375" style="47" bestFit="1" customWidth="1"/>
    <col min="7950" max="7950" width="8.5703125" style="47" customWidth="1"/>
    <col min="7951" max="7955" width="8.7109375" style="47" bestFit="1" customWidth="1"/>
    <col min="7956" max="8192" width="9.140625" style="47"/>
    <col min="8193" max="8193" width="6.140625" style="47" customWidth="1"/>
    <col min="8194" max="8194" width="6.85546875" style="47" customWidth="1"/>
    <col min="8195" max="8195" width="9.140625" style="47"/>
    <col min="8196" max="8196" width="7.85546875" style="47" customWidth="1"/>
    <col min="8197" max="8197" width="5.140625" style="47" bestFit="1" customWidth="1"/>
    <col min="8198" max="8198" width="2" style="47" bestFit="1" customWidth="1"/>
    <col min="8199" max="8199" width="29.140625" style="47" customWidth="1"/>
    <col min="8200" max="8204" width="0" style="47" hidden="1" customWidth="1"/>
    <col min="8205" max="8205" width="8.7109375" style="47" bestFit="1" customWidth="1"/>
    <col min="8206" max="8206" width="8.5703125" style="47" customWidth="1"/>
    <col min="8207" max="8211" width="8.7109375" style="47" bestFit="1" customWidth="1"/>
    <col min="8212" max="8448" width="9.140625" style="47"/>
    <col min="8449" max="8449" width="6.140625" style="47" customWidth="1"/>
    <col min="8450" max="8450" width="6.85546875" style="47" customWidth="1"/>
    <col min="8451" max="8451" width="9.140625" style="47"/>
    <col min="8452" max="8452" width="7.85546875" style="47" customWidth="1"/>
    <col min="8453" max="8453" width="5.140625" style="47" bestFit="1" customWidth="1"/>
    <col min="8454" max="8454" width="2" style="47" bestFit="1" customWidth="1"/>
    <col min="8455" max="8455" width="29.140625" style="47" customWidth="1"/>
    <col min="8456" max="8460" width="0" style="47" hidden="1" customWidth="1"/>
    <col min="8461" max="8461" width="8.7109375" style="47" bestFit="1" customWidth="1"/>
    <col min="8462" max="8462" width="8.5703125" style="47" customWidth="1"/>
    <col min="8463" max="8467" width="8.7109375" style="47" bestFit="1" customWidth="1"/>
    <col min="8468" max="8704" width="9.140625" style="47"/>
    <col min="8705" max="8705" width="6.140625" style="47" customWidth="1"/>
    <col min="8706" max="8706" width="6.85546875" style="47" customWidth="1"/>
    <col min="8707" max="8707" width="9.140625" style="47"/>
    <col min="8708" max="8708" width="7.85546875" style="47" customWidth="1"/>
    <col min="8709" max="8709" width="5.140625" style="47" bestFit="1" customWidth="1"/>
    <col min="8710" max="8710" width="2" style="47" bestFit="1" customWidth="1"/>
    <col min="8711" max="8711" width="29.140625" style="47" customWidth="1"/>
    <col min="8712" max="8716" width="0" style="47" hidden="1" customWidth="1"/>
    <col min="8717" max="8717" width="8.7109375" style="47" bestFit="1" customWidth="1"/>
    <col min="8718" max="8718" width="8.5703125" style="47" customWidth="1"/>
    <col min="8719" max="8723" width="8.7109375" style="47" bestFit="1" customWidth="1"/>
    <col min="8724" max="8960" width="9.140625" style="47"/>
    <col min="8961" max="8961" width="6.140625" style="47" customWidth="1"/>
    <col min="8962" max="8962" width="6.85546875" style="47" customWidth="1"/>
    <col min="8963" max="8963" width="9.140625" style="47"/>
    <col min="8964" max="8964" width="7.85546875" style="47" customWidth="1"/>
    <col min="8965" max="8965" width="5.140625" style="47" bestFit="1" customWidth="1"/>
    <col min="8966" max="8966" width="2" style="47" bestFit="1" customWidth="1"/>
    <col min="8967" max="8967" width="29.140625" style="47" customWidth="1"/>
    <col min="8968" max="8972" width="0" style="47" hidden="1" customWidth="1"/>
    <col min="8973" max="8973" width="8.7109375" style="47" bestFit="1" customWidth="1"/>
    <col min="8974" max="8974" width="8.5703125" style="47" customWidth="1"/>
    <col min="8975" max="8979" width="8.7109375" style="47" bestFit="1" customWidth="1"/>
    <col min="8980" max="9216" width="9.140625" style="47"/>
    <col min="9217" max="9217" width="6.140625" style="47" customWidth="1"/>
    <col min="9218" max="9218" width="6.85546875" style="47" customWidth="1"/>
    <col min="9219" max="9219" width="9.140625" style="47"/>
    <col min="9220" max="9220" width="7.85546875" style="47" customWidth="1"/>
    <col min="9221" max="9221" width="5.140625" style="47" bestFit="1" customWidth="1"/>
    <col min="9222" max="9222" width="2" style="47" bestFit="1" customWidth="1"/>
    <col min="9223" max="9223" width="29.140625" style="47" customWidth="1"/>
    <col min="9224" max="9228" width="0" style="47" hidden="1" customWidth="1"/>
    <col min="9229" max="9229" width="8.7109375" style="47" bestFit="1" customWidth="1"/>
    <col min="9230" max="9230" width="8.5703125" style="47" customWidth="1"/>
    <col min="9231" max="9235" width="8.7109375" style="47" bestFit="1" customWidth="1"/>
    <col min="9236" max="9472" width="9.140625" style="47"/>
    <col min="9473" max="9473" width="6.140625" style="47" customWidth="1"/>
    <col min="9474" max="9474" width="6.85546875" style="47" customWidth="1"/>
    <col min="9475" max="9475" width="9.140625" style="47"/>
    <col min="9476" max="9476" width="7.85546875" style="47" customWidth="1"/>
    <col min="9477" max="9477" width="5.140625" style="47" bestFit="1" customWidth="1"/>
    <col min="9478" max="9478" width="2" style="47" bestFit="1" customWidth="1"/>
    <col min="9479" max="9479" width="29.140625" style="47" customWidth="1"/>
    <col min="9480" max="9484" width="0" style="47" hidden="1" customWidth="1"/>
    <col min="9485" max="9485" width="8.7109375" style="47" bestFit="1" customWidth="1"/>
    <col min="9486" max="9486" width="8.5703125" style="47" customWidth="1"/>
    <col min="9487" max="9491" width="8.7109375" style="47" bestFit="1" customWidth="1"/>
    <col min="9492" max="9728" width="9.140625" style="47"/>
    <col min="9729" max="9729" width="6.140625" style="47" customWidth="1"/>
    <col min="9730" max="9730" width="6.85546875" style="47" customWidth="1"/>
    <col min="9731" max="9731" width="9.140625" style="47"/>
    <col min="9732" max="9732" width="7.85546875" style="47" customWidth="1"/>
    <col min="9733" max="9733" width="5.140625" style="47" bestFit="1" customWidth="1"/>
    <col min="9734" max="9734" width="2" style="47" bestFit="1" customWidth="1"/>
    <col min="9735" max="9735" width="29.140625" style="47" customWidth="1"/>
    <col min="9736" max="9740" width="0" style="47" hidden="1" customWidth="1"/>
    <col min="9741" max="9741" width="8.7109375" style="47" bestFit="1" customWidth="1"/>
    <col min="9742" max="9742" width="8.5703125" style="47" customWidth="1"/>
    <col min="9743" max="9747" width="8.7109375" style="47" bestFit="1" customWidth="1"/>
    <col min="9748" max="9984" width="9.140625" style="47"/>
    <col min="9985" max="9985" width="6.140625" style="47" customWidth="1"/>
    <col min="9986" max="9986" width="6.85546875" style="47" customWidth="1"/>
    <col min="9987" max="9987" width="9.140625" style="47"/>
    <col min="9988" max="9988" width="7.85546875" style="47" customWidth="1"/>
    <col min="9989" max="9989" width="5.140625" style="47" bestFit="1" customWidth="1"/>
    <col min="9990" max="9990" width="2" style="47" bestFit="1" customWidth="1"/>
    <col min="9991" max="9991" width="29.140625" style="47" customWidth="1"/>
    <col min="9992" max="9996" width="0" style="47" hidden="1" customWidth="1"/>
    <col min="9997" max="9997" width="8.7109375" style="47" bestFit="1" customWidth="1"/>
    <col min="9998" max="9998" width="8.5703125" style="47" customWidth="1"/>
    <col min="9999" max="10003" width="8.7109375" style="47" bestFit="1" customWidth="1"/>
    <col min="10004" max="10240" width="9.140625" style="47"/>
    <col min="10241" max="10241" width="6.140625" style="47" customWidth="1"/>
    <col min="10242" max="10242" width="6.85546875" style="47" customWidth="1"/>
    <col min="10243" max="10243" width="9.140625" style="47"/>
    <col min="10244" max="10244" width="7.85546875" style="47" customWidth="1"/>
    <col min="10245" max="10245" width="5.140625" style="47" bestFit="1" customWidth="1"/>
    <col min="10246" max="10246" width="2" style="47" bestFit="1" customWidth="1"/>
    <col min="10247" max="10247" width="29.140625" style="47" customWidth="1"/>
    <col min="10248" max="10252" width="0" style="47" hidden="1" customWidth="1"/>
    <col min="10253" max="10253" width="8.7109375" style="47" bestFit="1" customWidth="1"/>
    <col min="10254" max="10254" width="8.5703125" style="47" customWidth="1"/>
    <col min="10255" max="10259" width="8.7109375" style="47" bestFit="1" customWidth="1"/>
    <col min="10260" max="10496" width="9.140625" style="47"/>
    <col min="10497" max="10497" width="6.140625" style="47" customWidth="1"/>
    <col min="10498" max="10498" width="6.85546875" style="47" customWidth="1"/>
    <col min="10499" max="10499" width="9.140625" style="47"/>
    <col min="10500" max="10500" width="7.85546875" style="47" customWidth="1"/>
    <col min="10501" max="10501" width="5.140625" style="47" bestFit="1" customWidth="1"/>
    <col min="10502" max="10502" width="2" style="47" bestFit="1" customWidth="1"/>
    <col min="10503" max="10503" width="29.140625" style="47" customWidth="1"/>
    <col min="10504" max="10508" width="0" style="47" hidden="1" customWidth="1"/>
    <col min="10509" max="10509" width="8.7109375" style="47" bestFit="1" customWidth="1"/>
    <col min="10510" max="10510" width="8.5703125" style="47" customWidth="1"/>
    <col min="10511" max="10515" width="8.7109375" style="47" bestFit="1" customWidth="1"/>
    <col min="10516" max="10752" width="9.140625" style="47"/>
    <col min="10753" max="10753" width="6.140625" style="47" customWidth="1"/>
    <col min="10754" max="10754" width="6.85546875" style="47" customWidth="1"/>
    <col min="10755" max="10755" width="9.140625" style="47"/>
    <col min="10756" max="10756" width="7.85546875" style="47" customWidth="1"/>
    <col min="10757" max="10757" width="5.140625" style="47" bestFit="1" customWidth="1"/>
    <col min="10758" max="10758" width="2" style="47" bestFit="1" customWidth="1"/>
    <col min="10759" max="10759" width="29.140625" style="47" customWidth="1"/>
    <col min="10760" max="10764" width="0" style="47" hidden="1" customWidth="1"/>
    <col min="10765" max="10765" width="8.7109375" style="47" bestFit="1" customWidth="1"/>
    <col min="10766" max="10766" width="8.5703125" style="47" customWidth="1"/>
    <col min="10767" max="10771" width="8.7109375" style="47" bestFit="1" customWidth="1"/>
    <col min="10772" max="11008" width="9.140625" style="47"/>
    <col min="11009" max="11009" width="6.140625" style="47" customWidth="1"/>
    <col min="11010" max="11010" width="6.85546875" style="47" customWidth="1"/>
    <col min="11011" max="11011" width="9.140625" style="47"/>
    <col min="11012" max="11012" width="7.85546875" style="47" customWidth="1"/>
    <col min="11013" max="11013" width="5.140625" style="47" bestFit="1" customWidth="1"/>
    <col min="11014" max="11014" width="2" style="47" bestFit="1" customWidth="1"/>
    <col min="11015" max="11015" width="29.140625" style="47" customWidth="1"/>
    <col min="11016" max="11020" width="0" style="47" hidden="1" customWidth="1"/>
    <col min="11021" max="11021" width="8.7109375" style="47" bestFit="1" customWidth="1"/>
    <col min="11022" max="11022" width="8.5703125" style="47" customWidth="1"/>
    <col min="11023" max="11027" width="8.7109375" style="47" bestFit="1" customWidth="1"/>
    <col min="11028" max="11264" width="9.140625" style="47"/>
    <col min="11265" max="11265" width="6.140625" style="47" customWidth="1"/>
    <col min="11266" max="11266" width="6.85546875" style="47" customWidth="1"/>
    <col min="11267" max="11267" width="9.140625" style="47"/>
    <col min="11268" max="11268" width="7.85546875" style="47" customWidth="1"/>
    <col min="11269" max="11269" width="5.140625" style="47" bestFit="1" customWidth="1"/>
    <col min="11270" max="11270" width="2" style="47" bestFit="1" customWidth="1"/>
    <col min="11271" max="11271" width="29.140625" style="47" customWidth="1"/>
    <col min="11272" max="11276" width="0" style="47" hidden="1" customWidth="1"/>
    <col min="11277" max="11277" width="8.7109375" style="47" bestFit="1" customWidth="1"/>
    <col min="11278" max="11278" width="8.5703125" style="47" customWidth="1"/>
    <col min="11279" max="11283" width="8.7109375" style="47" bestFit="1" customWidth="1"/>
    <col min="11284" max="11520" width="9.140625" style="47"/>
    <col min="11521" max="11521" width="6.140625" style="47" customWidth="1"/>
    <col min="11522" max="11522" width="6.85546875" style="47" customWidth="1"/>
    <col min="11523" max="11523" width="9.140625" style="47"/>
    <col min="11524" max="11524" width="7.85546875" style="47" customWidth="1"/>
    <col min="11525" max="11525" width="5.140625" style="47" bestFit="1" customWidth="1"/>
    <col min="11526" max="11526" width="2" style="47" bestFit="1" customWidth="1"/>
    <col min="11527" max="11527" width="29.140625" style="47" customWidth="1"/>
    <col min="11528" max="11532" width="0" style="47" hidden="1" customWidth="1"/>
    <col min="11533" max="11533" width="8.7109375" style="47" bestFit="1" customWidth="1"/>
    <col min="11534" max="11534" width="8.5703125" style="47" customWidth="1"/>
    <col min="11535" max="11539" width="8.7109375" style="47" bestFit="1" customWidth="1"/>
    <col min="11540" max="11776" width="9.140625" style="47"/>
    <col min="11777" max="11777" width="6.140625" style="47" customWidth="1"/>
    <col min="11778" max="11778" width="6.85546875" style="47" customWidth="1"/>
    <col min="11779" max="11779" width="9.140625" style="47"/>
    <col min="11780" max="11780" width="7.85546875" style="47" customWidth="1"/>
    <col min="11781" max="11781" width="5.140625" style="47" bestFit="1" customWidth="1"/>
    <col min="11782" max="11782" width="2" style="47" bestFit="1" customWidth="1"/>
    <col min="11783" max="11783" width="29.140625" style="47" customWidth="1"/>
    <col min="11784" max="11788" width="0" style="47" hidden="1" customWidth="1"/>
    <col min="11789" max="11789" width="8.7109375" style="47" bestFit="1" customWidth="1"/>
    <col min="11790" max="11790" width="8.5703125" style="47" customWidth="1"/>
    <col min="11791" max="11795" width="8.7109375" style="47" bestFit="1" customWidth="1"/>
    <col min="11796" max="12032" width="9.140625" style="47"/>
    <col min="12033" max="12033" width="6.140625" style="47" customWidth="1"/>
    <col min="12034" max="12034" width="6.85546875" style="47" customWidth="1"/>
    <col min="12035" max="12035" width="9.140625" style="47"/>
    <col min="12036" max="12036" width="7.85546875" style="47" customWidth="1"/>
    <col min="12037" max="12037" width="5.140625" style="47" bestFit="1" customWidth="1"/>
    <col min="12038" max="12038" width="2" style="47" bestFit="1" customWidth="1"/>
    <col min="12039" max="12039" width="29.140625" style="47" customWidth="1"/>
    <col min="12040" max="12044" width="0" style="47" hidden="1" customWidth="1"/>
    <col min="12045" max="12045" width="8.7109375" style="47" bestFit="1" customWidth="1"/>
    <col min="12046" max="12046" width="8.5703125" style="47" customWidth="1"/>
    <col min="12047" max="12051" width="8.7109375" style="47" bestFit="1" customWidth="1"/>
    <col min="12052" max="12288" width="9.140625" style="47"/>
    <col min="12289" max="12289" width="6.140625" style="47" customWidth="1"/>
    <col min="12290" max="12290" width="6.85546875" style="47" customWidth="1"/>
    <col min="12291" max="12291" width="9.140625" style="47"/>
    <col min="12292" max="12292" width="7.85546875" style="47" customWidth="1"/>
    <col min="12293" max="12293" width="5.140625" style="47" bestFit="1" customWidth="1"/>
    <col min="12294" max="12294" width="2" style="47" bestFit="1" customWidth="1"/>
    <col min="12295" max="12295" width="29.140625" style="47" customWidth="1"/>
    <col min="12296" max="12300" width="0" style="47" hidden="1" customWidth="1"/>
    <col min="12301" max="12301" width="8.7109375" style="47" bestFit="1" customWidth="1"/>
    <col min="12302" max="12302" width="8.5703125" style="47" customWidth="1"/>
    <col min="12303" max="12307" width="8.7109375" style="47" bestFit="1" customWidth="1"/>
    <col min="12308" max="12544" width="9.140625" style="47"/>
    <col min="12545" max="12545" width="6.140625" style="47" customWidth="1"/>
    <col min="12546" max="12546" width="6.85546875" style="47" customWidth="1"/>
    <col min="12547" max="12547" width="9.140625" style="47"/>
    <col min="12548" max="12548" width="7.85546875" style="47" customWidth="1"/>
    <col min="12549" max="12549" width="5.140625" style="47" bestFit="1" customWidth="1"/>
    <col min="12550" max="12550" width="2" style="47" bestFit="1" customWidth="1"/>
    <col min="12551" max="12551" width="29.140625" style="47" customWidth="1"/>
    <col min="12552" max="12556" width="0" style="47" hidden="1" customWidth="1"/>
    <col min="12557" max="12557" width="8.7109375" style="47" bestFit="1" customWidth="1"/>
    <col min="12558" max="12558" width="8.5703125" style="47" customWidth="1"/>
    <col min="12559" max="12563" width="8.7109375" style="47" bestFit="1" customWidth="1"/>
    <col min="12564" max="12800" width="9.140625" style="47"/>
    <col min="12801" max="12801" width="6.140625" style="47" customWidth="1"/>
    <col min="12802" max="12802" width="6.85546875" style="47" customWidth="1"/>
    <col min="12803" max="12803" width="9.140625" style="47"/>
    <col min="12804" max="12804" width="7.85546875" style="47" customWidth="1"/>
    <col min="12805" max="12805" width="5.140625" style="47" bestFit="1" customWidth="1"/>
    <col min="12806" max="12806" width="2" style="47" bestFit="1" customWidth="1"/>
    <col min="12807" max="12807" width="29.140625" style="47" customWidth="1"/>
    <col min="12808" max="12812" width="0" style="47" hidden="1" customWidth="1"/>
    <col min="12813" max="12813" width="8.7109375" style="47" bestFit="1" customWidth="1"/>
    <col min="12814" max="12814" width="8.5703125" style="47" customWidth="1"/>
    <col min="12815" max="12819" width="8.7109375" style="47" bestFit="1" customWidth="1"/>
    <col min="12820" max="13056" width="9.140625" style="47"/>
    <col min="13057" max="13057" width="6.140625" style="47" customWidth="1"/>
    <col min="13058" max="13058" width="6.85546875" style="47" customWidth="1"/>
    <col min="13059" max="13059" width="9.140625" style="47"/>
    <col min="13060" max="13060" width="7.85546875" style="47" customWidth="1"/>
    <col min="13061" max="13061" width="5.140625" style="47" bestFit="1" customWidth="1"/>
    <col min="13062" max="13062" width="2" style="47" bestFit="1" customWidth="1"/>
    <col min="13063" max="13063" width="29.140625" style="47" customWidth="1"/>
    <col min="13064" max="13068" width="0" style="47" hidden="1" customWidth="1"/>
    <col min="13069" max="13069" width="8.7109375" style="47" bestFit="1" customWidth="1"/>
    <col min="13070" max="13070" width="8.5703125" style="47" customWidth="1"/>
    <col min="13071" max="13075" width="8.7109375" style="47" bestFit="1" customWidth="1"/>
    <col min="13076" max="13312" width="9.140625" style="47"/>
    <col min="13313" max="13313" width="6.140625" style="47" customWidth="1"/>
    <col min="13314" max="13314" width="6.85546875" style="47" customWidth="1"/>
    <col min="13315" max="13315" width="9.140625" style="47"/>
    <col min="13316" max="13316" width="7.85546875" style="47" customWidth="1"/>
    <col min="13317" max="13317" width="5.140625" style="47" bestFit="1" customWidth="1"/>
    <col min="13318" max="13318" width="2" style="47" bestFit="1" customWidth="1"/>
    <col min="13319" max="13319" width="29.140625" style="47" customWidth="1"/>
    <col min="13320" max="13324" width="0" style="47" hidden="1" customWidth="1"/>
    <col min="13325" max="13325" width="8.7109375" style="47" bestFit="1" customWidth="1"/>
    <col min="13326" max="13326" width="8.5703125" style="47" customWidth="1"/>
    <col min="13327" max="13331" width="8.7109375" style="47" bestFit="1" customWidth="1"/>
    <col min="13332" max="13568" width="9.140625" style="47"/>
    <col min="13569" max="13569" width="6.140625" style="47" customWidth="1"/>
    <col min="13570" max="13570" width="6.85546875" style="47" customWidth="1"/>
    <col min="13571" max="13571" width="9.140625" style="47"/>
    <col min="13572" max="13572" width="7.85546875" style="47" customWidth="1"/>
    <col min="13573" max="13573" width="5.140625" style="47" bestFit="1" customWidth="1"/>
    <col min="13574" max="13574" width="2" style="47" bestFit="1" customWidth="1"/>
    <col min="13575" max="13575" width="29.140625" style="47" customWidth="1"/>
    <col min="13576" max="13580" width="0" style="47" hidden="1" customWidth="1"/>
    <col min="13581" max="13581" width="8.7109375" style="47" bestFit="1" customWidth="1"/>
    <col min="13582" max="13582" width="8.5703125" style="47" customWidth="1"/>
    <col min="13583" max="13587" width="8.7109375" style="47" bestFit="1" customWidth="1"/>
    <col min="13588" max="13824" width="9.140625" style="47"/>
    <col min="13825" max="13825" width="6.140625" style="47" customWidth="1"/>
    <col min="13826" max="13826" width="6.85546875" style="47" customWidth="1"/>
    <col min="13827" max="13827" width="9.140625" style="47"/>
    <col min="13828" max="13828" width="7.85546875" style="47" customWidth="1"/>
    <col min="13829" max="13829" width="5.140625" style="47" bestFit="1" customWidth="1"/>
    <col min="13830" max="13830" width="2" style="47" bestFit="1" customWidth="1"/>
    <col min="13831" max="13831" width="29.140625" style="47" customWidth="1"/>
    <col min="13832" max="13836" width="0" style="47" hidden="1" customWidth="1"/>
    <col min="13837" max="13837" width="8.7109375" style="47" bestFit="1" customWidth="1"/>
    <col min="13838" max="13838" width="8.5703125" style="47" customWidth="1"/>
    <col min="13839" max="13843" width="8.7109375" style="47" bestFit="1" customWidth="1"/>
    <col min="13844" max="14080" width="9.140625" style="47"/>
    <col min="14081" max="14081" width="6.140625" style="47" customWidth="1"/>
    <col min="14082" max="14082" width="6.85546875" style="47" customWidth="1"/>
    <col min="14083" max="14083" width="9.140625" style="47"/>
    <col min="14084" max="14084" width="7.85546875" style="47" customWidth="1"/>
    <col min="14085" max="14085" width="5.140625" style="47" bestFit="1" customWidth="1"/>
    <col min="14086" max="14086" width="2" style="47" bestFit="1" customWidth="1"/>
    <col min="14087" max="14087" width="29.140625" style="47" customWidth="1"/>
    <col min="14088" max="14092" width="0" style="47" hidden="1" customWidth="1"/>
    <col min="14093" max="14093" width="8.7109375" style="47" bestFit="1" customWidth="1"/>
    <col min="14094" max="14094" width="8.5703125" style="47" customWidth="1"/>
    <col min="14095" max="14099" width="8.7109375" style="47" bestFit="1" customWidth="1"/>
    <col min="14100" max="14336" width="9.140625" style="47"/>
    <col min="14337" max="14337" width="6.140625" style="47" customWidth="1"/>
    <col min="14338" max="14338" width="6.85546875" style="47" customWidth="1"/>
    <col min="14339" max="14339" width="9.140625" style="47"/>
    <col min="14340" max="14340" width="7.85546875" style="47" customWidth="1"/>
    <col min="14341" max="14341" width="5.140625" style="47" bestFit="1" customWidth="1"/>
    <col min="14342" max="14342" width="2" style="47" bestFit="1" customWidth="1"/>
    <col min="14343" max="14343" width="29.140625" style="47" customWidth="1"/>
    <col min="14344" max="14348" width="0" style="47" hidden="1" customWidth="1"/>
    <col min="14349" max="14349" width="8.7109375" style="47" bestFit="1" customWidth="1"/>
    <col min="14350" max="14350" width="8.5703125" style="47" customWidth="1"/>
    <col min="14351" max="14355" width="8.7109375" style="47" bestFit="1" customWidth="1"/>
    <col min="14356" max="14592" width="9.140625" style="47"/>
    <col min="14593" max="14593" width="6.140625" style="47" customWidth="1"/>
    <col min="14594" max="14594" width="6.85546875" style="47" customWidth="1"/>
    <col min="14595" max="14595" width="9.140625" style="47"/>
    <col min="14596" max="14596" width="7.85546875" style="47" customWidth="1"/>
    <col min="14597" max="14597" width="5.140625" style="47" bestFit="1" customWidth="1"/>
    <col min="14598" max="14598" width="2" style="47" bestFit="1" customWidth="1"/>
    <col min="14599" max="14599" width="29.140625" style="47" customWidth="1"/>
    <col min="14600" max="14604" width="0" style="47" hidden="1" customWidth="1"/>
    <col min="14605" max="14605" width="8.7109375" style="47" bestFit="1" customWidth="1"/>
    <col min="14606" max="14606" width="8.5703125" style="47" customWidth="1"/>
    <col min="14607" max="14611" width="8.7109375" style="47" bestFit="1" customWidth="1"/>
    <col min="14612" max="14848" width="9.140625" style="47"/>
    <col min="14849" max="14849" width="6.140625" style="47" customWidth="1"/>
    <col min="14850" max="14850" width="6.85546875" style="47" customWidth="1"/>
    <col min="14851" max="14851" width="9.140625" style="47"/>
    <col min="14852" max="14852" width="7.85546875" style="47" customWidth="1"/>
    <col min="14853" max="14853" width="5.140625" style="47" bestFit="1" customWidth="1"/>
    <col min="14854" max="14854" width="2" style="47" bestFit="1" customWidth="1"/>
    <col min="14855" max="14855" width="29.140625" style="47" customWidth="1"/>
    <col min="14856" max="14860" width="0" style="47" hidden="1" customWidth="1"/>
    <col min="14861" max="14861" width="8.7109375" style="47" bestFit="1" customWidth="1"/>
    <col min="14862" max="14862" width="8.5703125" style="47" customWidth="1"/>
    <col min="14863" max="14867" width="8.7109375" style="47" bestFit="1" customWidth="1"/>
    <col min="14868" max="15104" width="9.140625" style="47"/>
    <col min="15105" max="15105" width="6.140625" style="47" customWidth="1"/>
    <col min="15106" max="15106" width="6.85546875" style="47" customWidth="1"/>
    <col min="15107" max="15107" width="9.140625" style="47"/>
    <col min="15108" max="15108" width="7.85546875" style="47" customWidth="1"/>
    <col min="15109" max="15109" width="5.140625" style="47" bestFit="1" customWidth="1"/>
    <col min="15110" max="15110" width="2" style="47" bestFit="1" customWidth="1"/>
    <col min="15111" max="15111" width="29.140625" style="47" customWidth="1"/>
    <col min="15112" max="15116" width="0" style="47" hidden="1" customWidth="1"/>
    <col min="15117" max="15117" width="8.7109375" style="47" bestFit="1" customWidth="1"/>
    <col min="15118" max="15118" width="8.5703125" style="47" customWidth="1"/>
    <col min="15119" max="15123" width="8.7109375" style="47" bestFit="1" customWidth="1"/>
    <col min="15124" max="15360" width="9.140625" style="47"/>
    <col min="15361" max="15361" width="6.140625" style="47" customWidth="1"/>
    <col min="15362" max="15362" width="6.85546875" style="47" customWidth="1"/>
    <col min="15363" max="15363" width="9.140625" style="47"/>
    <col min="15364" max="15364" width="7.85546875" style="47" customWidth="1"/>
    <col min="15365" max="15365" width="5.140625" style="47" bestFit="1" customWidth="1"/>
    <col min="15366" max="15366" width="2" style="47" bestFit="1" customWidth="1"/>
    <col min="15367" max="15367" width="29.140625" style="47" customWidth="1"/>
    <col min="15368" max="15372" width="0" style="47" hidden="1" customWidth="1"/>
    <col min="15373" max="15373" width="8.7109375" style="47" bestFit="1" customWidth="1"/>
    <col min="15374" max="15374" width="8.5703125" style="47" customWidth="1"/>
    <col min="15375" max="15379" width="8.7109375" style="47" bestFit="1" customWidth="1"/>
    <col min="15380" max="15616" width="9.140625" style="47"/>
    <col min="15617" max="15617" width="6.140625" style="47" customWidth="1"/>
    <col min="15618" max="15618" width="6.85546875" style="47" customWidth="1"/>
    <col min="15619" max="15619" width="9.140625" style="47"/>
    <col min="15620" max="15620" width="7.85546875" style="47" customWidth="1"/>
    <col min="15621" max="15621" width="5.140625" style="47" bestFit="1" customWidth="1"/>
    <col min="15622" max="15622" width="2" style="47" bestFit="1" customWidth="1"/>
    <col min="15623" max="15623" width="29.140625" style="47" customWidth="1"/>
    <col min="15624" max="15628" width="0" style="47" hidden="1" customWidth="1"/>
    <col min="15629" max="15629" width="8.7109375" style="47" bestFit="1" customWidth="1"/>
    <col min="15630" max="15630" width="8.5703125" style="47" customWidth="1"/>
    <col min="15631" max="15635" width="8.7109375" style="47" bestFit="1" customWidth="1"/>
    <col min="15636" max="15872" width="9.140625" style="47"/>
    <col min="15873" max="15873" width="6.140625" style="47" customWidth="1"/>
    <col min="15874" max="15874" width="6.85546875" style="47" customWidth="1"/>
    <col min="15875" max="15875" width="9.140625" style="47"/>
    <col min="15876" max="15876" width="7.85546875" style="47" customWidth="1"/>
    <col min="15877" max="15877" width="5.140625" style="47" bestFit="1" customWidth="1"/>
    <col min="15878" max="15878" width="2" style="47" bestFit="1" customWidth="1"/>
    <col min="15879" max="15879" width="29.140625" style="47" customWidth="1"/>
    <col min="15880" max="15884" width="0" style="47" hidden="1" customWidth="1"/>
    <col min="15885" max="15885" width="8.7109375" style="47" bestFit="1" customWidth="1"/>
    <col min="15886" max="15886" width="8.5703125" style="47" customWidth="1"/>
    <col min="15887" max="15891" width="8.7109375" style="47" bestFit="1" customWidth="1"/>
    <col min="15892" max="16128" width="9.140625" style="47"/>
    <col min="16129" max="16129" width="6.140625" style="47" customWidth="1"/>
    <col min="16130" max="16130" width="6.85546875" style="47" customWidth="1"/>
    <col min="16131" max="16131" width="9.140625" style="47"/>
    <col min="16132" max="16132" width="7.85546875" style="47" customWidth="1"/>
    <col min="16133" max="16133" width="5.140625" style="47" bestFit="1" customWidth="1"/>
    <col min="16134" max="16134" width="2" style="47" bestFit="1" customWidth="1"/>
    <col min="16135" max="16135" width="29.140625" style="47" customWidth="1"/>
    <col min="16136" max="16140" width="0" style="47" hidden="1" customWidth="1"/>
    <col min="16141" max="16141" width="8.7109375" style="47" bestFit="1" customWidth="1"/>
    <col min="16142" max="16142" width="8.5703125" style="47" customWidth="1"/>
    <col min="16143" max="16147" width="8.7109375" style="47" bestFit="1" customWidth="1"/>
    <col min="16148" max="16384" width="9.140625" style="47"/>
  </cols>
  <sheetData>
    <row r="1" spans="1:19" x14ac:dyDescent="0.2">
      <c r="A1" s="1"/>
      <c r="B1" s="2"/>
      <c r="C1" s="3"/>
      <c r="D1" s="3"/>
      <c r="E1" s="1"/>
      <c r="F1" s="1"/>
      <c r="G1" s="48"/>
      <c r="H1" s="48"/>
      <c r="I1" s="48"/>
      <c r="J1" s="48"/>
      <c r="K1" s="48"/>
      <c r="L1" s="48"/>
      <c r="M1" s="48"/>
      <c r="N1" s="194"/>
      <c r="O1" s="48"/>
      <c r="P1" s="48"/>
      <c r="Q1" s="48"/>
      <c r="R1" s="48"/>
    </row>
    <row r="2" spans="1:19" x14ac:dyDescent="0.2">
      <c r="A2" s="3" t="s">
        <v>0</v>
      </c>
      <c r="B2" s="5" t="s">
        <v>1</v>
      </c>
      <c r="C2" s="3" t="s">
        <v>2</v>
      </c>
      <c r="D2" s="3"/>
      <c r="E2" s="1" t="s">
        <v>3</v>
      </c>
      <c r="F2" s="1"/>
      <c r="G2" s="49" t="s">
        <v>470</v>
      </c>
      <c r="H2" s="50"/>
      <c r="I2" s="51"/>
      <c r="J2" s="52"/>
      <c r="K2" s="50"/>
      <c r="L2" s="52"/>
      <c r="M2" s="71" t="s">
        <v>366</v>
      </c>
      <c r="N2" s="122" t="s">
        <v>471</v>
      </c>
      <c r="O2" s="72"/>
      <c r="P2" s="72"/>
      <c r="Q2" s="72"/>
      <c r="R2" s="73"/>
    </row>
    <row r="3" spans="1:19" x14ac:dyDescent="0.2">
      <c r="A3" s="1"/>
      <c r="B3" s="6"/>
      <c r="C3" s="3"/>
      <c r="D3" s="3"/>
      <c r="E3" s="1"/>
      <c r="F3" s="1"/>
      <c r="G3" s="53" t="s">
        <v>4</v>
      </c>
      <c r="H3" s="54">
        <v>40908</v>
      </c>
      <c r="I3" s="54">
        <v>41274</v>
      </c>
      <c r="J3" s="54">
        <v>41639</v>
      </c>
      <c r="K3" s="54">
        <v>42004</v>
      </c>
      <c r="L3" s="54">
        <v>42369</v>
      </c>
      <c r="M3" s="54">
        <v>42735</v>
      </c>
      <c r="N3" s="54">
        <v>43100</v>
      </c>
      <c r="O3" s="54">
        <v>43465</v>
      </c>
      <c r="P3" s="54">
        <v>43830</v>
      </c>
      <c r="Q3" s="54">
        <v>44196</v>
      </c>
      <c r="R3" s="54">
        <v>44561</v>
      </c>
      <c r="S3" s="54">
        <v>44926</v>
      </c>
    </row>
    <row r="4" spans="1:19" x14ac:dyDescent="0.2">
      <c r="A4" s="7"/>
      <c r="B4" s="2" t="s">
        <v>5</v>
      </c>
      <c r="C4" s="3">
        <v>1</v>
      </c>
      <c r="D4" s="3"/>
      <c r="E4" s="5"/>
      <c r="F4" s="7"/>
      <c r="G4" s="55" t="s">
        <v>6</v>
      </c>
      <c r="H4" s="56">
        <f t="shared" ref="H4:S4" si="0">H5+H10</f>
        <v>4731.0120000000006</v>
      </c>
      <c r="I4" s="56">
        <f t="shared" si="0"/>
        <v>5934.6490000000003</v>
      </c>
      <c r="J4" s="56">
        <f t="shared" si="0"/>
        <v>5657.4779999999992</v>
      </c>
      <c r="K4" s="56">
        <f t="shared" si="0"/>
        <v>5702.43</v>
      </c>
      <c r="L4" s="56">
        <f t="shared" si="0"/>
        <v>14154.895</v>
      </c>
      <c r="M4" s="56">
        <f t="shared" si="0"/>
        <v>17543.050000000003</v>
      </c>
      <c r="N4" s="56">
        <f t="shared" si="0"/>
        <v>14037</v>
      </c>
      <c r="O4" s="56">
        <f t="shared" si="0"/>
        <v>13360</v>
      </c>
      <c r="P4" s="56">
        <f t="shared" si="0"/>
        <v>12803</v>
      </c>
      <c r="Q4" s="56">
        <f t="shared" si="0"/>
        <v>12286</v>
      </c>
      <c r="R4" s="56">
        <f t="shared" si="0"/>
        <v>11756</v>
      </c>
      <c r="S4" s="56">
        <f t="shared" si="0"/>
        <v>11224</v>
      </c>
    </row>
    <row r="5" spans="1:19" x14ac:dyDescent="0.2">
      <c r="A5" s="8"/>
      <c r="B5" s="2" t="s">
        <v>7</v>
      </c>
      <c r="C5" s="3">
        <v>10</v>
      </c>
      <c r="D5" s="3"/>
      <c r="E5" s="9"/>
      <c r="G5" s="57" t="s">
        <v>8</v>
      </c>
      <c r="H5" s="56">
        <f t="shared" ref="H5:R5" si="1">SUM(H6:H9)</f>
        <v>113.587</v>
      </c>
      <c r="I5" s="56">
        <f t="shared" si="1"/>
        <v>239.98699999999999</v>
      </c>
      <c r="J5" s="56">
        <f t="shared" si="1"/>
        <v>140.68099999999998</v>
      </c>
      <c r="K5" s="56">
        <f t="shared" si="1"/>
        <v>483.32100000000003</v>
      </c>
      <c r="L5" s="56">
        <f t="shared" si="1"/>
        <v>8960.8269999999993</v>
      </c>
      <c r="M5" s="56">
        <f t="shared" si="1"/>
        <v>8473.1450000000004</v>
      </c>
      <c r="N5" s="56">
        <f t="shared" si="1"/>
        <v>484</v>
      </c>
      <c r="O5" s="56">
        <f t="shared" si="1"/>
        <v>260</v>
      </c>
      <c r="P5" s="56">
        <f t="shared" si="1"/>
        <v>260</v>
      </c>
      <c r="Q5" s="56">
        <f t="shared" si="1"/>
        <v>290</v>
      </c>
      <c r="R5" s="56">
        <f t="shared" si="1"/>
        <v>300</v>
      </c>
      <c r="S5" s="56">
        <f>SUM(S6:S9)</f>
        <v>270</v>
      </c>
    </row>
    <row r="6" spans="1:19" ht="12" x14ac:dyDescent="0.2">
      <c r="A6" s="8"/>
      <c r="B6" s="2" t="s">
        <v>9</v>
      </c>
      <c r="C6" s="10" t="s">
        <v>10</v>
      </c>
      <c r="D6" s="10"/>
      <c r="E6" s="11" t="s">
        <v>11</v>
      </c>
      <c r="G6" s="57" t="s">
        <v>12</v>
      </c>
      <c r="H6" s="58">
        <v>48.052999999999997</v>
      </c>
      <c r="I6" s="58">
        <v>161.45500000000001</v>
      </c>
      <c r="J6" s="58">
        <v>49.098999999999997</v>
      </c>
      <c r="K6" s="58">
        <v>372.67700000000002</v>
      </c>
      <c r="L6" s="58">
        <v>8897.2939999999999</v>
      </c>
      <c r="M6" s="58">
        <v>8208.9060000000009</v>
      </c>
      <c r="N6" s="76">
        <v>361</v>
      </c>
      <c r="O6" s="76">
        <v>150</v>
      </c>
      <c r="P6" s="76">
        <v>150</v>
      </c>
      <c r="Q6" s="76">
        <v>170</v>
      </c>
      <c r="R6" s="76">
        <v>170</v>
      </c>
      <c r="S6" s="58">
        <v>150</v>
      </c>
    </row>
    <row r="7" spans="1:19" ht="12" x14ac:dyDescent="0.2">
      <c r="A7" s="8"/>
      <c r="B7" s="2" t="s">
        <v>13</v>
      </c>
      <c r="C7" s="10" t="s">
        <v>14</v>
      </c>
      <c r="D7" s="10"/>
      <c r="E7" s="11" t="s">
        <v>11</v>
      </c>
      <c r="G7" s="57" t="s">
        <v>15</v>
      </c>
      <c r="H7" s="58">
        <v>57.805</v>
      </c>
      <c r="I7" s="58">
        <v>68.073999999999998</v>
      </c>
      <c r="J7" s="58">
        <v>80.536000000000001</v>
      </c>
      <c r="K7" s="58">
        <v>101.557</v>
      </c>
      <c r="L7" s="58">
        <v>52.66</v>
      </c>
      <c r="M7" s="58">
        <v>251.88900000000001</v>
      </c>
      <c r="N7" s="76">
        <v>96</v>
      </c>
      <c r="O7" s="76">
        <v>110</v>
      </c>
      <c r="P7" s="76">
        <v>110</v>
      </c>
      <c r="Q7" s="76">
        <v>120</v>
      </c>
      <c r="R7" s="76">
        <v>130</v>
      </c>
      <c r="S7" s="58">
        <v>120</v>
      </c>
    </row>
    <row r="8" spans="1:19" ht="12" x14ac:dyDescent="0.2">
      <c r="A8" s="8"/>
      <c r="B8" s="2" t="s">
        <v>16</v>
      </c>
      <c r="C8" s="10" t="s">
        <v>17</v>
      </c>
      <c r="D8" s="10"/>
      <c r="E8" s="11" t="s">
        <v>11</v>
      </c>
      <c r="G8" s="57" t="s">
        <v>18</v>
      </c>
      <c r="H8" s="58">
        <v>0</v>
      </c>
      <c r="I8" s="58">
        <v>0</v>
      </c>
      <c r="J8" s="58">
        <v>0</v>
      </c>
      <c r="K8" s="58">
        <v>0</v>
      </c>
      <c r="L8" s="58">
        <v>0</v>
      </c>
      <c r="M8" s="58">
        <v>0</v>
      </c>
      <c r="N8" s="76">
        <v>0</v>
      </c>
      <c r="O8" s="76">
        <v>0</v>
      </c>
      <c r="P8" s="76">
        <v>0</v>
      </c>
      <c r="Q8" s="76">
        <v>0</v>
      </c>
      <c r="R8" s="76">
        <v>0</v>
      </c>
      <c r="S8" s="58">
        <v>0</v>
      </c>
    </row>
    <row r="9" spans="1:19" x14ac:dyDescent="0.2">
      <c r="A9" s="8"/>
      <c r="B9" s="2" t="s">
        <v>19</v>
      </c>
      <c r="C9" s="10">
        <v>108</v>
      </c>
      <c r="D9" s="10"/>
      <c r="E9" s="12"/>
      <c r="G9" s="57" t="s">
        <v>20</v>
      </c>
      <c r="H9" s="58">
        <v>7.7290000000000001</v>
      </c>
      <c r="I9" s="58">
        <v>10.458</v>
      </c>
      <c r="J9" s="58">
        <v>11.045999999999999</v>
      </c>
      <c r="K9" s="58">
        <v>9.0869999999999997</v>
      </c>
      <c r="L9" s="58">
        <v>10.872999999999999</v>
      </c>
      <c r="M9" s="58">
        <v>12.35</v>
      </c>
      <c r="N9" s="76">
        <v>27</v>
      </c>
      <c r="O9" s="76">
        <v>0</v>
      </c>
      <c r="P9" s="76">
        <v>0</v>
      </c>
      <c r="Q9" s="76">
        <v>0</v>
      </c>
      <c r="R9" s="76">
        <v>0</v>
      </c>
      <c r="S9" s="58">
        <v>0</v>
      </c>
    </row>
    <row r="10" spans="1:19" x14ac:dyDescent="0.2">
      <c r="A10" s="13"/>
      <c r="B10" s="2" t="s">
        <v>21</v>
      </c>
      <c r="C10" s="14">
        <v>15</v>
      </c>
      <c r="D10" s="14"/>
      <c r="E10" s="12"/>
      <c r="F10" s="13"/>
      <c r="G10" s="57" t="s">
        <v>22</v>
      </c>
      <c r="H10" s="56">
        <f t="shared" ref="H10:S10" si="2">SUM(H11:H16)</f>
        <v>4617.4250000000002</v>
      </c>
      <c r="I10" s="56">
        <f t="shared" si="2"/>
        <v>5694.6620000000003</v>
      </c>
      <c r="J10" s="56">
        <f t="shared" si="2"/>
        <v>5516.7969999999996</v>
      </c>
      <c r="K10" s="56">
        <f t="shared" si="2"/>
        <v>5219.1090000000004</v>
      </c>
      <c r="L10" s="56">
        <f t="shared" si="2"/>
        <v>5194.0680000000002</v>
      </c>
      <c r="M10" s="56">
        <f t="shared" si="2"/>
        <v>9069.9050000000007</v>
      </c>
      <c r="N10" s="77">
        <f>SUM(N11:N16)</f>
        <v>13553</v>
      </c>
      <c r="O10" s="77">
        <f>SUM(O11:O16)</f>
        <v>13100</v>
      </c>
      <c r="P10" s="77">
        <f>SUM(P11:P16)</f>
        <v>12543</v>
      </c>
      <c r="Q10" s="77">
        <f t="shared" si="2"/>
        <v>11996</v>
      </c>
      <c r="R10" s="77">
        <f t="shared" si="2"/>
        <v>11456</v>
      </c>
      <c r="S10" s="77">
        <f t="shared" si="2"/>
        <v>10954</v>
      </c>
    </row>
    <row r="11" spans="1:19" ht="12" x14ac:dyDescent="0.2">
      <c r="A11" s="13"/>
      <c r="B11" s="2" t="s">
        <v>23</v>
      </c>
      <c r="C11" s="14">
        <v>150</v>
      </c>
      <c r="D11" s="14"/>
      <c r="E11" s="11" t="s">
        <v>11</v>
      </c>
      <c r="F11" s="13"/>
      <c r="G11" s="57" t="s">
        <v>24</v>
      </c>
      <c r="H11" s="58">
        <v>0</v>
      </c>
      <c r="I11" s="58">
        <v>0</v>
      </c>
      <c r="J11" s="58">
        <v>0</v>
      </c>
      <c r="K11" s="58">
        <v>0</v>
      </c>
      <c r="L11" s="58">
        <v>0</v>
      </c>
      <c r="M11" s="58">
        <v>0</v>
      </c>
      <c r="N11" s="76">
        <v>0</v>
      </c>
      <c r="O11" s="76">
        <v>0</v>
      </c>
      <c r="P11" s="76">
        <v>0</v>
      </c>
      <c r="Q11" s="76">
        <v>0</v>
      </c>
      <c r="R11" s="76">
        <v>0</v>
      </c>
      <c r="S11" s="58">
        <v>0</v>
      </c>
    </row>
    <row r="12" spans="1:19" ht="12" x14ac:dyDescent="0.2">
      <c r="A12" s="13"/>
      <c r="B12" s="2" t="s">
        <v>25</v>
      </c>
      <c r="C12" s="14">
        <v>151</v>
      </c>
      <c r="D12" s="14"/>
      <c r="E12" s="11" t="s">
        <v>11</v>
      </c>
      <c r="F12" s="13"/>
      <c r="G12" s="57" t="s">
        <v>26</v>
      </c>
      <c r="H12" s="58">
        <v>0</v>
      </c>
      <c r="I12" s="58">
        <v>0</v>
      </c>
      <c r="J12" s="58">
        <v>0</v>
      </c>
      <c r="K12" s="58">
        <v>0</v>
      </c>
      <c r="L12" s="58">
        <v>0</v>
      </c>
      <c r="M12" s="58">
        <v>0</v>
      </c>
      <c r="N12" s="76">
        <v>0</v>
      </c>
      <c r="O12" s="76">
        <v>0</v>
      </c>
      <c r="P12" s="76">
        <v>0</v>
      </c>
      <c r="Q12" s="76">
        <v>0</v>
      </c>
      <c r="R12" s="76">
        <v>0</v>
      </c>
      <c r="S12" s="58">
        <v>0</v>
      </c>
    </row>
    <row r="13" spans="1:19" ht="12" x14ac:dyDescent="0.2">
      <c r="A13" s="8"/>
      <c r="B13" s="2" t="s">
        <v>27</v>
      </c>
      <c r="C13" s="10" t="s">
        <v>28</v>
      </c>
      <c r="D13" s="10"/>
      <c r="E13" s="11" t="s">
        <v>11</v>
      </c>
      <c r="G13" s="57" t="s">
        <v>29</v>
      </c>
      <c r="H13" s="58">
        <v>0</v>
      </c>
      <c r="I13" s="58">
        <v>0</v>
      </c>
      <c r="J13" s="58">
        <v>0</v>
      </c>
      <c r="K13" s="58">
        <v>0</v>
      </c>
      <c r="L13" s="58">
        <v>0</v>
      </c>
      <c r="M13" s="58">
        <v>0</v>
      </c>
      <c r="N13" s="76">
        <v>0</v>
      </c>
      <c r="O13" s="76">
        <v>0</v>
      </c>
      <c r="P13" s="76">
        <v>0</v>
      </c>
      <c r="Q13" s="76">
        <v>0</v>
      </c>
      <c r="R13" s="76">
        <v>0</v>
      </c>
      <c r="S13" s="58">
        <v>0</v>
      </c>
    </row>
    <row r="14" spans="1:19" ht="12" x14ac:dyDescent="0.2">
      <c r="A14" s="8"/>
      <c r="B14" s="2" t="s">
        <v>30</v>
      </c>
      <c r="C14" s="10">
        <v>154</v>
      </c>
      <c r="D14" s="10"/>
      <c r="E14" s="11" t="s">
        <v>11</v>
      </c>
      <c r="G14" s="57" t="s">
        <v>31</v>
      </c>
      <c r="H14" s="58">
        <v>0</v>
      </c>
      <c r="I14" s="58">
        <v>0</v>
      </c>
      <c r="J14" s="58">
        <v>0</v>
      </c>
      <c r="K14" s="58">
        <v>0</v>
      </c>
      <c r="L14" s="58">
        <v>0</v>
      </c>
      <c r="M14" s="58">
        <v>0</v>
      </c>
      <c r="N14" s="76">
        <v>0</v>
      </c>
      <c r="O14" s="76">
        <v>0</v>
      </c>
      <c r="P14" s="76">
        <v>0</v>
      </c>
      <c r="Q14" s="76">
        <v>0</v>
      </c>
      <c r="R14" s="76">
        <v>0</v>
      </c>
      <c r="S14" s="58">
        <v>0</v>
      </c>
    </row>
    <row r="15" spans="1:19" ht="12" x14ac:dyDescent="0.2">
      <c r="A15" s="8"/>
      <c r="B15" s="2" t="s">
        <v>32</v>
      </c>
      <c r="C15" s="10" t="s">
        <v>33</v>
      </c>
      <c r="D15" s="10"/>
      <c r="E15" s="11" t="s">
        <v>11</v>
      </c>
      <c r="G15" s="57" t="s">
        <v>34</v>
      </c>
      <c r="H15" s="58">
        <v>4617.4250000000002</v>
      </c>
      <c r="I15" s="58">
        <v>5694.6620000000003</v>
      </c>
      <c r="J15" s="58">
        <v>5516.7969999999996</v>
      </c>
      <c r="K15" s="58">
        <v>5219.1090000000004</v>
      </c>
      <c r="L15" s="58">
        <v>5194.0680000000002</v>
      </c>
      <c r="M15" s="58">
        <v>9069.9050000000007</v>
      </c>
      <c r="N15" s="76">
        <v>13553</v>
      </c>
      <c r="O15" s="76">
        <v>13100</v>
      </c>
      <c r="P15" s="76">
        <v>12543</v>
      </c>
      <c r="Q15" s="76">
        <v>11996</v>
      </c>
      <c r="R15" s="76">
        <v>11456</v>
      </c>
      <c r="S15" s="58">
        <v>10954</v>
      </c>
    </row>
    <row r="16" spans="1:19" ht="12" x14ac:dyDescent="0.2">
      <c r="A16" s="8"/>
      <c r="B16" s="2" t="s">
        <v>35</v>
      </c>
      <c r="C16" s="10">
        <v>157</v>
      </c>
      <c r="D16" s="10"/>
      <c r="E16" s="11" t="s">
        <v>11</v>
      </c>
      <c r="G16" s="57" t="s">
        <v>36</v>
      </c>
      <c r="H16" s="58">
        <v>0</v>
      </c>
      <c r="I16" s="58">
        <v>0</v>
      </c>
      <c r="J16" s="58">
        <v>0</v>
      </c>
      <c r="K16" s="58">
        <v>0</v>
      </c>
      <c r="L16" s="58">
        <v>0</v>
      </c>
      <c r="M16" s="58">
        <v>0</v>
      </c>
      <c r="N16" s="76">
        <v>0</v>
      </c>
      <c r="O16" s="76">
        <v>0</v>
      </c>
      <c r="P16" s="76">
        <v>0</v>
      </c>
      <c r="Q16" s="76">
        <v>0</v>
      </c>
      <c r="R16" s="76">
        <v>0</v>
      </c>
      <c r="S16" s="58">
        <v>0</v>
      </c>
    </row>
    <row r="17" spans="1:19" ht="12" x14ac:dyDescent="0.2">
      <c r="A17" s="15"/>
      <c r="B17" s="2" t="s">
        <v>37</v>
      </c>
      <c r="C17" s="78" t="s">
        <v>38</v>
      </c>
      <c r="D17" s="15"/>
      <c r="E17" s="11" t="s">
        <v>11</v>
      </c>
      <c r="F17" s="16"/>
      <c r="G17" s="59" t="s">
        <v>39</v>
      </c>
      <c r="H17" s="60">
        <v>0</v>
      </c>
      <c r="I17" s="60">
        <v>0</v>
      </c>
      <c r="J17" s="60">
        <v>0</v>
      </c>
      <c r="K17" s="60">
        <v>0</v>
      </c>
      <c r="L17" s="60">
        <v>0</v>
      </c>
      <c r="M17" s="60">
        <v>0</v>
      </c>
      <c r="N17" s="80">
        <v>0</v>
      </c>
      <c r="O17" s="80">
        <v>0</v>
      </c>
      <c r="P17" s="80">
        <v>0</v>
      </c>
      <c r="Q17" s="80">
        <v>0</v>
      </c>
      <c r="R17" s="80">
        <v>0</v>
      </c>
      <c r="S17" s="60">
        <v>0</v>
      </c>
    </row>
    <row r="18" spans="1:19" x14ac:dyDescent="0.2">
      <c r="A18" s="8"/>
      <c r="B18" s="2" t="s">
        <v>40</v>
      </c>
      <c r="C18" s="10">
        <v>2</v>
      </c>
      <c r="D18" s="10"/>
      <c r="E18" s="12"/>
      <c r="G18" s="57" t="s">
        <v>41</v>
      </c>
      <c r="H18" s="56">
        <f t="shared" ref="H18:S18" si="3">H19+H27</f>
        <v>4731.0129999999999</v>
      </c>
      <c r="I18" s="56">
        <f t="shared" si="3"/>
        <v>5934.6489999999994</v>
      </c>
      <c r="J18" s="56">
        <f t="shared" si="3"/>
        <v>5657.4779999999992</v>
      </c>
      <c r="K18" s="56">
        <f t="shared" si="3"/>
        <v>5702.4310000000005</v>
      </c>
      <c r="L18" s="56">
        <f t="shared" si="3"/>
        <v>14154.896000000001</v>
      </c>
      <c r="M18" s="56">
        <f t="shared" si="3"/>
        <v>17543.05</v>
      </c>
      <c r="N18" s="77">
        <f t="shared" si="3"/>
        <v>14037</v>
      </c>
      <c r="O18" s="77">
        <f t="shared" si="3"/>
        <v>13360</v>
      </c>
      <c r="P18" s="77">
        <f t="shared" si="3"/>
        <v>12803</v>
      </c>
      <c r="Q18" s="77">
        <f t="shared" si="3"/>
        <v>12286</v>
      </c>
      <c r="R18" s="77">
        <f t="shared" si="3"/>
        <v>11756</v>
      </c>
      <c r="S18" s="56">
        <f t="shared" si="3"/>
        <v>11224</v>
      </c>
    </row>
    <row r="19" spans="1:19" x14ac:dyDescent="0.2">
      <c r="A19" s="8"/>
      <c r="B19" s="2" t="s">
        <v>42</v>
      </c>
      <c r="C19" s="10" t="s">
        <v>43</v>
      </c>
      <c r="D19" s="10"/>
      <c r="E19" s="12"/>
      <c r="G19" s="57" t="s">
        <v>44</v>
      </c>
      <c r="H19" s="56">
        <f t="shared" ref="H19:S19" si="4">SUM(H21:H26)</f>
        <v>105.89299999999999</v>
      </c>
      <c r="I19" s="56">
        <f t="shared" si="4"/>
        <v>130.69499999999999</v>
      </c>
      <c r="J19" s="56">
        <f t="shared" si="4"/>
        <v>105.477</v>
      </c>
      <c r="K19" s="56">
        <f t="shared" si="4"/>
        <v>137.779</v>
      </c>
      <c r="L19" s="56">
        <f t="shared" si="4"/>
        <v>8859.1560000000009</v>
      </c>
      <c r="M19" s="56">
        <f t="shared" si="4"/>
        <v>8251.9650000000001</v>
      </c>
      <c r="N19" s="77">
        <f t="shared" si="4"/>
        <v>395</v>
      </c>
      <c r="O19" s="77">
        <f t="shared" si="4"/>
        <v>239</v>
      </c>
      <c r="P19" s="77">
        <f t="shared" si="4"/>
        <v>233</v>
      </c>
      <c r="Q19" s="77">
        <f t="shared" si="4"/>
        <v>245</v>
      </c>
      <c r="R19" s="77">
        <f t="shared" si="4"/>
        <v>257</v>
      </c>
      <c r="S19" s="56">
        <f t="shared" si="4"/>
        <v>239</v>
      </c>
    </row>
    <row r="20" spans="1:19" ht="12" x14ac:dyDescent="0.2">
      <c r="A20" s="17"/>
      <c r="B20" s="2" t="s">
        <v>45</v>
      </c>
      <c r="C20" s="78" t="s">
        <v>46</v>
      </c>
      <c r="D20" s="15"/>
      <c r="E20" s="11" t="s">
        <v>11</v>
      </c>
      <c r="F20" s="17"/>
      <c r="G20" s="59" t="s">
        <v>47</v>
      </c>
      <c r="H20" s="61">
        <v>105.893</v>
      </c>
      <c r="I20" s="61">
        <v>130.69499999999999</v>
      </c>
      <c r="J20" s="61">
        <v>105.477</v>
      </c>
      <c r="K20" s="61">
        <v>137.779</v>
      </c>
      <c r="L20" s="61">
        <v>8859.1560000000009</v>
      </c>
      <c r="M20" s="61">
        <v>8252</v>
      </c>
      <c r="N20" s="82">
        <v>395</v>
      </c>
      <c r="O20" s="82">
        <v>239</v>
      </c>
      <c r="P20" s="82">
        <v>233</v>
      </c>
      <c r="Q20" s="82">
        <v>245</v>
      </c>
      <c r="R20" s="82">
        <v>257</v>
      </c>
      <c r="S20" s="61">
        <v>239</v>
      </c>
    </row>
    <row r="21" spans="1:19" ht="12" x14ac:dyDescent="0.2">
      <c r="A21" s="8"/>
      <c r="B21" s="2" t="s">
        <v>48</v>
      </c>
      <c r="C21" s="18" t="s">
        <v>49</v>
      </c>
      <c r="D21" s="18"/>
      <c r="E21" s="11" t="s">
        <v>11</v>
      </c>
      <c r="G21" s="57" t="s">
        <v>50</v>
      </c>
      <c r="H21" s="58">
        <f>35.098+2.379+67.313</f>
        <v>104.78999999999999</v>
      </c>
      <c r="I21" s="58">
        <v>130.69499999999999</v>
      </c>
      <c r="J21" s="58">
        <v>105.477</v>
      </c>
      <c r="K21" s="58">
        <v>137.779</v>
      </c>
      <c r="L21" s="58">
        <v>8859.1560000000009</v>
      </c>
      <c r="M21" s="58">
        <v>8251.9650000000001</v>
      </c>
      <c r="N21" s="76">
        <v>395</v>
      </c>
      <c r="O21" s="76">
        <v>239</v>
      </c>
      <c r="P21" s="76">
        <v>233</v>
      </c>
      <c r="Q21" s="76">
        <v>245</v>
      </c>
      <c r="R21" s="76">
        <v>257</v>
      </c>
      <c r="S21" s="58">
        <v>239</v>
      </c>
    </row>
    <row r="22" spans="1:19" ht="12" x14ac:dyDescent="0.2">
      <c r="A22" s="8"/>
      <c r="B22" s="2" t="s">
        <v>51</v>
      </c>
      <c r="C22" s="10" t="s">
        <v>52</v>
      </c>
      <c r="D22" s="10"/>
      <c r="E22" s="11" t="s">
        <v>11</v>
      </c>
      <c r="G22" s="57" t="s">
        <v>53</v>
      </c>
      <c r="H22" s="58">
        <v>0</v>
      </c>
      <c r="I22" s="58">
        <v>0</v>
      </c>
      <c r="J22" s="58">
        <v>0</v>
      </c>
      <c r="K22" s="58">
        <v>0</v>
      </c>
      <c r="L22" s="58">
        <v>0</v>
      </c>
      <c r="M22" s="58">
        <v>0</v>
      </c>
      <c r="N22" s="76">
        <v>0</v>
      </c>
      <c r="O22" s="76">
        <v>0</v>
      </c>
      <c r="P22" s="76">
        <v>0</v>
      </c>
      <c r="Q22" s="76">
        <v>0</v>
      </c>
      <c r="R22" s="76">
        <v>0</v>
      </c>
      <c r="S22" s="58">
        <v>0</v>
      </c>
    </row>
    <row r="23" spans="1:19" ht="12" x14ac:dyDescent="0.2">
      <c r="A23" s="8"/>
      <c r="B23" s="2" t="s">
        <v>54</v>
      </c>
      <c r="C23" s="10">
        <v>257</v>
      </c>
      <c r="D23" s="10"/>
      <c r="E23" s="11" t="s">
        <v>11</v>
      </c>
      <c r="G23" s="57" t="s">
        <v>55</v>
      </c>
      <c r="H23" s="58">
        <v>0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76">
        <v>0</v>
      </c>
      <c r="O23" s="76">
        <v>0</v>
      </c>
      <c r="P23" s="76">
        <v>0</v>
      </c>
      <c r="Q23" s="76">
        <v>0</v>
      </c>
      <c r="R23" s="76">
        <v>0</v>
      </c>
      <c r="S23" s="58">
        <v>0</v>
      </c>
    </row>
    <row r="24" spans="1:19" ht="12" x14ac:dyDescent="0.2">
      <c r="A24" s="19"/>
      <c r="B24" s="2" t="s">
        <v>56</v>
      </c>
      <c r="C24" s="10" t="s">
        <v>57</v>
      </c>
      <c r="D24" s="10"/>
      <c r="E24" s="11" t="s">
        <v>11</v>
      </c>
      <c r="F24" s="19"/>
      <c r="G24" s="57" t="s">
        <v>58</v>
      </c>
      <c r="H24" s="58">
        <v>1.103</v>
      </c>
      <c r="I24" s="58">
        <v>0</v>
      </c>
      <c r="J24" s="58">
        <v>0</v>
      </c>
      <c r="K24" s="58">
        <v>0</v>
      </c>
      <c r="L24" s="58">
        <v>0</v>
      </c>
      <c r="M24" s="58">
        <v>0</v>
      </c>
      <c r="N24" s="76">
        <v>0</v>
      </c>
      <c r="O24" s="76">
        <v>0</v>
      </c>
      <c r="P24" s="76">
        <v>0</v>
      </c>
      <c r="Q24" s="76">
        <v>0</v>
      </c>
      <c r="R24" s="76">
        <v>0</v>
      </c>
      <c r="S24" s="58">
        <v>0</v>
      </c>
    </row>
    <row r="25" spans="1:19" ht="12" x14ac:dyDescent="0.2">
      <c r="A25" s="19"/>
      <c r="B25" s="2" t="s">
        <v>59</v>
      </c>
      <c r="C25" s="10" t="s">
        <v>60</v>
      </c>
      <c r="D25" s="10"/>
      <c r="E25" s="11" t="s">
        <v>11</v>
      </c>
      <c r="F25" s="19"/>
      <c r="G25" s="57" t="s">
        <v>61</v>
      </c>
      <c r="H25" s="58">
        <v>0</v>
      </c>
      <c r="I25" s="58">
        <v>0</v>
      </c>
      <c r="J25" s="58">
        <v>0</v>
      </c>
      <c r="K25" s="58">
        <v>0</v>
      </c>
      <c r="L25" s="58">
        <v>0</v>
      </c>
      <c r="M25" s="58">
        <v>0</v>
      </c>
      <c r="N25" s="76">
        <v>0</v>
      </c>
      <c r="O25" s="76">
        <v>0</v>
      </c>
      <c r="P25" s="76">
        <v>0</v>
      </c>
      <c r="Q25" s="76">
        <v>0</v>
      </c>
      <c r="R25" s="76">
        <v>0</v>
      </c>
      <c r="S25" s="58">
        <v>0</v>
      </c>
    </row>
    <row r="26" spans="1:19" ht="12" x14ac:dyDescent="0.2">
      <c r="A26" s="8"/>
      <c r="B26" s="2" t="s">
        <v>62</v>
      </c>
      <c r="C26" s="10">
        <v>28</v>
      </c>
      <c r="D26" s="10"/>
      <c r="E26" s="11" t="s">
        <v>11</v>
      </c>
      <c r="G26" s="57" t="s">
        <v>63</v>
      </c>
      <c r="H26" s="58">
        <v>0</v>
      </c>
      <c r="I26" s="58">
        <v>0</v>
      </c>
      <c r="J26" s="58">
        <v>0</v>
      </c>
      <c r="K26" s="58">
        <v>0</v>
      </c>
      <c r="L26" s="58">
        <v>0</v>
      </c>
      <c r="M26" s="58">
        <v>0</v>
      </c>
      <c r="N26" s="76">
        <v>0</v>
      </c>
      <c r="O26" s="76">
        <v>0</v>
      </c>
      <c r="P26" s="76">
        <v>0</v>
      </c>
      <c r="Q26" s="76">
        <v>0</v>
      </c>
      <c r="R26" s="76">
        <v>0</v>
      </c>
      <c r="S26" s="58">
        <v>0</v>
      </c>
    </row>
    <row r="27" spans="1:19" x14ac:dyDescent="0.2">
      <c r="A27" s="8"/>
      <c r="B27" s="2" t="s">
        <v>64</v>
      </c>
      <c r="C27" s="10">
        <v>29</v>
      </c>
      <c r="D27" s="10"/>
      <c r="E27" s="12"/>
      <c r="G27" s="57" t="s">
        <v>65</v>
      </c>
      <c r="H27" s="56">
        <f t="shared" ref="H27:M27" si="5">SUM(H28:H30)</f>
        <v>4625.12</v>
      </c>
      <c r="I27" s="56">
        <f t="shared" si="5"/>
        <v>5803.9539999999997</v>
      </c>
      <c r="J27" s="56">
        <f t="shared" si="5"/>
        <v>5552.0009999999993</v>
      </c>
      <c r="K27" s="56">
        <f t="shared" si="5"/>
        <v>5564.652</v>
      </c>
      <c r="L27" s="56">
        <f t="shared" si="5"/>
        <v>5295.74</v>
      </c>
      <c r="M27" s="56">
        <f t="shared" si="5"/>
        <v>9291.0849999999991</v>
      </c>
      <c r="N27" s="77">
        <f t="shared" ref="N27:S27" si="6">SUM(N28:N30)</f>
        <v>13642</v>
      </c>
      <c r="O27" s="77">
        <f t="shared" si="6"/>
        <v>13121</v>
      </c>
      <c r="P27" s="77">
        <f t="shared" si="6"/>
        <v>12570</v>
      </c>
      <c r="Q27" s="77">
        <f t="shared" si="6"/>
        <v>12041</v>
      </c>
      <c r="R27" s="77">
        <f t="shared" si="6"/>
        <v>11499</v>
      </c>
      <c r="S27" s="56">
        <f t="shared" si="6"/>
        <v>10985</v>
      </c>
    </row>
    <row r="28" spans="1:19" ht="12" x14ac:dyDescent="0.2">
      <c r="A28" s="8"/>
      <c r="B28" s="2" t="s">
        <v>66</v>
      </c>
      <c r="C28" s="8" t="s">
        <v>67</v>
      </c>
      <c r="D28" s="8"/>
      <c r="E28" s="11" t="s">
        <v>11</v>
      </c>
      <c r="G28" s="57" t="s">
        <v>68</v>
      </c>
      <c r="H28" s="58">
        <v>4952.5219999999999</v>
      </c>
      <c r="I28" s="58">
        <v>4952.5219999999999</v>
      </c>
      <c r="J28" s="58">
        <v>4952.5219999999999</v>
      </c>
      <c r="K28" s="58">
        <v>4952.5219999999999</v>
      </c>
      <c r="L28" s="58">
        <v>4952.5219999999999</v>
      </c>
      <c r="M28" s="58">
        <v>4952.5219999999999</v>
      </c>
      <c r="N28" s="76">
        <v>4953</v>
      </c>
      <c r="O28" s="76">
        <v>4953</v>
      </c>
      <c r="P28" s="76">
        <v>4953</v>
      </c>
      <c r="Q28" s="76">
        <v>4953</v>
      </c>
      <c r="R28" s="76">
        <v>4953</v>
      </c>
      <c r="S28" s="58">
        <v>4953</v>
      </c>
    </row>
    <row r="29" spans="1:19" ht="12" x14ac:dyDescent="0.2">
      <c r="A29" s="8"/>
      <c r="B29" s="2" t="s">
        <v>69</v>
      </c>
      <c r="C29" s="10">
        <v>298</v>
      </c>
      <c r="D29" s="10"/>
      <c r="E29" s="11" t="s">
        <v>11</v>
      </c>
      <c r="G29" s="57" t="s">
        <v>70</v>
      </c>
      <c r="H29" s="58">
        <v>2.411</v>
      </c>
      <c r="I29" s="58">
        <f>H29+H30</f>
        <v>-327.40199999999999</v>
      </c>
      <c r="J29" s="58">
        <f>I29+I30</f>
        <v>851.43200000000002</v>
      </c>
      <c r="K29" s="58">
        <f>J29+J30</f>
        <v>599.47900000000004</v>
      </c>
      <c r="L29" s="58">
        <f>K29+K30</f>
        <v>612.13</v>
      </c>
      <c r="M29" s="58">
        <v>343.21699999999998</v>
      </c>
      <c r="N29" s="76">
        <v>4338</v>
      </c>
      <c r="O29" s="76">
        <v>8689</v>
      </c>
      <c r="P29" s="76">
        <v>8168</v>
      </c>
      <c r="Q29" s="76">
        <v>7617</v>
      </c>
      <c r="R29" s="76">
        <v>7088</v>
      </c>
      <c r="S29" s="58">
        <v>6546</v>
      </c>
    </row>
    <row r="30" spans="1:19" ht="12" x14ac:dyDescent="0.2">
      <c r="A30" s="8"/>
      <c r="B30" s="2" t="s">
        <v>71</v>
      </c>
      <c r="C30" s="10">
        <v>299</v>
      </c>
      <c r="D30" s="10"/>
      <c r="E30" s="11" t="s">
        <v>72</v>
      </c>
      <c r="G30" s="57" t="s">
        <v>73</v>
      </c>
      <c r="H30" s="58">
        <v>-329.81299999999999</v>
      </c>
      <c r="I30" s="58">
        <v>1178.8340000000001</v>
      </c>
      <c r="J30" s="58">
        <v>-251.953</v>
      </c>
      <c r="K30" s="58">
        <v>12.651</v>
      </c>
      <c r="L30" s="58">
        <v>-268.91199999999998</v>
      </c>
      <c r="M30" s="58">
        <v>3995.346</v>
      </c>
      <c r="N30" s="76">
        <v>4351</v>
      </c>
      <c r="O30" s="76">
        <v>-521</v>
      </c>
      <c r="P30" s="76">
        <v>-551</v>
      </c>
      <c r="Q30" s="76">
        <v>-529</v>
      </c>
      <c r="R30" s="76">
        <v>-542</v>
      </c>
      <c r="S30" s="58">
        <v>-514</v>
      </c>
    </row>
    <row r="31" spans="1:19" x14ac:dyDescent="0.2">
      <c r="A31" s="20"/>
      <c r="B31" s="2" t="s">
        <v>368</v>
      </c>
      <c r="C31" s="83" t="s">
        <v>369</v>
      </c>
      <c r="D31" s="21"/>
      <c r="E31" s="22"/>
      <c r="F31" s="20"/>
      <c r="G31" s="62" t="s">
        <v>74</v>
      </c>
      <c r="H31" s="63">
        <f t="shared" ref="H31:S31" si="7">H4-H18</f>
        <v>-9.9999999929423211E-4</v>
      </c>
      <c r="I31" s="63">
        <f t="shared" si="7"/>
        <v>0</v>
      </c>
      <c r="J31" s="63">
        <f t="shared" si="7"/>
        <v>0</v>
      </c>
      <c r="K31" s="63">
        <f t="shared" si="7"/>
        <v>-1.0000000002037268E-3</v>
      </c>
      <c r="L31" s="63">
        <f t="shared" si="7"/>
        <v>-1.0000000002037268E-3</v>
      </c>
      <c r="M31" s="63">
        <f t="shared" si="7"/>
        <v>0</v>
      </c>
      <c r="N31" s="85">
        <f t="shared" si="7"/>
        <v>0</v>
      </c>
      <c r="O31" s="85">
        <f t="shared" si="7"/>
        <v>0</v>
      </c>
      <c r="P31" s="85">
        <f t="shared" si="7"/>
        <v>0</v>
      </c>
      <c r="Q31" s="85">
        <f t="shared" si="7"/>
        <v>0</v>
      </c>
      <c r="R31" s="85">
        <f t="shared" si="7"/>
        <v>0</v>
      </c>
      <c r="S31" s="63">
        <f t="shared" si="7"/>
        <v>0</v>
      </c>
    </row>
    <row r="32" spans="1:19" x14ac:dyDescent="0.2">
      <c r="A32" s="8"/>
      <c r="B32" s="2"/>
      <c r="C32" s="10"/>
      <c r="D32" s="10"/>
      <c r="E32" s="9"/>
      <c r="G32" s="53" t="s">
        <v>75</v>
      </c>
      <c r="H32" s="64">
        <v>2011</v>
      </c>
      <c r="I32" s="64">
        <f t="shared" ref="I32:S32" si="8">H32+1</f>
        <v>2012</v>
      </c>
      <c r="J32" s="64">
        <f t="shared" si="8"/>
        <v>2013</v>
      </c>
      <c r="K32" s="64">
        <f t="shared" si="8"/>
        <v>2014</v>
      </c>
      <c r="L32" s="64">
        <f t="shared" si="8"/>
        <v>2015</v>
      </c>
      <c r="M32" s="64">
        <f t="shared" si="8"/>
        <v>2016</v>
      </c>
      <c r="N32" s="87">
        <f t="shared" si="8"/>
        <v>2017</v>
      </c>
      <c r="O32" s="87">
        <f t="shared" si="8"/>
        <v>2018</v>
      </c>
      <c r="P32" s="87">
        <f t="shared" si="8"/>
        <v>2019</v>
      </c>
      <c r="Q32" s="87">
        <f t="shared" si="8"/>
        <v>2020</v>
      </c>
      <c r="R32" s="87">
        <f t="shared" si="8"/>
        <v>2021</v>
      </c>
      <c r="S32" s="64">
        <f t="shared" si="8"/>
        <v>2022</v>
      </c>
    </row>
    <row r="33" spans="1:19" x14ac:dyDescent="0.2">
      <c r="A33" s="8"/>
      <c r="B33" s="2" t="s">
        <v>76</v>
      </c>
      <c r="C33" s="10">
        <v>3</v>
      </c>
      <c r="D33" s="10"/>
      <c r="E33" s="9"/>
      <c r="G33" s="55" t="s">
        <v>77</v>
      </c>
      <c r="H33" s="56">
        <f t="shared" ref="H33:S33" si="9">SUM(H34:H37)</f>
        <v>1323.3039999999999</v>
      </c>
      <c r="I33" s="56">
        <f t="shared" si="9"/>
        <v>2774.605</v>
      </c>
      <c r="J33" s="56">
        <f t="shared" si="9"/>
        <v>1452.97</v>
      </c>
      <c r="K33" s="56">
        <f t="shared" si="9"/>
        <v>2301.6240000000003</v>
      </c>
      <c r="L33" s="56">
        <f t="shared" si="9"/>
        <v>1771.0530000000001</v>
      </c>
      <c r="M33" s="56">
        <f t="shared" si="9"/>
        <v>6794.4859999999999</v>
      </c>
      <c r="N33" s="77">
        <f t="shared" si="9"/>
        <v>10838</v>
      </c>
      <c r="O33" s="77">
        <f t="shared" si="9"/>
        <v>2848</v>
      </c>
      <c r="P33" s="77">
        <f t="shared" si="9"/>
        <v>2988</v>
      </c>
      <c r="Q33" s="77">
        <f t="shared" si="9"/>
        <v>3050</v>
      </c>
      <c r="R33" s="77">
        <f t="shared" si="9"/>
        <v>3130</v>
      </c>
      <c r="S33" s="56">
        <f t="shared" si="9"/>
        <v>3190</v>
      </c>
    </row>
    <row r="34" spans="1:19" ht="12" x14ac:dyDescent="0.2">
      <c r="A34" s="8"/>
      <c r="B34" s="2" t="s">
        <v>78</v>
      </c>
      <c r="C34" s="10">
        <v>30</v>
      </c>
      <c r="D34" s="10"/>
      <c r="E34" s="11" t="s">
        <v>11</v>
      </c>
      <c r="G34" s="57" t="s">
        <v>79</v>
      </c>
      <c r="H34" s="58">
        <v>0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76">
        <v>0</v>
      </c>
      <c r="O34" s="76">
        <v>0</v>
      </c>
      <c r="P34" s="76">
        <v>0</v>
      </c>
      <c r="Q34" s="76">
        <v>0</v>
      </c>
      <c r="R34" s="76">
        <v>0</v>
      </c>
      <c r="S34" s="58">
        <v>0</v>
      </c>
    </row>
    <row r="35" spans="1:19" ht="12" x14ac:dyDescent="0.2">
      <c r="A35" s="8"/>
      <c r="B35" s="2" t="s">
        <v>80</v>
      </c>
      <c r="C35" s="10">
        <v>32</v>
      </c>
      <c r="D35" s="10"/>
      <c r="E35" s="11" t="s">
        <v>11</v>
      </c>
      <c r="G35" s="57" t="s">
        <v>81</v>
      </c>
      <c r="H35" s="58">
        <v>460.99200000000002</v>
      </c>
      <c r="I35" s="58">
        <v>455.858</v>
      </c>
      <c r="J35" s="58">
        <v>431.18799999999999</v>
      </c>
      <c r="K35" s="58">
        <v>665.56299999999999</v>
      </c>
      <c r="L35" s="58">
        <v>559.93200000000002</v>
      </c>
      <c r="M35" s="58">
        <v>708.34500000000003</v>
      </c>
      <c r="N35" s="76">
        <v>1438</v>
      </c>
      <c r="O35" s="76">
        <v>1280</v>
      </c>
      <c r="P35" s="76">
        <v>1300</v>
      </c>
      <c r="Q35" s="76">
        <v>1320</v>
      </c>
      <c r="R35" s="76">
        <v>1330</v>
      </c>
      <c r="S35" s="58">
        <v>1340</v>
      </c>
    </row>
    <row r="36" spans="1:19" ht="12" x14ac:dyDescent="0.2">
      <c r="A36" s="13"/>
      <c r="B36" s="2" t="s">
        <v>82</v>
      </c>
      <c r="C36" s="10">
        <v>35</v>
      </c>
      <c r="D36" s="10"/>
      <c r="E36" s="11" t="s">
        <v>11</v>
      </c>
      <c r="F36" s="13"/>
      <c r="G36" s="57" t="s">
        <v>83</v>
      </c>
      <c r="H36" s="58">
        <v>934.8</v>
      </c>
      <c r="I36" s="58">
        <v>2317.08</v>
      </c>
      <c r="J36" s="58">
        <v>1021.782</v>
      </c>
      <c r="K36" s="58">
        <v>1636.9580000000001</v>
      </c>
      <c r="L36" s="58">
        <v>1211.135</v>
      </c>
      <c r="M36" s="58">
        <v>6084.8729999999996</v>
      </c>
      <c r="N36" s="76">
        <v>9391</v>
      </c>
      <c r="O36" s="76">
        <v>1568</v>
      </c>
      <c r="P36" s="76">
        <v>1688</v>
      </c>
      <c r="Q36" s="76">
        <v>1730</v>
      </c>
      <c r="R36" s="76">
        <v>1800</v>
      </c>
      <c r="S36" s="58">
        <v>1850</v>
      </c>
    </row>
    <row r="37" spans="1:19" ht="12" x14ac:dyDescent="0.2">
      <c r="A37" s="8"/>
      <c r="B37" s="2" t="s">
        <v>84</v>
      </c>
      <c r="C37" s="10">
        <v>38</v>
      </c>
      <c r="D37" s="10"/>
      <c r="E37" s="11" t="s">
        <v>72</v>
      </c>
      <c r="G37" s="57" t="s">
        <v>85</v>
      </c>
      <c r="H37" s="58">
        <v>-72.488</v>
      </c>
      <c r="I37" s="58">
        <v>1.667</v>
      </c>
      <c r="J37" s="58">
        <v>0</v>
      </c>
      <c r="K37" s="58">
        <v>-0.89700000000000002</v>
      </c>
      <c r="L37" s="58">
        <v>-1.4E-2</v>
      </c>
      <c r="M37" s="58">
        <v>1.268</v>
      </c>
      <c r="N37" s="76">
        <v>9</v>
      </c>
      <c r="O37" s="76">
        <v>0</v>
      </c>
      <c r="P37" s="76">
        <v>0</v>
      </c>
      <c r="Q37" s="76">
        <v>0</v>
      </c>
      <c r="R37" s="76">
        <v>0</v>
      </c>
      <c r="S37" s="58">
        <v>0</v>
      </c>
    </row>
    <row r="38" spans="1:19" x14ac:dyDescent="0.2">
      <c r="A38" s="8"/>
      <c r="B38" s="2" t="s">
        <v>86</v>
      </c>
      <c r="C38" s="10">
        <v>4</v>
      </c>
      <c r="D38" s="10"/>
      <c r="E38" s="23"/>
      <c r="G38" s="57" t="s">
        <v>87</v>
      </c>
      <c r="H38" s="56">
        <f t="shared" ref="H38:S38" si="10">H39+H40</f>
        <v>-172.048</v>
      </c>
      <c r="I38" s="56">
        <f t="shared" si="10"/>
        <v>-1.7370000000000001</v>
      </c>
      <c r="J38" s="56">
        <f t="shared" si="10"/>
        <v>-1.7370000000000001</v>
      </c>
      <c r="K38" s="56">
        <f t="shared" si="10"/>
        <v>-1.7969999999999999</v>
      </c>
      <c r="L38" s="56">
        <f t="shared" si="10"/>
        <v>-1.9059999999999999</v>
      </c>
      <c r="M38" s="56">
        <f t="shared" si="10"/>
        <v>-2.7320000000000002</v>
      </c>
      <c r="N38" s="77">
        <f t="shared" si="10"/>
        <v>-2</v>
      </c>
      <c r="O38" s="77">
        <f t="shared" si="10"/>
        <v>-2</v>
      </c>
      <c r="P38" s="77">
        <f t="shared" si="10"/>
        <v>0</v>
      </c>
      <c r="Q38" s="77">
        <f t="shared" si="10"/>
        <v>0</v>
      </c>
      <c r="R38" s="77">
        <f t="shared" si="10"/>
        <v>0</v>
      </c>
      <c r="S38" s="56">
        <f t="shared" si="10"/>
        <v>0</v>
      </c>
    </row>
    <row r="39" spans="1:19" ht="12" x14ac:dyDescent="0.2">
      <c r="A39" s="8"/>
      <c r="B39" s="2" t="s">
        <v>88</v>
      </c>
      <c r="C39" s="10">
        <v>41</v>
      </c>
      <c r="D39" s="10"/>
      <c r="E39" s="11" t="s">
        <v>89</v>
      </c>
      <c r="G39" s="57" t="s">
        <v>90</v>
      </c>
      <c r="H39" s="58">
        <v>0</v>
      </c>
      <c r="I39" s="58">
        <v>0</v>
      </c>
      <c r="J39" s="58">
        <v>0</v>
      </c>
      <c r="K39" s="58">
        <v>0</v>
      </c>
      <c r="L39" s="58">
        <v>0</v>
      </c>
      <c r="M39" s="58">
        <v>0</v>
      </c>
      <c r="N39" s="76">
        <v>0</v>
      </c>
      <c r="O39" s="76">
        <v>0</v>
      </c>
      <c r="P39" s="76">
        <v>0</v>
      </c>
      <c r="Q39" s="76">
        <v>0</v>
      </c>
      <c r="R39" s="76">
        <v>0</v>
      </c>
      <c r="S39" s="58">
        <v>0</v>
      </c>
    </row>
    <row r="40" spans="1:19" ht="12" x14ac:dyDescent="0.2">
      <c r="A40" s="8"/>
      <c r="B40" s="2" t="s">
        <v>91</v>
      </c>
      <c r="C40" s="10">
        <v>45</v>
      </c>
      <c r="D40" s="10"/>
      <c r="E40" s="11" t="s">
        <v>89</v>
      </c>
      <c r="G40" s="57" t="s">
        <v>92</v>
      </c>
      <c r="H40" s="58">
        <v>-172.048</v>
      </c>
      <c r="I40" s="58">
        <v>-1.7370000000000001</v>
      </c>
      <c r="J40" s="58">
        <v>-1.7370000000000001</v>
      </c>
      <c r="K40" s="58">
        <v>-1.7969999999999999</v>
      </c>
      <c r="L40" s="58">
        <v>-1.9059999999999999</v>
      </c>
      <c r="M40" s="58">
        <v>-2.7320000000000002</v>
      </c>
      <c r="N40" s="76">
        <v>-2</v>
      </c>
      <c r="O40" s="76">
        <v>-2</v>
      </c>
      <c r="P40" s="76">
        <v>0</v>
      </c>
      <c r="Q40" s="76">
        <v>0</v>
      </c>
      <c r="R40" s="76">
        <v>0</v>
      </c>
      <c r="S40" s="58">
        <v>0</v>
      </c>
    </row>
    <row r="41" spans="1:19" x14ac:dyDescent="0.2">
      <c r="A41" s="13"/>
      <c r="B41" s="2" t="s">
        <v>93</v>
      </c>
      <c r="C41" s="10" t="s">
        <v>94</v>
      </c>
      <c r="D41" s="10"/>
      <c r="E41" s="23"/>
      <c r="F41" s="13"/>
      <c r="G41" s="57" t="s">
        <v>95</v>
      </c>
      <c r="H41" s="56">
        <f t="shared" ref="H41:S41" si="11">SUM(H42:H45)</f>
        <v>-1481.3609999999999</v>
      </c>
      <c r="I41" s="56">
        <f t="shared" si="11"/>
        <v>-1594.2239999999999</v>
      </c>
      <c r="J41" s="56">
        <f t="shared" si="11"/>
        <v>-1703.1860000000001</v>
      </c>
      <c r="K41" s="56">
        <f t="shared" si="11"/>
        <v>-2287.1760000000004</v>
      </c>
      <c r="L41" s="56">
        <f t="shared" si="11"/>
        <v>-2050.241</v>
      </c>
      <c r="M41" s="56">
        <f t="shared" si="11"/>
        <v>-2812.402</v>
      </c>
      <c r="N41" s="77">
        <f t="shared" si="11"/>
        <v>-6485</v>
      </c>
      <c r="O41" s="77">
        <f t="shared" si="11"/>
        <v>-3367</v>
      </c>
      <c r="P41" s="77">
        <f t="shared" si="11"/>
        <v>-3539</v>
      </c>
      <c r="Q41" s="77">
        <f t="shared" si="11"/>
        <v>-3579</v>
      </c>
      <c r="R41" s="77">
        <f t="shared" si="11"/>
        <v>-3672</v>
      </c>
      <c r="S41" s="56">
        <f t="shared" si="11"/>
        <v>-3704</v>
      </c>
    </row>
    <row r="42" spans="1:19" ht="12" x14ac:dyDescent="0.2">
      <c r="A42" s="8"/>
      <c r="B42" s="2" t="s">
        <v>96</v>
      </c>
      <c r="C42" s="10">
        <v>50</v>
      </c>
      <c r="D42" s="10"/>
      <c r="E42" s="11" t="s">
        <v>89</v>
      </c>
      <c r="G42" s="57" t="s">
        <v>97</v>
      </c>
      <c r="H42" s="58">
        <v>-887.78399999999999</v>
      </c>
      <c r="I42" s="58">
        <v>-884.05899999999997</v>
      </c>
      <c r="J42" s="58">
        <v>-931.774</v>
      </c>
      <c r="K42" s="58">
        <v>-1069.1210000000001</v>
      </c>
      <c r="L42" s="58">
        <v>-1108.8030000000001</v>
      </c>
      <c r="M42" s="58">
        <v>-1251.848</v>
      </c>
      <c r="N42" s="76">
        <v>-1720</v>
      </c>
      <c r="O42" s="76">
        <v>-1948</v>
      </c>
      <c r="P42" s="76">
        <v>-2080</v>
      </c>
      <c r="Q42" s="76">
        <v>-2130</v>
      </c>
      <c r="R42" s="76">
        <v>-2220</v>
      </c>
      <c r="S42" s="58">
        <v>-2260</v>
      </c>
    </row>
    <row r="43" spans="1:19" ht="12" x14ac:dyDescent="0.2">
      <c r="A43" s="8"/>
      <c r="B43" s="2" t="s">
        <v>98</v>
      </c>
      <c r="C43" s="10">
        <v>55</v>
      </c>
      <c r="D43" s="10"/>
      <c r="E43" s="11" t="s">
        <v>89</v>
      </c>
      <c r="G43" s="57" t="s">
        <v>99</v>
      </c>
      <c r="H43" s="58">
        <v>-430.63600000000002</v>
      </c>
      <c r="I43" s="58">
        <v>-507.58600000000001</v>
      </c>
      <c r="J43" s="58">
        <v>-479.20800000000003</v>
      </c>
      <c r="K43" s="58">
        <v>-631.04</v>
      </c>
      <c r="L43" s="58">
        <v>-566.43299999999999</v>
      </c>
      <c r="M43" s="58">
        <v>-618.15599999999995</v>
      </c>
      <c r="N43" s="76">
        <v>-2261</v>
      </c>
      <c r="O43" s="76">
        <v>-892</v>
      </c>
      <c r="P43" s="76">
        <v>-900</v>
      </c>
      <c r="Q43" s="76">
        <v>-900</v>
      </c>
      <c r="R43" s="76">
        <v>-910</v>
      </c>
      <c r="S43" s="58">
        <v>-920</v>
      </c>
    </row>
    <row r="44" spans="1:19" ht="12" x14ac:dyDescent="0.2">
      <c r="A44" s="13"/>
      <c r="B44" s="2" t="s">
        <v>100</v>
      </c>
      <c r="C44" s="10">
        <v>60</v>
      </c>
      <c r="D44" s="10"/>
      <c r="E44" s="11" t="s">
        <v>89</v>
      </c>
      <c r="F44" s="13"/>
      <c r="G44" s="57" t="s">
        <v>101</v>
      </c>
      <c r="H44" s="58">
        <v>-1.7350000000000001</v>
      </c>
      <c r="I44" s="58">
        <v>-5.6139999999999999</v>
      </c>
      <c r="J44" s="58">
        <v>-0.35199999999999998</v>
      </c>
      <c r="K44" s="58">
        <v>-0.53500000000000003</v>
      </c>
      <c r="L44" s="58">
        <v>-0.316</v>
      </c>
      <c r="M44" s="58">
        <v>0</v>
      </c>
      <c r="N44" s="76">
        <v>-1</v>
      </c>
      <c r="O44" s="76">
        <v>-2</v>
      </c>
      <c r="P44" s="76">
        <v>-2</v>
      </c>
      <c r="Q44" s="76">
        <v>-2</v>
      </c>
      <c r="R44" s="76">
        <v>-2</v>
      </c>
      <c r="S44" s="58">
        <v>-2</v>
      </c>
    </row>
    <row r="45" spans="1:19" ht="12" x14ac:dyDescent="0.2">
      <c r="A45" s="8"/>
      <c r="B45" s="2" t="s">
        <v>102</v>
      </c>
      <c r="C45" s="10">
        <v>61</v>
      </c>
      <c r="D45" s="10"/>
      <c r="E45" s="11" t="s">
        <v>89</v>
      </c>
      <c r="G45" s="57" t="s">
        <v>103</v>
      </c>
      <c r="H45" s="58">
        <v>-161.20599999999999</v>
      </c>
      <c r="I45" s="58">
        <v>-196.965</v>
      </c>
      <c r="J45" s="58">
        <v>-291.85199999999998</v>
      </c>
      <c r="K45" s="58">
        <v>-586.48</v>
      </c>
      <c r="L45" s="58">
        <v>-374.68900000000002</v>
      </c>
      <c r="M45" s="58">
        <v>-942.39800000000002</v>
      </c>
      <c r="N45" s="76">
        <v>-2503</v>
      </c>
      <c r="O45" s="76">
        <v>-525</v>
      </c>
      <c r="P45" s="76">
        <v>-557</v>
      </c>
      <c r="Q45" s="76">
        <v>-547</v>
      </c>
      <c r="R45" s="76">
        <v>-540</v>
      </c>
      <c r="S45" s="58">
        <v>-522</v>
      </c>
    </row>
    <row r="46" spans="1:19" x14ac:dyDescent="0.2">
      <c r="A46" s="8"/>
      <c r="B46" s="2" t="s">
        <v>104</v>
      </c>
      <c r="C46" s="10"/>
      <c r="D46" s="10"/>
      <c r="E46" s="9"/>
      <c r="G46" s="57" t="s">
        <v>105</v>
      </c>
      <c r="H46" s="56">
        <f t="shared" ref="H46:S46" si="12">H33+H38+H41</f>
        <v>-330.10500000000002</v>
      </c>
      <c r="I46" s="56">
        <f t="shared" si="12"/>
        <v>1178.644</v>
      </c>
      <c r="J46" s="56">
        <f t="shared" si="12"/>
        <v>-251.9530000000002</v>
      </c>
      <c r="K46" s="56">
        <f t="shared" si="12"/>
        <v>12.65099999999984</v>
      </c>
      <c r="L46" s="56">
        <f t="shared" si="12"/>
        <v>-281.09399999999982</v>
      </c>
      <c r="M46" s="56">
        <f t="shared" si="12"/>
        <v>3979.3519999999999</v>
      </c>
      <c r="N46" s="77">
        <f t="shared" si="12"/>
        <v>4351</v>
      </c>
      <c r="O46" s="77">
        <f t="shared" si="12"/>
        <v>-521</v>
      </c>
      <c r="P46" s="77">
        <f t="shared" si="12"/>
        <v>-551</v>
      </c>
      <c r="Q46" s="77">
        <f t="shared" si="12"/>
        <v>-529</v>
      </c>
      <c r="R46" s="77">
        <f t="shared" si="12"/>
        <v>-542</v>
      </c>
      <c r="S46" s="56">
        <f t="shared" si="12"/>
        <v>-514</v>
      </c>
    </row>
    <row r="47" spans="1:19" ht="12" x14ac:dyDescent="0.2">
      <c r="A47" s="8"/>
      <c r="B47" s="2" t="s">
        <v>106</v>
      </c>
      <c r="C47" s="10">
        <v>65</v>
      </c>
      <c r="D47" s="10"/>
      <c r="E47" s="11" t="s">
        <v>72</v>
      </c>
      <c r="G47" s="57" t="s">
        <v>107</v>
      </c>
      <c r="H47" s="58">
        <v>0.29099999999999998</v>
      </c>
      <c r="I47" s="58">
        <v>0.191</v>
      </c>
      <c r="J47" s="58">
        <v>0</v>
      </c>
      <c r="K47" s="58">
        <v>0</v>
      </c>
      <c r="L47" s="58">
        <v>12.180999999999999</v>
      </c>
      <c r="M47" s="58">
        <v>16.405999999999999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</row>
    <row r="48" spans="1:19" x14ac:dyDescent="0.2">
      <c r="A48" s="8"/>
      <c r="B48" s="2" t="s">
        <v>108</v>
      </c>
      <c r="C48" s="10"/>
      <c r="D48" s="10"/>
      <c r="E48" s="9"/>
      <c r="G48" s="57" t="s">
        <v>109</v>
      </c>
      <c r="H48" s="56">
        <f t="shared" ref="H48:S48" si="13">H46+H47</f>
        <v>-329.81400000000002</v>
      </c>
      <c r="I48" s="56">
        <f t="shared" si="13"/>
        <v>1178.835</v>
      </c>
      <c r="J48" s="56">
        <f t="shared" si="13"/>
        <v>-251.9530000000002</v>
      </c>
      <c r="K48" s="56">
        <f t="shared" si="13"/>
        <v>12.65099999999984</v>
      </c>
      <c r="L48" s="56">
        <f t="shared" si="13"/>
        <v>-268.91299999999984</v>
      </c>
      <c r="M48" s="56">
        <f t="shared" si="13"/>
        <v>3995.7579999999998</v>
      </c>
      <c r="N48" s="77">
        <f t="shared" si="13"/>
        <v>4351</v>
      </c>
      <c r="O48" s="77">
        <f t="shared" si="13"/>
        <v>-521</v>
      </c>
      <c r="P48" s="77">
        <f t="shared" si="13"/>
        <v>-551</v>
      </c>
      <c r="Q48" s="77">
        <f t="shared" si="13"/>
        <v>-529</v>
      </c>
      <c r="R48" s="77">
        <f t="shared" si="13"/>
        <v>-542</v>
      </c>
      <c r="S48" s="56">
        <f t="shared" si="13"/>
        <v>-514</v>
      </c>
    </row>
    <row r="49" spans="1:19" ht="12" x14ac:dyDescent="0.2">
      <c r="A49" s="8"/>
      <c r="B49" s="2" t="s">
        <v>110</v>
      </c>
      <c r="C49" s="10">
        <v>68</v>
      </c>
      <c r="D49" s="10"/>
      <c r="E49" s="11" t="s">
        <v>89</v>
      </c>
      <c r="G49" s="57" t="s">
        <v>111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76">
        <v>0</v>
      </c>
      <c r="O49" s="76">
        <v>0</v>
      </c>
      <c r="P49" s="76">
        <v>0</v>
      </c>
      <c r="Q49" s="76">
        <v>0</v>
      </c>
      <c r="R49" s="76">
        <v>0</v>
      </c>
      <c r="S49" s="58">
        <v>0</v>
      </c>
    </row>
    <row r="50" spans="1:19" ht="12" x14ac:dyDescent="0.2">
      <c r="A50" s="8"/>
      <c r="B50" s="2" t="s">
        <v>112</v>
      </c>
      <c r="C50" s="10">
        <v>69</v>
      </c>
      <c r="D50" s="10"/>
      <c r="E50" s="11" t="s">
        <v>11</v>
      </c>
      <c r="G50" s="57" t="s">
        <v>113</v>
      </c>
      <c r="H50" s="58">
        <v>0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76">
        <v>0</v>
      </c>
      <c r="O50" s="76">
        <v>0</v>
      </c>
      <c r="P50" s="76">
        <v>0</v>
      </c>
      <c r="Q50" s="76">
        <v>0</v>
      </c>
      <c r="R50" s="76">
        <v>0</v>
      </c>
      <c r="S50" s="58">
        <v>0</v>
      </c>
    </row>
    <row r="51" spans="1:19" x14ac:dyDescent="0.2">
      <c r="A51" s="8"/>
      <c r="B51" s="2" t="s">
        <v>114</v>
      </c>
      <c r="C51" s="10"/>
      <c r="D51" s="10"/>
      <c r="E51" s="9"/>
      <c r="G51" s="57" t="s">
        <v>115</v>
      </c>
      <c r="H51" s="56">
        <f t="shared" ref="H51:S51" si="14">H48+H49+H50</f>
        <v>-329.81400000000002</v>
      </c>
      <c r="I51" s="56">
        <f t="shared" si="14"/>
        <v>1178.835</v>
      </c>
      <c r="J51" s="56">
        <f t="shared" si="14"/>
        <v>-251.9530000000002</v>
      </c>
      <c r="K51" s="56">
        <f t="shared" si="14"/>
        <v>12.65099999999984</v>
      </c>
      <c r="L51" s="56">
        <f t="shared" si="14"/>
        <v>-268.91299999999984</v>
      </c>
      <c r="M51" s="56">
        <f t="shared" si="14"/>
        <v>3995.7579999999998</v>
      </c>
      <c r="N51" s="77">
        <f t="shared" si="14"/>
        <v>4351</v>
      </c>
      <c r="O51" s="77">
        <f t="shared" si="14"/>
        <v>-521</v>
      </c>
      <c r="P51" s="77">
        <f t="shared" si="14"/>
        <v>-551</v>
      </c>
      <c r="Q51" s="77">
        <f t="shared" si="14"/>
        <v>-529</v>
      </c>
      <c r="R51" s="77">
        <f t="shared" si="14"/>
        <v>-542</v>
      </c>
      <c r="S51" s="56">
        <f t="shared" si="14"/>
        <v>-514</v>
      </c>
    </row>
    <row r="52" spans="1:19" x14ac:dyDescent="0.2">
      <c r="A52" s="24"/>
      <c r="B52" s="2" t="s">
        <v>370</v>
      </c>
      <c r="C52" s="83" t="s">
        <v>371</v>
      </c>
      <c r="D52" s="25"/>
      <c r="E52" s="26"/>
      <c r="F52" s="24"/>
      <c r="G52" s="62" t="s">
        <v>116</v>
      </c>
      <c r="H52" s="63">
        <f t="shared" ref="H52:S52" si="15">H30-H51</f>
        <v>1.0000000000331966E-3</v>
      </c>
      <c r="I52" s="63">
        <f t="shared" si="15"/>
        <v>-9.9999999997635314E-4</v>
      </c>
      <c r="J52" s="63">
        <f t="shared" si="15"/>
        <v>0</v>
      </c>
      <c r="K52" s="63">
        <f t="shared" si="15"/>
        <v>1.5987211554602254E-13</v>
      </c>
      <c r="L52" s="63">
        <f t="shared" si="15"/>
        <v>9.999999998626663E-4</v>
      </c>
      <c r="M52" s="63">
        <f t="shared" si="15"/>
        <v>-0.41199999999980719</v>
      </c>
      <c r="N52" s="85">
        <f t="shared" si="15"/>
        <v>0</v>
      </c>
      <c r="O52" s="85">
        <f>O30-O51</f>
        <v>0</v>
      </c>
      <c r="P52" s="85">
        <f t="shared" si="15"/>
        <v>0</v>
      </c>
      <c r="Q52" s="85">
        <f t="shared" si="15"/>
        <v>0</v>
      </c>
      <c r="R52" s="85">
        <f t="shared" si="15"/>
        <v>0</v>
      </c>
      <c r="S52" s="63">
        <f t="shared" si="15"/>
        <v>0</v>
      </c>
    </row>
    <row r="53" spans="1:19" x14ac:dyDescent="0.2">
      <c r="A53" s="8"/>
      <c r="B53" s="2"/>
      <c r="C53" s="10"/>
      <c r="D53" s="10"/>
      <c r="E53" s="9"/>
      <c r="G53" s="65" t="s">
        <v>117</v>
      </c>
      <c r="H53" s="48"/>
      <c r="I53" s="48"/>
      <c r="J53" s="48"/>
      <c r="K53" s="48"/>
      <c r="L53" s="48"/>
      <c r="M53" s="48"/>
      <c r="N53" s="4"/>
      <c r="O53" s="4"/>
      <c r="P53" s="4"/>
      <c r="Q53" s="4"/>
      <c r="R53" s="4"/>
      <c r="S53" s="48"/>
    </row>
    <row r="54" spans="1:19" ht="12" x14ac:dyDescent="0.2">
      <c r="A54" s="8"/>
      <c r="B54" s="2"/>
      <c r="C54" s="10">
        <v>90</v>
      </c>
      <c r="D54" s="10"/>
      <c r="E54" s="11" t="s">
        <v>11</v>
      </c>
      <c r="G54" s="65" t="s">
        <v>118</v>
      </c>
      <c r="H54" s="58">
        <v>76</v>
      </c>
      <c r="I54" s="58">
        <v>74</v>
      </c>
      <c r="J54" s="58">
        <v>76</v>
      </c>
      <c r="K54" s="58">
        <v>78</v>
      </c>
      <c r="L54" s="58">
        <v>79</v>
      </c>
      <c r="M54" s="58">
        <v>77</v>
      </c>
      <c r="N54" s="76">
        <v>90</v>
      </c>
      <c r="O54" s="76">
        <v>95</v>
      </c>
      <c r="P54" s="76">
        <v>93</v>
      </c>
      <c r="Q54" s="76">
        <v>94</v>
      </c>
      <c r="R54" s="76">
        <v>95</v>
      </c>
      <c r="S54" s="58">
        <v>95</v>
      </c>
    </row>
    <row r="55" spans="1:19" ht="12" x14ac:dyDescent="0.2">
      <c r="A55" s="8"/>
      <c r="B55" s="2"/>
      <c r="C55" s="10"/>
      <c r="D55" s="10"/>
      <c r="E55" s="11" t="s">
        <v>11</v>
      </c>
      <c r="G55" s="65" t="s">
        <v>119</v>
      </c>
      <c r="H55" s="58"/>
      <c r="I55" s="58"/>
      <c r="J55" s="58"/>
      <c r="K55" s="58"/>
      <c r="L55" s="66"/>
      <c r="M55" s="66"/>
      <c r="N55" s="88"/>
      <c r="O55" s="88"/>
      <c r="P55" s="88"/>
      <c r="Q55" s="88"/>
      <c r="R55" s="88"/>
      <c r="S55" s="66"/>
    </row>
    <row r="56" spans="1:19" x14ac:dyDescent="0.2">
      <c r="A56" s="8"/>
      <c r="B56" s="2"/>
      <c r="C56" s="10"/>
      <c r="D56" s="10"/>
      <c r="E56" s="9"/>
      <c r="G56" s="67"/>
      <c r="H56" s="48"/>
      <c r="I56" s="48"/>
      <c r="J56" s="48"/>
      <c r="K56" s="48"/>
      <c r="L56" s="48"/>
      <c r="M56" s="48"/>
      <c r="N56" s="4"/>
      <c r="O56" s="4"/>
      <c r="P56" s="4"/>
      <c r="Q56" s="4"/>
      <c r="R56" s="4"/>
      <c r="S56" s="48"/>
    </row>
    <row r="57" spans="1:19" x14ac:dyDescent="0.2">
      <c r="A57" s="8"/>
      <c r="B57" s="2"/>
      <c r="C57" s="10"/>
      <c r="D57" s="29" t="s">
        <v>120</v>
      </c>
      <c r="E57" s="30" t="s">
        <v>3</v>
      </c>
      <c r="F57" s="9"/>
      <c r="G57" s="53" t="s">
        <v>121</v>
      </c>
      <c r="H57" s="64">
        <f t="shared" ref="H57:S57" si="16">H32</f>
        <v>2011</v>
      </c>
      <c r="I57" s="64">
        <f t="shared" si="16"/>
        <v>2012</v>
      </c>
      <c r="J57" s="64">
        <f t="shared" si="16"/>
        <v>2013</v>
      </c>
      <c r="K57" s="64">
        <f t="shared" si="16"/>
        <v>2014</v>
      </c>
      <c r="L57" s="64">
        <f t="shared" si="16"/>
        <v>2015</v>
      </c>
      <c r="M57" s="64">
        <f t="shared" si="16"/>
        <v>2016</v>
      </c>
      <c r="N57" s="87">
        <f t="shared" si="16"/>
        <v>2017</v>
      </c>
      <c r="O57" s="87">
        <f t="shared" si="16"/>
        <v>2018</v>
      </c>
      <c r="P57" s="87">
        <f t="shared" si="16"/>
        <v>2019</v>
      </c>
      <c r="Q57" s="87">
        <f t="shared" si="16"/>
        <v>2020</v>
      </c>
      <c r="R57" s="87">
        <f t="shared" si="16"/>
        <v>2021</v>
      </c>
      <c r="S57" s="64">
        <f t="shared" si="16"/>
        <v>2022</v>
      </c>
    </row>
    <row r="58" spans="1:19" ht="12" x14ac:dyDescent="0.2">
      <c r="A58" s="8"/>
      <c r="B58" s="31" t="s">
        <v>122</v>
      </c>
      <c r="C58" s="8" t="s">
        <v>123</v>
      </c>
      <c r="D58" s="32" t="s">
        <v>124</v>
      </c>
      <c r="E58" s="11" t="s">
        <v>89</v>
      </c>
      <c r="F58" s="12"/>
      <c r="G58" s="55" t="s">
        <v>125</v>
      </c>
      <c r="H58" s="58">
        <v>-7.92</v>
      </c>
      <c r="I58" s="58">
        <v>19.405999999999999</v>
      </c>
      <c r="J58" s="58">
        <v>-63.987000000000002</v>
      </c>
      <c r="K58" s="58">
        <v>308.31099999999998</v>
      </c>
      <c r="L58" s="58">
        <v>-246.43899999999999</v>
      </c>
      <c r="M58" s="58">
        <v>-4818</v>
      </c>
      <c r="N58" s="76">
        <v>-6986</v>
      </c>
      <c r="O58" s="76">
        <v>-72</v>
      </c>
      <c r="P58" s="76">
        <v>0</v>
      </c>
      <c r="Q58" s="76">
        <v>0</v>
      </c>
      <c r="R58" s="76">
        <v>0</v>
      </c>
      <c r="S58" s="58">
        <v>-20</v>
      </c>
    </row>
    <row r="59" spans="1:19" ht="12" x14ac:dyDescent="0.2">
      <c r="A59" s="8"/>
      <c r="B59" s="31" t="s">
        <v>126</v>
      </c>
      <c r="C59" s="33" t="s">
        <v>127</v>
      </c>
      <c r="D59" s="32" t="s">
        <v>128</v>
      </c>
      <c r="E59" s="11" t="s">
        <v>11</v>
      </c>
      <c r="F59" s="12"/>
      <c r="G59" s="68" t="s">
        <v>129</v>
      </c>
      <c r="H59" s="58">
        <v>27.841999999999999</v>
      </c>
      <c r="I59" s="58">
        <v>1.667</v>
      </c>
      <c r="J59" s="58">
        <v>0</v>
      </c>
      <c r="K59" s="58">
        <v>2</v>
      </c>
      <c r="L59" s="58">
        <v>6.25</v>
      </c>
      <c r="M59" s="58">
        <v>0</v>
      </c>
      <c r="N59" s="76">
        <v>0</v>
      </c>
      <c r="O59" s="76">
        <v>0</v>
      </c>
      <c r="P59" s="76">
        <v>0</v>
      </c>
      <c r="Q59" s="76">
        <v>0</v>
      </c>
      <c r="R59" s="76">
        <v>0</v>
      </c>
      <c r="S59" s="58">
        <v>0</v>
      </c>
    </row>
    <row r="60" spans="1:19" ht="12" x14ac:dyDescent="0.2">
      <c r="A60" s="8"/>
      <c r="B60" s="31" t="s">
        <v>130</v>
      </c>
      <c r="C60" s="34" t="s">
        <v>372</v>
      </c>
      <c r="D60" s="32" t="s">
        <v>131</v>
      </c>
      <c r="E60" s="11" t="s">
        <v>11</v>
      </c>
      <c r="F60" s="12"/>
      <c r="G60" s="57" t="s">
        <v>132</v>
      </c>
      <c r="H60" s="58">
        <v>-0.6</v>
      </c>
      <c r="I60" s="58">
        <v>0.6</v>
      </c>
      <c r="J60" s="58">
        <v>62.902000000000001</v>
      </c>
      <c r="K60" s="58">
        <v>0</v>
      </c>
      <c r="L60" s="58">
        <v>8723.0429999999997</v>
      </c>
      <c r="M60" s="58">
        <v>4051.7080000000001</v>
      </c>
      <c r="N60" s="76">
        <v>8049</v>
      </c>
      <c r="O60" s="76">
        <v>72</v>
      </c>
      <c r="P60" s="76">
        <v>0</v>
      </c>
      <c r="Q60" s="76">
        <v>0</v>
      </c>
      <c r="R60" s="76">
        <v>0</v>
      </c>
      <c r="S60" s="58">
        <v>0</v>
      </c>
    </row>
    <row r="61" spans="1:19" ht="12" x14ac:dyDescent="0.2">
      <c r="A61" s="8"/>
      <c r="B61" s="31" t="s">
        <v>133</v>
      </c>
      <c r="C61" s="34" t="s">
        <v>134</v>
      </c>
      <c r="D61" s="34" t="s">
        <v>135</v>
      </c>
      <c r="E61" s="11" t="s">
        <v>89</v>
      </c>
      <c r="F61" s="12"/>
      <c r="G61" s="57" t="s">
        <v>136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76">
        <v>0</v>
      </c>
      <c r="O61" s="76">
        <v>0</v>
      </c>
      <c r="P61" s="76">
        <v>0</v>
      </c>
      <c r="Q61" s="76">
        <v>0</v>
      </c>
      <c r="R61" s="76">
        <v>0</v>
      </c>
      <c r="S61" s="58">
        <v>0</v>
      </c>
    </row>
    <row r="62" spans="1:19" ht="12" x14ac:dyDescent="0.2">
      <c r="A62" s="8"/>
      <c r="B62" s="31" t="s">
        <v>137</v>
      </c>
      <c r="C62" s="10">
        <v>253800</v>
      </c>
      <c r="D62" s="34" t="s">
        <v>131</v>
      </c>
      <c r="E62" s="11" t="s">
        <v>11</v>
      </c>
      <c r="F62" s="12"/>
      <c r="G62" s="57" t="s">
        <v>138</v>
      </c>
      <c r="H62" s="58">
        <v>0</v>
      </c>
      <c r="I62" s="58">
        <v>0</v>
      </c>
      <c r="J62" s="58">
        <v>0</v>
      </c>
      <c r="K62" s="58">
        <v>0</v>
      </c>
      <c r="L62" s="58">
        <v>0</v>
      </c>
      <c r="M62" s="58">
        <v>0</v>
      </c>
      <c r="N62" s="76">
        <v>0</v>
      </c>
      <c r="O62" s="76">
        <v>0</v>
      </c>
      <c r="P62" s="76">
        <v>0</v>
      </c>
      <c r="Q62" s="76">
        <v>0</v>
      </c>
      <c r="R62" s="76">
        <v>0</v>
      </c>
      <c r="S62" s="58">
        <v>0</v>
      </c>
    </row>
    <row r="63" spans="1:19" ht="12" x14ac:dyDescent="0.2">
      <c r="A63" s="8"/>
      <c r="B63" s="31" t="s">
        <v>139</v>
      </c>
      <c r="C63" s="10">
        <v>150</v>
      </c>
      <c r="D63" s="34" t="s">
        <v>135</v>
      </c>
      <c r="E63" s="11" t="s">
        <v>89</v>
      </c>
      <c r="F63" s="12"/>
      <c r="G63" s="57" t="s">
        <v>140</v>
      </c>
      <c r="H63" s="58">
        <v>0</v>
      </c>
      <c r="I63" s="58">
        <v>0</v>
      </c>
      <c r="J63" s="58">
        <v>0</v>
      </c>
      <c r="K63" s="58">
        <v>0</v>
      </c>
      <c r="L63" s="58">
        <v>0</v>
      </c>
      <c r="M63" s="58">
        <v>0</v>
      </c>
      <c r="N63" s="76">
        <v>0</v>
      </c>
      <c r="O63" s="76">
        <v>0</v>
      </c>
      <c r="P63" s="76">
        <v>0</v>
      </c>
      <c r="Q63" s="76">
        <v>0</v>
      </c>
      <c r="R63" s="76">
        <v>0</v>
      </c>
      <c r="S63" s="58">
        <v>0</v>
      </c>
    </row>
    <row r="64" spans="1:19" ht="12" x14ac:dyDescent="0.2">
      <c r="A64" s="8"/>
      <c r="B64" s="31" t="s">
        <v>141</v>
      </c>
      <c r="C64" s="34" t="s">
        <v>142</v>
      </c>
      <c r="D64" s="34" t="s">
        <v>131</v>
      </c>
      <c r="E64" s="11" t="s">
        <v>11</v>
      </c>
      <c r="F64" s="12"/>
      <c r="G64" s="57" t="s">
        <v>143</v>
      </c>
      <c r="H64" s="58">
        <v>0</v>
      </c>
      <c r="I64" s="58">
        <v>0</v>
      </c>
      <c r="J64" s="58">
        <v>0</v>
      </c>
      <c r="K64" s="58">
        <v>0</v>
      </c>
      <c r="L64" s="58">
        <v>0</v>
      </c>
      <c r="M64" s="58">
        <v>0</v>
      </c>
      <c r="N64" s="76">
        <v>0</v>
      </c>
      <c r="O64" s="76">
        <v>0</v>
      </c>
      <c r="P64" s="76">
        <v>0</v>
      </c>
      <c r="Q64" s="76">
        <v>0</v>
      </c>
      <c r="R64" s="76">
        <v>0</v>
      </c>
      <c r="S64" s="58">
        <v>0</v>
      </c>
    </row>
    <row r="65" spans="1:19" ht="12" x14ac:dyDescent="0.2">
      <c r="A65" s="8"/>
      <c r="B65" s="31" t="s">
        <v>144</v>
      </c>
      <c r="C65" s="8" t="s">
        <v>373</v>
      </c>
      <c r="D65" s="34" t="s">
        <v>135</v>
      </c>
      <c r="E65" s="11" t="s">
        <v>89</v>
      </c>
      <c r="F65" s="12"/>
      <c r="G65" s="57" t="s">
        <v>145</v>
      </c>
      <c r="H65" s="58">
        <v>0</v>
      </c>
      <c r="I65" s="58">
        <v>0</v>
      </c>
      <c r="J65" s="58">
        <v>0</v>
      </c>
      <c r="K65" s="58">
        <v>0</v>
      </c>
      <c r="L65" s="58">
        <v>0</v>
      </c>
      <c r="M65" s="58">
        <v>0</v>
      </c>
      <c r="N65" s="76">
        <v>0</v>
      </c>
      <c r="O65" s="76">
        <v>0</v>
      </c>
      <c r="P65" s="76">
        <v>0</v>
      </c>
      <c r="Q65" s="76">
        <v>0</v>
      </c>
      <c r="R65" s="76">
        <v>0</v>
      </c>
      <c r="S65" s="58">
        <v>0</v>
      </c>
    </row>
    <row r="66" spans="1:19" ht="12" x14ac:dyDescent="0.2">
      <c r="A66" s="8"/>
      <c r="B66" s="31" t="s">
        <v>146</v>
      </c>
      <c r="C66" s="8" t="s">
        <v>373</v>
      </c>
      <c r="D66" s="34" t="s">
        <v>131</v>
      </c>
      <c r="E66" s="11" t="s">
        <v>11</v>
      </c>
      <c r="F66" s="12"/>
      <c r="G66" s="57" t="s">
        <v>147</v>
      </c>
      <c r="H66" s="58">
        <v>0</v>
      </c>
      <c r="I66" s="58">
        <v>0</v>
      </c>
      <c r="J66" s="58">
        <v>0</v>
      </c>
      <c r="K66" s="58">
        <v>0</v>
      </c>
      <c r="L66" s="58">
        <v>0</v>
      </c>
      <c r="M66" s="58">
        <v>0</v>
      </c>
      <c r="N66" s="76">
        <v>0</v>
      </c>
      <c r="O66" s="76">
        <v>0</v>
      </c>
      <c r="P66" s="76">
        <v>0</v>
      </c>
      <c r="Q66" s="76">
        <v>0</v>
      </c>
      <c r="R66" s="76">
        <v>0</v>
      </c>
      <c r="S66" s="58">
        <v>0</v>
      </c>
    </row>
    <row r="67" spans="1:19" ht="12" x14ac:dyDescent="0.2">
      <c r="A67" s="8"/>
      <c r="B67" s="31" t="s">
        <v>148</v>
      </c>
      <c r="C67" s="8" t="s">
        <v>149</v>
      </c>
      <c r="D67" s="34" t="s">
        <v>135</v>
      </c>
      <c r="E67" s="11" t="s">
        <v>89</v>
      </c>
      <c r="F67" s="12"/>
      <c r="G67" s="57" t="s">
        <v>150</v>
      </c>
      <c r="H67" s="58">
        <v>0</v>
      </c>
      <c r="I67" s="58">
        <v>0</v>
      </c>
      <c r="J67" s="58">
        <v>0</v>
      </c>
      <c r="K67" s="58">
        <v>0</v>
      </c>
      <c r="L67" s="58">
        <v>0</v>
      </c>
      <c r="M67" s="58">
        <v>0</v>
      </c>
      <c r="N67" s="76">
        <v>0</v>
      </c>
      <c r="O67" s="76">
        <v>0</v>
      </c>
      <c r="P67" s="76">
        <v>0</v>
      </c>
      <c r="Q67" s="76">
        <v>0</v>
      </c>
      <c r="R67" s="76">
        <v>0</v>
      </c>
      <c r="S67" s="58">
        <v>0</v>
      </c>
    </row>
    <row r="68" spans="1:19" ht="12" x14ac:dyDescent="0.2">
      <c r="A68" s="8"/>
      <c r="B68" s="31" t="s">
        <v>151</v>
      </c>
      <c r="C68" s="8" t="s">
        <v>149</v>
      </c>
      <c r="D68" s="34" t="s">
        <v>131</v>
      </c>
      <c r="E68" s="11" t="s">
        <v>11</v>
      </c>
      <c r="F68" s="12"/>
      <c r="G68" s="57" t="s">
        <v>152</v>
      </c>
      <c r="H68" s="58">
        <v>0</v>
      </c>
      <c r="I68" s="58">
        <v>0</v>
      </c>
      <c r="J68" s="58">
        <v>0</v>
      </c>
      <c r="K68" s="58">
        <v>0</v>
      </c>
      <c r="L68" s="58">
        <v>0</v>
      </c>
      <c r="M68" s="58">
        <v>0</v>
      </c>
      <c r="N68" s="76">
        <v>0</v>
      </c>
      <c r="O68" s="76">
        <v>0</v>
      </c>
      <c r="P68" s="76">
        <v>0</v>
      </c>
      <c r="Q68" s="76">
        <v>0</v>
      </c>
      <c r="R68" s="76">
        <v>0</v>
      </c>
      <c r="S68" s="58">
        <v>0</v>
      </c>
    </row>
    <row r="69" spans="1:19" ht="12" x14ac:dyDescent="0.2">
      <c r="A69" s="8"/>
      <c r="B69" s="31" t="s">
        <v>153</v>
      </c>
      <c r="C69" s="34" t="s">
        <v>142</v>
      </c>
      <c r="D69" s="34" t="s">
        <v>131</v>
      </c>
      <c r="E69" s="11" t="s">
        <v>11</v>
      </c>
      <c r="F69" s="12"/>
      <c r="G69" s="57" t="s">
        <v>154</v>
      </c>
      <c r="H69" s="58">
        <v>0</v>
      </c>
      <c r="I69" s="58">
        <v>0</v>
      </c>
      <c r="J69" s="58">
        <v>0</v>
      </c>
      <c r="K69" s="58">
        <v>0</v>
      </c>
      <c r="L69" s="58">
        <v>0</v>
      </c>
      <c r="M69" s="58">
        <v>0</v>
      </c>
      <c r="N69" s="76">
        <v>0</v>
      </c>
      <c r="O69" s="76">
        <v>0</v>
      </c>
      <c r="P69" s="76">
        <v>0</v>
      </c>
      <c r="Q69" s="76">
        <v>0</v>
      </c>
      <c r="R69" s="76">
        <v>0</v>
      </c>
      <c r="S69" s="58">
        <v>0</v>
      </c>
    </row>
    <row r="70" spans="1:19" ht="12" x14ac:dyDescent="0.2">
      <c r="A70" s="8"/>
      <c r="B70" s="31" t="s">
        <v>155</v>
      </c>
      <c r="C70" s="35" t="s">
        <v>156</v>
      </c>
      <c r="D70" s="8"/>
      <c r="E70" s="11" t="s">
        <v>72</v>
      </c>
      <c r="F70" s="12"/>
      <c r="G70" s="57" t="s">
        <v>107</v>
      </c>
      <c r="H70" s="58">
        <v>0.13600000000000001</v>
      </c>
      <c r="I70" s="58">
        <v>0.505</v>
      </c>
      <c r="J70" s="58">
        <v>2.9000000000000001E-2</v>
      </c>
      <c r="K70" s="58">
        <v>0</v>
      </c>
      <c r="L70" s="58">
        <v>4.2329999999999997</v>
      </c>
      <c r="M70" s="58">
        <v>18.309000000000001</v>
      </c>
      <c r="N70" s="76">
        <v>0</v>
      </c>
      <c r="O70" s="76">
        <v>0</v>
      </c>
      <c r="P70" s="76">
        <v>0</v>
      </c>
      <c r="Q70" s="76">
        <v>0</v>
      </c>
      <c r="R70" s="76">
        <v>0</v>
      </c>
      <c r="S70" s="58">
        <v>0</v>
      </c>
    </row>
    <row r="71" spans="1:19" x14ac:dyDescent="0.2">
      <c r="A71" s="8"/>
      <c r="B71" s="31" t="s">
        <v>157</v>
      </c>
      <c r="C71" s="10"/>
      <c r="D71" s="8"/>
      <c r="E71" s="12"/>
      <c r="F71" s="12"/>
      <c r="G71" s="69" t="s">
        <v>158</v>
      </c>
      <c r="H71" s="56">
        <f t="shared" ref="H71:S71" si="17">SUM(H58:H70)</f>
        <v>19.457999999999995</v>
      </c>
      <c r="I71" s="56">
        <f t="shared" si="17"/>
        <v>22.178000000000001</v>
      </c>
      <c r="J71" s="56">
        <f t="shared" si="17"/>
        <v>-1.0560000000000009</v>
      </c>
      <c r="K71" s="56">
        <f t="shared" si="17"/>
        <v>310.31099999999998</v>
      </c>
      <c r="L71" s="56">
        <f t="shared" si="17"/>
        <v>8487.0869999999995</v>
      </c>
      <c r="M71" s="56">
        <f t="shared" si="17"/>
        <v>-747.98299999999995</v>
      </c>
      <c r="N71" s="77">
        <f t="shared" si="17"/>
        <v>1063</v>
      </c>
      <c r="O71" s="77">
        <f t="shared" si="17"/>
        <v>0</v>
      </c>
      <c r="P71" s="77">
        <f t="shared" si="17"/>
        <v>0</v>
      </c>
      <c r="Q71" s="77">
        <f t="shared" si="17"/>
        <v>0</v>
      </c>
      <c r="R71" s="77">
        <f t="shared" si="17"/>
        <v>0</v>
      </c>
      <c r="S71" s="56">
        <f t="shared" si="17"/>
        <v>-20</v>
      </c>
    </row>
    <row r="72" spans="1:19" x14ac:dyDescent="0.2">
      <c r="A72" s="8"/>
      <c r="B72" s="2"/>
      <c r="C72" s="10"/>
      <c r="D72" s="8"/>
      <c r="E72" s="9"/>
      <c r="G72" s="67"/>
      <c r="H72" s="48"/>
      <c r="I72" s="48"/>
      <c r="J72" s="48"/>
      <c r="K72" s="48"/>
      <c r="L72" s="48"/>
      <c r="M72" s="48"/>
      <c r="N72" s="4"/>
      <c r="O72" s="4"/>
      <c r="P72" s="4"/>
      <c r="Q72" s="4"/>
      <c r="R72" s="4"/>
      <c r="S72" s="48"/>
    </row>
    <row r="73" spans="1:19" x14ac:dyDescent="0.2">
      <c r="A73" s="8"/>
      <c r="B73" s="2"/>
      <c r="C73" s="10"/>
      <c r="D73" s="29" t="s">
        <v>120</v>
      </c>
      <c r="E73" s="30" t="s">
        <v>3</v>
      </c>
      <c r="F73" s="9"/>
      <c r="G73" s="53" t="s">
        <v>159</v>
      </c>
      <c r="H73" s="64">
        <f t="shared" ref="H73:S73" si="18">H57</f>
        <v>2011</v>
      </c>
      <c r="I73" s="64">
        <f t="shared" si="18"/>
        <v>2012</v>
      </c>
      <c r="J73" s="64">
        <f t="shared" si="18"/>
        <v>2013</v>
      </c>
      <c r="K73" s="64">
        <f t="shared" si="18"/>
        <v>2014</v>
      </c>
      <c r="L73" s="64">
        <f t="shared" si="18"/>
        <v>2015</v>
      </c>
      <c r="M73" s="64">
        <f t="shared" si="18"/>
        <v>2016</v>
      </c>
      <c r="N73" s="87">
        <f t="shared" si="18"/>
        <v>2017</v>
      </c>
      <c r="O73" s="87">
        <f t="shared" si="18"/>
        <v>2018</v>
      </c>
      <c r="P73" s="87">
        <f t="shared" si="18"/>
        <v>2019</v>
      </c>
      <c r="Q73" s="87">
        <f t="shared" si="18"/>
        <v>2020</v>
      </c>
      <c r="R73" s="87">
        <f t="shared" si="18"/>
        <v>2021</v>
      </c>
      <c r="S73" s="64">
        <f t="shared" si="18"/>
        <v>2022</v>
      </c>
    </row>
    <row r="74" spans="1:19" ht="12" x14ac:dyDescent="0.2">
      <c r="A74" s="8"/>
      <c r="B74" s="2" t="s">
        <v>160</v>
      </c>
      <c r="C74" s="34" t="s">
        <v>161</v>
      </c>
      <c r="D74" s="34" t="s">
        <v>128</v>
      </c>
      <c r="E74" s="11" t="s">
        <v>11</v>
      </c>
      <c r="G74" s="55" t="s">
        <v>162</v>
      </c>
      <c r="H74" s="58">
        <v>0</v>
      </c>
      <c r="I74" s="58">
        <v>0</v>
      </c>
      <c r="J74" s="58">
        <v>0</v>
      </c>
      <c r="K74" s="58">
        <v>0</v>
      </c>
      <c r="L74" s="58">
        <v>0</v>
      </c>
      <c r="M74" s="58">
        <v>0</v>
      </c>
      <c r="N74" s="76">
        <v>0</v>
      </c>
      <c r="O74" s="76">
        <v>0</v>
      </c>
      <c r="P74" s="76">
        <v>0</v>
      </c>
      <c r="Q74" s="76">
        <v>0</v>
      </c>
      <c r="R74" s="76">
        <v>0</v>
      </c>
      <c r="S74" s="58">
        <v>0</v>
      </c>
    </row>
    <row r="75" spans="1:19" ht="12" x14ac:dyDescent="0.2">
      <c r="A75" s="8"/>
      <c r="B75" s="2" t="s">
        <v>163</v>
      </c>
      <c r="C75" s="34" t="s">
        <v>161</v>
      </c>
      <c r="D75" s="34" t="s">
        <v>124</v>
      </c>
      <c r="E75" s="11" t="s">
        <v>89</v>
      </c>
      <c r="F75" s="12"/>
      <c r="G75" s="57" t="s">
        <v>164</v>
      </c>
      <c r="H75" s="58">
        <v>0</v>
      </c>
      <c r="I75" s="58">
        <v>0</v>
      </c>
      <c r="J75" s="58">
        <v>0</v>
      </c>
      <c r="K75" s="58">
        <v>0</v>
      </c>
      <c r="L75" s="58">
        <v>0</v>
      </c>
      <c r="M75" s="58">
        <v>0</v>
      </c>
      <c r="N75" s="76">
        <v>0</v>
      </c>
      <c r="O75" s="76">
        <v>0</v>
      </c>
      <c r="P75" s="76">
        <v>0</v>
      </c>
      <c r="Q75" s="76">
        <v>0</v>
      </c>
      <c r="R75" s="76">
        <v>0</v>
      </c>
      <c r="S75" s="58">
        <v>0</v>
      </c>
    </row>
    <row r="76" spans="1:19" ht="12" x14ac:dyDescent="0.2">
      <c r="A76" s="8"/>
      <c r="B76" s="2" t="s">
        <v>165</v>
      </c>
      <c r="C76" s="34" t="s">
        <v>166</v>
      </c>
      <c r="D76" s="34" t="s">
        <v>131</v>
      </c>
      <c r="E76" s="11" t="s">
        <v>11</v>
      </c>
      <c r="G76" s="57" t="s">
        <v>167</v>
      </c>
      <c r="H76" s="58">
        <v>0</v>
      </c>
      <c r="I76" s="58">
        <v>0</v>
      </c>
      <c r="J76" s="58">
        <v>0</v>
      </c>
      <c r="K76" s="58">
        <v>0</v>
      </c>
      <c r="L76" s="58">
        <v>0</v>
      </c>
      <c r="M76" s="58">
        <v>0</v>
      </c>
      <c r="N76" s="76">
        <v>0</v>
      </c>
      <c r="O76" s="76">
        <v>0</v>
      </c>
      <c r="P76" s="76">
        <v>0</v>
      </c>
      <c r="Q76" s="76">
        <v>0</v>
      </c>
      <c r="R76" s="76">
        <v>0</v>
      </c>
      <c r="S76" s="58">
        <v>0</v>
      </c>
    </row>
    <row r="77" spans="1:19" ht="12" x14ac:dyDescent="0.2">
      <c r="A77" s="8"/>
      <c r="B77" s="2" t="s">
        <v>168</v>
      </c>
      <c r="C77" s="34" t="s">
        <v>166</v>
      </c>
      <c r="D77" s="34" t="s">
        <v>135</v>
      </c>
      <c r="E77" s="11" t="s">
        <v>89</v>
      </c>
      <c r="F77" s="12"/>
      <c r="G77" s="57" t="s">
        <v>169</v>
      </c>
      <c r="H77" s="58">
        <v>0</v>
      </c>
      <c r="I77" s="58">
        <v>0</v>
      </c>
      <c r="J77" s="58">
        <v>0</v>
      </c>
      <c r="K77" s="58">
        <v>0</v>
      </c>
      <c r="L77" s="58">
        <v>0</v>
      </c>
      <c r="M77" s="58">
        <v>0</v>
      </c>
      <c r="N77" s="76">
        <v>0</v>
      </c>
      <c r="O77" s="76">
        <v>0</v>
      </c>
      <c r="P77" s="76">
        <v>0</v>
      </c>
      <c r="Q77" s="76">
        <v>0</v>
      </c>
      <c r="R77" s="76">
        <v>0</v>
      </c>
      <c r="S77" s="58">
        <v>0</v>
      </c>
    </row>
    <row r="78" spans="1:19" ht="12" x14ac:dyDescent="0.2">
      <c r="A78" s="8"/>
      <c r="B78" s="2" t="s">
        <v>170</v>
      </c>
      <c r="C78" s="34" t="s">
        <v>171</v>
      </c>
      <c r="D78" s="34" t="s">
        <v>135</v>
      </c>
      <c r="E78" s="11" t="s">
        <v>89</v>
      </c>
      <c r="F78" s="12"/>
      <c r="G78" s="57" t="s">
        <v>172</v>
      </c>
      <c r="H78" s="58">
        <v>-3.2850000000000001</v>
      </c>
      <c r="I78" s="58">
        <v>-1.103</v>
      </c>
      <c r="J78" s="58">
        <v>0</v>
      </c>
      <c r="K78" s="58">
        <v>0</v>
      </c>
      <c r="L78" s="58">
        <v>0</v>
      </c>
      <c r="M78" s="58">
        <v>0</v>
      </c>
      <c r="N78" s="76">
        <v>0</v>
      </c>
      <c r="O78" s="76">
        <v>0</v>
      </c>
      <c r="P78" s="76">
        <v>0</v>
      </c>
      <c r="Q78" s="76">
        <v>0</v>
      </c>
      <c r="R78" s="76">
        <v>0</v>
      </c>
      <c r="S78" s="58">
        <v>0</v>
      </c>
    </row>
    <row r="79" spans="1:19" ht="12" x14ac:dyDescent="0.2">
      <c r="A79" s="8"/>
      <c r="B79" s="2" t="s">
        <v>173</v>
      </c>
      <c r="C79" s="34" t="s">
        <v>174</v>
      </c>
      <c r="D79" s="34" t="s">
        <v>135</v>
      </c>
      <c r="E79" s="11" t="s">
        <v>89</v>
      </c>
      <c r="F79" s="12"/>
      <c r="G79" s="57" t="s">
        <v>175</v>
      </c>
      <c r="H79" s="58">
        <v>0</v>
      </c>
      <c r="I79" s="58">
        <v>-3.9E-2</v>
      </c>
      <c r="J79" s="58">
        <v>0</v>
      </c>
      <c r="K79" s="58">
        <v>0</v>
      </c>
      <c r="L79" s="58">
        <v>0</v>
      </c>
      <c r="M79" s="58">
        <v>-4.9000000000000002E-2</v>
      </c>
      <c r="N79" s="76">
        <v>0</v>
      </c>
      <c r="O79" s="76">
        <v>0</v>
      </c>
      <c r="P79" s="76">
        <v>0</v>
      </c>
      <c r="Q79" s="76">
        <v>0</v>
      </c>
      <c r="R79" s="76">
        <v>0</v>
      </c>
      <c r="S79" s="58">
        <v>0</v>
      </c>
    </row>
    <row r="80" spans="1:19" ht="12" x14ac:dyDescent="0.2">
      <c r="A80" s="8"/>
      <c r="B80" s="2" t="s">
        <v>176</v>
      </c>
      <c r="C80" s="34" t="s">
        <v>177</v>
      </c>
      <c r="D80" s="34" t="s">
        <v>135</v>
      </c>
      <c r="E80" s="11" t="s">
        <v>89</v>
      </c>
      <c r="F80" s="12"/>
      <c r="G80" s="57" t="s">
        <v>178</v>
      </c>
      <c r="H80" s="58">
        <v>0</v>
      </c>
      <c r="I80" s="58">
        <v>0</v>
      </c>
      <c r="J80" s="58">
        <v>0</v>
      </c>
      <c r="K80" s="58">
        <v>0</v>
      </c>
      <c r="L80" s="58">
        <v>0</v>
      </c>
      <c r="M80" s="58">
        <v>0</v>
      </c>
      <c r="N80" s="76">
        <v>0</v>
      </c>
      <c r="O80" s="76">
        <v>0</v>
      </c>
      <c r="P80" s="76">
        <v>0</v>
      </c>
      <c r="Q80" s="76">
        <v>0</v>
      </c>
      <c r="R80" s="76">
        <v>0</v>
      </c>
      <c r="S80" s="58">
        <v>0</v>
      </c>
    </row>
    <row r="81" spans="1:19" ht="12" x14ac:dyDescent="0.2">
      <c r="A81" s="8"/>
      <c r="B81" s="2" t="s">
        <v>179</v>
      </c>
      <c r="C81" s="34" t="s">
        <v>52</v>
      </c>
      <c r="D81" s="34" t="s">
        <v>135</v>
      </c>
      <c r="E81" s="11" t="s">
        <v>89</v>
      </c>
      <c r="F81" s="12"/>
      <c r="G81" s="57" t="s">
        <v>180</v>
      </c>
      <c r="H81" s="58">
        <v>0</v>
      </c>
      <c r="I81" s="58">
        <v>0</v>
      </c>
      <c r="J81" s="58">
        <v>0</v>
      </c>
      <c r="K81" s="58">
        <v>0</v>
      </c>
      <c r="L81" s="58">
        <v>0</v>
      </c>
      <c r="M81" s="58">
        <v>0</v>
      </c>
      <c r="N81" s="76">
        <v>0</v>
      </c>
      <c r="O81" s="76">
        <v>0</v>
      </c>
      <c r="P81" s="76">
        <v>0</v>
      </c>
      <c r="Q81" s="76">
        <v>0</v>
      </c>
      <c r="R81" s="76">
        <v>0</v>
      </c>
      <c r="S81" s="58">
        <v>0</v>
      </c>
    </row>
    <row r="82" spans="1:19" ht="12" x14ac:dyDescent="0.2">
      <c r="A82" s="8"/>
      <c r="B82" s="2" t="s">
        <v>181</v>
      </c>
      <c r="C82" s="34" t="s">
        <v>182</v>
      </c>
      <c r="D82" s="34" t="s">
        <v>131</v>
      </c>
      <c r="E82" s="11" t="s">
        <v>11</v>
      </c>
      <c r="G82" s="57" t="s">
        <v>183</v>
      </c>
      <c r="H82" s="58">
        <v>0</v>
      </c>
      <c r="I82" s="58">
        <v>0</v>
      </c>
      <c r="J82" s="58">
        <v>0</v>
      </c>
      <c r="K82" s="58">
        <v>0</v>
      </c>
      <c r="L82" s="58">
        <v>0</v>
      </c>
      <c r="M82" s="58">
        <v>0</v>
      </c>
      <c r="N82" s="76">
        <v>0</v>
      </c>
      <c r="O82" s="76">
        <v>0</v>
      </c>
      <c r="P82" s="76">
        <v>0</v>
      </c>
      <c r="Q82" s="76">
        <v>0</v>
      </c>
      <c r="R82" s="76">
        <v>0</v>
      </c>
      <c r="S82" s="58">
        <v>0</v>
      </c>
    </row>
    <row r="83" spans="1:19" ht="12" x14ac:dyDescent="0.2">
      <c r="A83" s="8"/>
      <c r="B83" s="2" t="s">
        <v>184</v>
      </c>
      <c r="C83" s="34" t="s">
        <v>182</v>
      </c>
      <c r="D83" s="34" t="s">
        <v>135</v>
      </c>
      <c r="E83" s="11" t="s">
        <v>89</v>
      </c>
      <c r="F83" s="12"/>
      <c r="G83" s="57" t="s">
        <v>374</v>
      </c>
      <c r="H83" s="58">
        <v>0</v>
      </c>
      <c r="I83" s="58">
        <v>0</v>
      </c>
      <c r="J83" s="58">
        <v>0</v>
      </c>
      <c r="K83" s="58">
        <v>0</v>
      </c>
      <c r="L83" s="58">
        <v>0</v>
      </c>
      <c r="M83" s="58">
        <v>0</v>
      </c>
      <c r="N83" s="76">
        <v>0</v>
      </c>
      <c r="O83" s="76">
        <v>0</v>
      </c>
      <c r="P83" s="76">
        <v>0</v>
      </c>
      <c r="Q83" s="76">
        <v>0</v>
      </c>
      <c r="R83" s="76">
        <v>0</v>
      </c>
      <c r="S83" s="58">
        <v>0</v>
      </c>
    </row>
    <row r="84" spans="1:19" ht="12" x14ac:dyDescent="0.2">
      <c r="A84" s="8"/>
      <c r="B84" s="2" t="s">
        <v>185</v>
      </c>
      <c r="C84" s="34" t="s">
        <v>375</v>
      </c>
      <c r="D84" s="34" t="s">
        <v>135</v>
      </c>
      <c r="E84" s="11" t="s">
        <v>89</v>
      </c>
      <c r="F84" s="12"/>
      <c r="G84" s="57" t="s">
        <v>376</v>
      </c>
      <c r="H84" s="58">
        <v>0</v>
      </c>
      <c r="I84" s="58">
        <v>0</v>
      </c>
      <c r="J84" s="58">
        <v>0</v>
      </c>
      <c r="K84" s="58">
        <v>0</v>
      </c>
      <c r="L84" s="58">
        <v>0</v>
      </c>
      <c r="M84" s="58">
        <v>0</v>
      </c>
      <c r="N84" s="76">
        <v>0</v>
      </c>
      <c r="O84" s="76">
        <v>0</v>
      </c>
      <c r="P84" s="76">
        <v>0</v>
      </c>
      <c r="Q84" s="76">
        <v>0</v>
      </c>
      <c r="R84" s="76">
        <v>0</v>
      </c>
      <c r="S84" s="58">
        <v>0</v>
      </c>
    </row>
    <row r="85" spans="1:19" ht="12" x14ac:dyDescent="0.2">
      <c r="A85" s="8"/>
      <c r="B85" s="2" t="s">
        <v>186</v>
      </c>
      <c r="C85" s="36">
        <v>68</v>
      </c>
      <c r="D85" s="34" t="s">
        <v>135</v>
      </c>
      <c r="E85" s="11" t="s">
        <v>89</v>
      </c>
      <c r="F85" s="12"/>
      <c r="G85" s="70" t="s">
        <v>111</v>
      </c>
      <c r="H85" s="58">
        <v>0</v>
      </c>
      <c r="I85" s="58">
        <v>0</v>
      </c>
      <c r="J85" s="58">
        <v>0</v>
      </c>
      <c r="K85" s="58">
        <v>0</v>
      </c>
      <c r="L85" s="58">
        <v>0</v>
      </c>
      <c r="M85" s="58">
        <v>0</v>
      </c>
      <c r="N85" s="76">
        <v>0</v>
      </c>
      <c r="O85" s="76">
        <v>0</v>
      </c>
      <c r="P85" s="76">
        <v>0</v>
      </c>
      <c r="Q85" s="76">
        <v>0</v>
      </c>
      <c r="R85" s="76">
        <v>0</v>
      </c>
      <c r="S85" s="58">
        <v>0</v>
      </c>
    </row>
    <row r="86" spans="1:19" x14ac:dyDescent="0.2">
      <c r="A86" s="8"/>
      <c r="B86" s="2" t="s">
        <v>377</v>
      </c>
      <c r="C86" s="10"/>
      <c r="D86" s="10"/>
      <c r="E86" s="9"/>
      <c r="G86" s="70" t="s">
        <v>158</v>
      </c>
      <c r="H86" s="56">
        <f t="shared" ref="H86:S86" si="19">SUM(H74:H85)</f>
        <v>-3.2850000000000001</v>
      </c>
      <c r="I86" s="56">
        <f t="shared" si="19"/>
        <v>-1.1419999999999999</v>
      </c>
      <c r="J86" s="56">
        <f t="shared" si="19"/>
        <v>0</v>
      </c>
      <c r="K86" s="56">
        <f t="shared" si="19"/>
        <v>0</v>
      </c>
      <c r="L86" s="56">
        <f t="shared" si="19"/>
        <v>0</v>
      </c>
      <c r="M86" s="56">
        <f t="shared" si="19"/>
        <v>-4.9000000000000002E-2</v>
      </c>
      <c r="N86" s="56">
        <f t="shared" si="19"/>
        <v>0</v>
      </c>
      <c r="O86" s="56">
        <f t="shared" si="19"/>
        <v>0</v>
      </c>
      <c r="P86" s="56">
        <f t="shared" si="19"/>
        <v>0</v>
      </c>
      <c r="Q86" s="56">
        <f t="shared" si="19"/>
        <v>0</v>
      </c>
      <c r="R86" s="56">
        <f t="shared" si="19"/>
        <v>0</v>
      </c>
      <c r="S86" s="56">
        <f t="shared" si="19"/>
        <v>0</v>
      </c>
    </row>
    <row r="87" spans="1:19" s="4" customFormat="1" x14ac:dyDescent="0.2">
      <c r="A87" s="8"/>
      <c r="B87" s="2" t="s">
        <v>378</v>
      </c>
      <c r="C87" s="10"/>
      <c r="D87" s="10"/>
      <c r="E87" s="9"/>
      <c r="F87" s="8"/>
      <c r="G87" s="89" t="s">
        <v>379</v>
      </c>
      <c r="H87" s="98"/>
      <c r="I87" s="85">
        <f t="shared" ref="I87:R87" si="20">(I14+I15)-(H14+H15-I58-I59+I45)</f>
        <v>1295.2750000000005</v>
      </c>
      <c r="J87" s="85">
        <f t="shared" si="20"/>
        <v>49.999999999999091</v>
      </c>
      <c r="K87" s="85">
        <f t="shared" si="20"/>
        <v>599.10300000000097</v>
      </c>
      <c r="L87" s="85">
        <f t="shared" si="20"/>
        <v>109.45899999999983</v>
      </c>
      <c r="M87" s="85">
        <f t="shared" si="20"/>
        <v>0.23500000000058208</v>
      </c>
      <c r="N87" s="85">
        <f>(N14+N15)-(M14+M15-N58-N59+N45)</f>
        <v>9.4999999999345164E-2</v>
      </c>
      <c r="O87" s="85">
        <f t="shared" si="20"/>
        <v>0</v>
      </c>
      <c r="P87" s="85">
        <f t="shared" si="20"/>
        <v>0</v>
      </c>
      <c r="Q87" s="85">
        <f t="shared" si="20"/>
        <v>0</v>
      </c>
      <c r="R87" s="85">
        <f t="shared" si="20"/>
        <v>0</v>
      </c>
      <c r="S87" s="85">
        <f>(S14+S15)-(R14+R15-S58-S59+S45)</f>
        <v>0</v>
      </c>
    </row>
    <row r="88" spans="1:19" s="4" customFormat="1" x14ac:dyDescent="0.2">
      <c r="A88" s="8"/>
      <c r="B88" s="2" t="s">
        <v>380</v>
      </c>
      <c r="C88" s="10"/>
      <c r="D88" s="10"/>
      <c r="E88" s="9"/>
      <c r="F88" s="8"/>
      <c r="G88" s="89" t="s">
        <v>381</v>
      </c>
      <c r="H88" s="98"/>
      <c r="I88" s="85">
        <f>I24-(H24+(I74+I76)+(I75+I77)+(I78))</f>
        <v>0</v>
      </c>
      <c r="J88" s="85">
        <f>J24-(I24+(J74+J76)+(J75+J77)+(J78))</f>
        <v>0</v>
      </c>
      <c r="K88" s="85">
        <f>K24-(J24+(K74+K76)+(K75+K77)+(K78))</f>
        <v>0</v>
      </c>
      <c r="L88" s="85">
        <f>L24-(K24+(L74+L76)+(L75+L77)+(L78))</f>
        <v>0</v>
      </c>
      <c r="M88" s="85">
        <f>M24-(L24+(M74+M76)+(M75+M77)+(M78))</f>
        <v>0</v>
      </c>
      <c r="N88" s="85">
        <f t="shared" ref="N88:S88" si="21">N24-(M24+(N74+N76)+(N75+N77)+(N78))</f>
        <v>0</v>
      </c>
      <c r="O88" s="85">
        <f t="shared" si="21"/>
        <v>0</v>
      </c>
      <c r="P88" s="85">
        <f t="shared" si="21"/>
        <v>0</v>
      </c>
      <c r="Q88" s="85">
        <f t="shared" si="21"/>
        <v>0</v>
      </c>
      <c r="R88" s="85">
        <f t="shared" si="21"/>
        <v>0</v>
      </c>
      <c r="S88" s="85">
        <f t="shared" si="21"/>
        <v>0</v>
      </c>
    </row>
    <row r="89" spans="1:19" s="4" customFormat="1" x14ac:dyDescent="0.2">
      <c r="A89" s="8"/>
      <c r="B89" s="2" t="s">
        <v>382</v>
      </c>
      <c r="C89" s="10"/>
      <c r="D89" s="10"/>
      <c r="E89" s="9"/>
      <c r="F89" s="8"/>
      <c r="G89" s="89" t="s">
        <v>383</v>
      </c>
      <c r="H89" s="98"/>
      <c r="I89" s="85">
        <f t="shared" ref="I89:S89" si="22">I28-(H28+(I82+I83))</f>
        <v>0</v>
      </c>
      <c r="J89" s="85">
        <f t="shared" si="22"/>
        <v>0</v>
      </c>
      <c r="K89" s="85">
        <f t="shared" si="22"/>
        <v>0</v>
      </c>
      <c r="L89" s="85">
        <f t="shared" si="22"/>
        <v>0</v>
      </c>
      <c r="M89" s="85">
        <f t="shared" si="22"/>
        <v>0</v>
      </c>
      <c r="N89" s="85">
        <f t="shared" si="22"/>
        <v>0.47800000000006548</v>
      </c>
      <c r="O89" s="85">
        <f t="shared" si="22"/>
        <v>0</v>
      </c>
      <c r="P89" s="85">
        <f t="shared" si="22"/>
        <v>0</v>
      </c>
      <c r="Q89" s="85">
        <f t="shared" si="22"/>
        <v>0</v>
      </c>
      <c r="R89" s="85">
        <f t="shared" si="22"/>
        <v>0</v>
      </c>
      <c r="S89" s="85">
        <f t="shared" si="22"/>
        <v>0</v>
      </c>
    </row>
    <row r="90" spans="1:19" s="4" customFormat="1" x14ac:dyDescent="0.2">
      <c r="A90" s="8"/>
      <c r="B90" s="2" t="s">
        <v>384</v>
      </c>
      <c r="C90" s="10"/>
      <c r="D90" s="10"/>
      <c r="E90" s="9"/>
      <c r="F90" s="8"/>
      <c r="G90" s="89" t="s">
        <v>385</v>
      </c>
      <c r="H90" s="98"/>
      <c r="I90" s="85">
        <f t="shared" ref="I90:S90" si="23">I29-(H29+H30)-I84</f>
        <v>0</v>
      </c>
      <c r="J90" s="85">
        <f t="shared" si="23"/>
        <v>0</v>
      </c>
      <c r="K90" s="85">
        <f t="shared" si="23"/>
        <v>0</v>
      </c>
      <c r="L90" s="85">
        <f t="shared" si="23"/>
        <v>0</v>
      </c>
      <c r="M90" s="85">
        <f t="shared" si="23"/>
        <v>-1.0000000000331966E-3</v>
      </c>
      <c r="N90" s="85">
        <f>N29-(M29+M30)-N84</f>
        <v>-0.56300000000010186</v>
      </c>
      <c r="O90" s="85">
        <f t="shared" si="23"/>
        <v>0</v>
      </c>
      <c r="P90" s="85">
        <f>P29-(O29+O30)-P84</f>
        <v>0</v>
      </c>
      <c r="Q90" s="85">
        <f t="shared" si="23"/>
        <v>0</v>
      </c>
      <c r="R90" s="85">
        <f t="shared" si="23"/>
        <v>0</v>
      </c>
      <c r="S90" s="85">
        <f t="shared" si="23"/>
        <v>0</v>
      </c>
    </row>
    <row r="91" spans="1:19" s="4" customFormat="1" x14ac:dyDescent="0.2">
      <c r="A91" s="8"/>
      <c r="B91" s="2"/>
      <c r="C91" s="10"/>
      <c r="D91" s="10"/>
      <c r="E91" s="9"/>
      <c r="F91" s="8"/>
      <c r="G91" s="28"/>
      <c r="L91" s="93">
        <f>L90-L87</f>
        <v>-109.45899999999983</v>
      </c>
    </row>
    <row r="92" spans="1:19" s="4" customFormat="1" x14ac:dyDescent="0.2">
      <c r="A92" s="13" t="s">
        <v>0</v>
      </c>
      <c r="B92" s="2"/>
      <c r="C92" s="10"/>
      <c r="D92" s="753" t="s">
        <v>187</v>
      </c>
      <c r="E92" s="754"/>
      <c r="F92" s="8"/>
      <c r="G92" s="94" t="s">
        <v>386</v>
      </c>
      <c r="H92" s="87">
        <f>H73</f>
        <v>2011</v>
      </c>
      <c r="I92" s="87">
        <f t="shared" ref="I92:S92" si="24">I73</f>
        <v>2012</v>
      </c>
      <c r="J92" s="87">
        <f t="shared" si="24"/>
        <v>2013</v>
      </c>
      <c r="K92" s="87">
        <f t="shared" si="24"/>
        <v>2014</v>
      </c>
      <c r="L92" s="87">
        <f t="shared" si="24"/>
        <v>2015</v>
      </c>
      <c r="M92" s="87">
        <f t="shared" si="24"/>
        <v>2016</v>
      </c>
      <c r="N92" s="87">
        <f t="shared" si="24"/>
        <v>2017</v>
      </c>
      <c r="O92" s="87">
        <f t="shared" si="24"/>
        <v>2018</v>
      </c>
      <c r="P92" s="87">
        <f t="shared" si="24"/>
        <v>2019</v>
      </c>
      <c r="Q92" s="87">
        <f t="shared" si="24"/>
        <v>2020</v>
      </c>
      <c r="R92" s="87">
        <f t="shared" si="24"/>
        <v>2021</v>
      </c>
      <c r="S92" s="87">
        <f t="shared" si="24"/>
        <v>2022</v>
      </c>
    </row>
    <row r="93" spans="1:19" s="4" customFormat="1" x14ac:dyDescent="0.2">
      <c r="A93" s="8"/>
      <c r="B93" s="2" t="s">
        <v>387</v>
      </c>
      <c r="C93" s="10" t="s">
        <v>388</v>
      </c>
      <c r="D93" s="10"/>
      <c r="E93" s="9"/>
      <c r="F93" s="8"/>
      <c r="G93" s="95" t="s">
        <v>389</v>
      </c>
      <c r="H93" s="96">
        <f>H5+H11+H12+H13</f>
        <v>113.587</v>
      </c>
      <c r="I93" s="96">
        <f>I5+I11+I12+I13</f>
        <v>239.98699999999999</v>
      </c>
      <c r="J93" s="96">
        <f t="shared" ref="J93:S93" si="25">J5+J11+J12+J13</f>
        <v>140.68099999999998</v>
      </c>
      <c r="K93" s="96">
        <f t="shared" si="25"/>
        <v>483.32100000000003</v>
      </c>
      <c r="L93" s="96">
        <f t="shared" si="25"/>
        <v>8960.8269999999993</v>
      </c>
      <c r="M93" s="96">
        <f t="shared" si="25"/>
        <v>8473.1450000000004</v>
      </c>
      <c r="N93" s="96">
        <f t="shared" si="25"/>
        <v>484</v>
      </c>
      <c r="O93" s="96">
        <f t="shared" si="25"/>
        <v>260</v>
      </c>
      <c r="P93" s="96">
        <f t="shared" si="25"/>
        <v>260</v>
      </c>
      <c r="Q93" s="96">
        <f t="shared" si="25"/>
        <v>290</v>
      </c>
      <c r="R93" s="96">
        <f t="shared" si="25"/>
        <v>300</v>
      </c>
      <c r="S93" s="96">
        <f t="shared" si="25"/>
        <v>270</v>
      </c>
    </row>
    <row r="94" spans="1:19" s="4" customFormat="1" x14ac:dyDescent="0.2">
      <c r="A94" s="8"/>
      <c r="B94" s="2" t="s">
        <v>390</v>
      </c>
      <c r="C94" s="10"/>
      <c r="D94" s="10"/>
      <c r="E94" s="9"/>
      <c r="F94" s="8"/>
      <c r="G94" s="97" t="s">
        <v>391</v>
      </c>
      <c r="H94" s="98"/>
      <c r="I94" s="96">
        <f>I93-H93</f>
        <v>126.39999999999999</v>
      </c>
      <c r="J94" s="96">
        <f t="shared" ref="J94:S94" si="26">J93-I93</f>
        <v>-99.306000000000012</v>
      </c>
      <c r="K94" s="96">
        <f t="shared" si="26"/>
        <v>342.64000000000004</v>
      </c>
      <c r="L94" s="96">
        <f t="shared" si="26"/>
        <v>8477.5059999999994</v>
      </c>
      <c r="M94" s="96">
        <f t="shared" si="26"/>
        <v>-487.68199999999888</v>
      </c>
      <c r="N94" s="96">
        <f t="shared" si="26"/>
        <v>-7989.1450000000004</v>
      </c>
      <c r="O94" s="96">
        <f t="shared" si="26"/>
        <v>-224</v>
      </c>
      <c r="P94" s="96">
        <f t="shared" si="26"/>
        <v>0</v>
      </c>
      <c r="Q94" s="96">
        <f t="shared" si="26"/>
        <v>30</v>
      </c>
      <c r="R94" s="96">
        <f t="shared" si="26"/>
        <v>10</v>
      </c>
      <c r="S94" s="96">
        <f t="shared" si="26"/>
        <v>-30</v>
      </c>
    </row>
    <row r="95" spans="1:19" s="4" customFormat="1" x14ac:dyDescent="0.2">
      <c r="A95" s="8"/>
      <c r="B95" s="2" t="s">
        <v>392</v>
      </c>
      <c r="C95" s="10" t="s">
        <v>42</v>
      </c>
      <c r="D95" s="10"/>
      <c r="E95" s="9"/>
      <c r="F95" s="8"/>
      <c r="G95" s="95" t="s">
        <v>393</v>
      </c>
      <c r="H95" s="96">
        <f>H19</f>
        <v>105.89299999999999</v>
      </c>
      <c r="I95" s="96">
        <f t="shared" ref="I95:S95" si="27">I19</f>
        <v>130.69499999999999</v>
      </c>
      <c r="J95" s="96">
        <f t="shared" si="27"/>
        <v>105.477</v>
      </c>
      <c r="K95" s="96">
        <f t="shared" si="27"/>
        <v>137.779</v>
      </c>
      <c r="L95" s="96">
        <f t="shared" si="27"/>
        <v>8859.1560000000009</v>
      </c>
      <c r="M95" s="96">
        <f t="shared" si="27"/>
        <v>8251.9650000000001</v>
      </c>
      <c r="N95" s="96">
        <f>N19</f>
        <v>395</v>
      </c>
      <c r="O95" s="96">
        <f t="shared" si="27"/>
        <v>239</v>
      </c>
      <c r="P95" s="96">
        <f t="shared" si="27"/>
        <v>233</v>
      </c>
      <c r="Q95" s="96">
        <f t="shared" si="27"/>
        <v>245</v>
      </c>
      <c r="R95" s="96">
        <f t="shared" si="27"/>
        <v>257</v>
      </c>
      <c r="S95" s="96">
        <f t="shared" si="27"/>
        <v>239</v>
      </c>
    </row>
    <row r="96" spans="1:19" s="4" customFormat="1" x14ac:dyDescent="0.2">
      <c r="A96" s="8"/>
      <c r="B96" s="2" t="s">
        <v>394</v>
      </c>
      <c r="C96" s="10"/>
      <c r="D96" s="10"/>
      <c r="E96" s="9"/>
      <c r="F96" s="8"/>
      <c r="G96" s="97" t="s">
        <v>391</v>
      </c>
      <c r="H96" s="98"/>
      <c r="I96" s="96">
        <f>I95-H95</f>
        <v>24.802000000000007</v>
      </c>
      <c r="J96" s="96">
        <f t="shared" ref="J96:S96" si="28">J95-I95</f>
        <v>-25.217999999999989</v>
      </c>
      <c r="K96" s="96">
        <f t="shared" si="28"/>
        <v>32.301999999999992</v>
      </c>
      <c r="L96" s="96">
        <f t="shared" si="28"/>
        <v>8721.3770000000004</v>
      </c>
      <c r="M96" s="96">
        <f t="shared" si="28"/>
        <v>-607.19100000000071</v>
      </c>
      <c r="N96" s="96">
        <f t="shared" si="28"/>
        <v>-7856.9650000000001</v>
      </c>
      <c r="O96" s="96">
        <f t="shared" si="28"/>
        <v>-156</v>
      </c>
      <c r="P96" s="96">
        <f t="shared" si="28"/>
        <v>-6</v>
      </c>
      <c r="Q96" s="96">
        <f t="shared" si="28"/>
        <v>12</v>
      </c>
      <c r="R96" s="96">
        <f t="shared" si="28"/>
        <v>12</v>
      </c>
      <c r="S96" s="96">
        <f t="shared" si="28"/>
        <v>-18</v>
      </c>
    </row>
    <row r="97" spans="1:20" s="40" customFormat="1" x14ac:dyDescent="0.2">
      <c r="A97" s="29" t="s">
        <v>395</v>
      </c>
      <c r="B97" s="2" t="s">
        <v>188</v>
      </c>
      <c r="C97" s="10" t="s">
        <v>396</v>
      </c>
      <c r="D97" s="99"/>
      <c r="E97" s="30"/>
      <c r="F97" s="29"/>
      <c r="G97" s="100" t="s">
        <v>386</v>
      </c>
      <c r="H97" s="101"/>
      <c r="I97" s="102">
        <f>I94-I96</f>
        <v>101.59799999999998</v>
      </c>
      <c r="J97" s="102">
        <f t="shared" ref="J97:S97" si="29">J94-J96</f>
        <v>-74.088000000000022</v>
      </c>
      <c r="K97" s="102">
        <f t="shared" si="29"/>
        <v>310.33800000000008</v>
      </c>
      <c r="L97" s="102">
        <f t="shared" si="29"/>
        <v>-243.871000000001</v>
      </c>
      <c r="M97" s="102">
        <f t="shared" si="29"/>
        <v>119.50900000000183</v>
      </c>
      <c r="N97" s="102">
        <f t="shared" si="29"/>
        <v>-132.18000000000029</v>
      </c>
      <c r="O97" s="102">
        <f t="shared" si="29"/>
        <v>-68</v>
      </c>
      <c r="P97" s="102">
        <f t="shared" si="29"/>
        <v>6</v>
      </c>
      <c r="Q97" s="102">
        <f t="shared" si="29"/>
        <v>18</v>
      </c>
      <c r="R97" s="102">
        <f t="shared" si="29"/>
        <v>-2</v>
      </c>
      <c r="S97" s="102">
        <f t="shared" si="29"/>
        <v>-12</v>
      </c>
    </row>
    <row r="98" spans="1:20" s="4" customFormat="1" x14ac:dyDescent="0.2">
      <c r="A98" s="8"/>
      <c r="B98" s="2"/>
      <c r="C98" s="10"/>
      <c r="D98" s="10"/>
      <c r="E98" s="9"/>
      <c r="F98" s="8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</row>
    <row r="99" spans="1:20" s="4" customFormat="1" x14ac:dyDescent="0.2">
      <c r="A99" s="8"/>
      <c r="B99" s="2" t="s">
        <v>397</v>
      </c>
      <c r="C99" s="10" t="s">
        <v>398</v>
      </c>
      <c r="D99" s="10"/>
      <c r="E99" s="9"/>
      <c r="F99" s="8"/>
      <c r="G99" s="95" t="s">
        <v>399</v>
      </c>
      <c r="H99" s="96">
        <f>H4-H93</f>
        <v>4617.4250000000002</v>
      </c>
      <c r="I99" s="96">
        <f t="shared" ref="I99:S99" si="30">I4-I93</f>
        <v>5694.6620000000003</v>
      </c>
      <c r="J99" s="96">
        <f t="shared" si="30"/>
        <v>5516.7969999999996</v>
      </c>
      <c r="K99" s="96">
        <f t="shared" si="30"/>
        <v>5219.1090000000004</v>
      </c>
      <c r="L99" s="96">
        <f t="shared" si="30"/>
        <v>5194.0680000000011</v>
      </c>
      <c r="M99" s="96">
        <f t="shared" si="30"/>
        <v>9069.9050000000025</v>
      </c>
      <c r="N99" s="96">
        <f t="shared" si="30"/>
        <v>13553</v>
      </c>
      <c r="O99" s="96">
        <f t="shared" si="30"/>
        <v>13100</v>
      </c>
      <c r="P99" s="96">
        <f t="shared" si="30"/>
        <v>12543</v>
      </c>
      <c r="Q99" s="96">
        <f t="shared" si="30"/>
        <v>11996</v>
      </c>
      <c r="R99" s="96">
        <f t="shared" si="30"/>
        <v>11456</v>
      </c>
      <c r="S99" s="96">
        <f t="shared" si="30"/>
        <v>10954</v>
      </c>
    </row>
    <row r="100" spans="1:20" s="4" customFormat="1" x14ac:dyDescent="0.2">
      <c r="A100" s="8"/>
      <c r="B100" s="2" t="s">
        <v>400</v>
      </c>
      <c r="C100" s="10"/>
      <c r="D100" s="10"/>
      <c r="E100" s="9"/>
      <c r="F100" s="8"/>
      <c r="G100" s="97" t="s">
        <v>391</v>
      </c>
      <c r="H100" s="98"/>
      <c r="I100" s="96">
        <f>I99-H99</f>
        <v>1077.2370000000001</v>
      </c>
      <c r="J100" s="96">
        <f t="shared" ref="J100:S100" si="31">J99-I99</f>
        <v>-177.86500000000069</v>
      </c>
      <c r="K100" s="96">
        <f t="shared" si="31"/>
        <v>-297.68799999999919</v>
      </c>
      <c r="L100" s="96">
        <f t="shared" si="31"/>
        <v>-25.040999999999258</v>
      </c>
      <c r="M100" s="96">
        <f t="shared" si="31"/>
        <v>3875.8370000000014</v>
      </c>
      <c r="N100" s="96">
        <f t="shared" si="31"/>
        <v>4483.0949999999975</v>
      </c>
      <c r="O100" s="96">
        <f t="shared" si="31"/>
        <v>-453</v>
      </c>
      <c r="P100" s="96">
        <f t="shared" si="31"/>
        <v>-557</v>
      </c>
      <c r="Q100" s="96">
        <f t="shared" si="31"/>
        <v>-547</v>
      </c>
      <c r="R100" s="96">
        <f t="shared" si="31"/>
        <v>-540</v>
      </c>
      <c r="S100" s="96">
        <f t="shared" si="31"/>
        <v>-502</v>
      </c>
    </row>
    <row r="101" spans="1:20" s="4" customFormat="1" x14ac:dyDescent="0.2">
      <c r="A101" s="8"/>
      <c r="B101" s="2" t="s">
        <v>401</v>
      </c>
      <c r="C101" s="10" t="s">
        <v>64</v>
      </c>
      <c r="D101" s="10"/>
      <c r="E101" s="9"/>
      <c r="F101" s="8"/>
      <c r="G101" s="95" t="s">
        <v>402</v>
      </c>
      <c r="H101" s="96">
        <f>H27</f>
        <v>4625.12</v>
      </c>
      <c r="I101" s="96">
        <f t="shared" ref="I101:S101" si="32">I27</f>
        <v>5803.9539999999997</v>
      </c>
      <c r="J101" s="96">
        <f t="shared" si="32"/>
        <v>5552.0009999999993</v>
      </c>
      <c r="K101" s="96">
        <f t="shared" si="32"/>
        <v>5564.652</v>
      </c>
      <c r="L101" s="96">
        <f t="shared" si="32"/>
        <v>5295.74</v>
      </c>
      <c r="M101" s="96">
        <f t="shared" si="32"/>
        <v>9291.0849999999991</v>
      </c>
      <c r="N101" s="96">
        <f t="shared" si="32"/>
        <v>13642</v>
      </c>
      <c r="O101" s="96">
        <f t="shared" si="32"/>
        <v>13121</v>
      </c>
      <c r="P101" s="96">
        <f t="shared" si="32"/>
        <v>12570</v>
      </c>
      <c r="Q101" s="96">
        <f t="shared" si="32"/>
        <v>12041</v>
      </c>
      <c r="R101" s="96">
        <f t="shared" si="32"/>
        <v>11499</v>
      </c>
      <c r="S101" s="96">
        <f t="shared" si="32"/>
        <v>10985</v>
      </c>
    </row>
    <row r="102" spans="1:20" s="4" customFormat="1" x14ac:dyDescent="0.2">
      <c r="A102" s="8"/>
      <c r="B102" s="2" t="s">
        <v>403</v>
      </c>
      <c r="C102" s="10"/>
      <c r="D102" s="10"/>
      <c r="E102" s="9"/>
      <c r="F102" s="8"/>
      <c r="G102" s="97" t="s">
        <v>391</v>
      </c>
      <c r="H102" s="98"/>
      <c r="I102" s="96">
        <f>I101-H101</f>
        <v>1178.8339999999998</v>
      </c>
      <c r="J102" s="96">
        <f t="shared" ref="J102:S102" si="33">J101-I101</f>
        <v>-251.95300000000043</v>
      </c>
      <c r="K102" s="96">
        <f t="shared" si="33"/>
        <v>12.651000000000749</v>
      </c>
      <c r="L102" s="96">
        <f t="shared" si="33"/>
        <v>-268.91200000000026</v>
      </c>
      <c r="M102" s="96">
        <f t="shared" si="33"/>
        <v>3995.3449999999993</v>
      </c>
      <c r="N102" s="96">
        <f t="shared" si="33"/>
        <v>4350.9150000000009</v>
      </c>
      <c r="O102" s="96">
        <f t="shared" si="33"/>
        <v>-521</v>
      </c>
      <c r="P102" s="96">
        <f t="shared" si="33"/>
        <v>-551</v>
      </c>
      <c r="Q102" s="96">
        <f t="shared" si="33"/>
        <v>-529</v>
      </c>
      <c r="R102" s="96">
        <f t="shared" si="33"/>
        <v>-542</v>
      </c>
      <c r="S102" s="96">
        <f t="shared" si="33"/>
        <v>-514</v>
      </c>
    </row>
    <row r="103" spans="1:20" s="40" customFormat="1" x14ac:dyDescent="0.2">
      <c r="A103" s="29" t="s">
        <v>404</v>
      </c>
      <c r="B103" s="2" t="s">
        <v>189</v>
      </c>
      <c r="C103" s="10" t="s">
        <v>405</v>
      </c>
      <c r="D103" s="10"/>
      <c r="E103" s="9"/>
      <c r="F103" s="8"/>
      <c r="G103" s="100" t="s">
        <v>406</v>
      </c>
      <c r="H103" s="101"/>
      <c r="I103" s="102">
        <f>I102-I100</f>
        <v>101.59699999999975</v>
      </c>
      <c r="J103" s="102">
        <f t="shared" ref="J103:S103" si="34">J102-J100</f>
        <v>-74.087999999999738</v>
      </c>
      <c r="K103" s="102">
        <f t="shared" si="34"/>
        <v>310.33899999999994</v>
      </c>
      <c r="L103" s="102">
        <f t="shared" si="34"/>
        <v>-243.871000000001</v>
      </c>
      <c r="M103" s="102">
        <f t="shared" si="34"/>
        <v>119.50799999999799</v>
      </c>
      <c r="N103" s="102">
        <f t="shared" si="34"/>
        <v>-132.17999999999665</v>
      </c>
      <c r="O103" s="102">
        <f t="shared" si="34"/>
        <v>-68</v>
      </c>
      <c r="P103" s="102">
        <f t="shared" si="34"/>
        <v>6</v>
      </c>
      <c r="Q103" s="102">
        <f t="shared" si="34"/>
        <v>18</v>
      </c>
      <c r="R103" s="102">
        <f t="shared" si="34"/>
        <v>-2</v>
      </c>
      <c r="S103" s="102">
        <f t="shared" si="34"/>
        <v>-12</v>
      </c>
    </row>
    <row r="104" spans="1:20" s="4" customFormat="1" x14ac:dyDescent="0.2">
      <c r="A104" s="8"/>
      <c r="B104" s="2"/>
      <c r="C104" s="10"/>
      <c r="D104" s="10"/>
      <c r="E104" s="9"/>
      <c r="F104" s="8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</row>
    <row r="105" spans="1:20" s="4" customFormat="1" x14ac:dyDescent="0.2">
      <c r="A105" s="13"/>
      <c r="B105" s="2"/>
      <c r="C105" s="10"/>
      <c r="D105" s="10"/>
      <c r="E105" s="9"/>
      <c r="F105" s="8"/>
      <c r="G105" s="94" t="s">
        <v>407</v>
      </c>
      <c r="H105" s="87">
        <f t="shared" ref="H105:S105" si="35">H32</f>
        <v>2011</v>
      </c>
      <c r="I105" s="87">
        <f t="shared" si="35"/>
        <v>2012</v>
      </c>
      <c r="J105" s="87">
        <f t="shared" si="35"/>
        <v>2013</v>
      </c>
      <c r="K105" s="87">
        <f t="shared" si="35"/>
        <v>2014</v>
      </c>
      <c r="L105" s="87">
        <f t="shared" si="35"/>
        <v>2015</v>
      </c>
      <c r="M105" s="87">
        <f t="shared" si="35"/>
        <v>2016</v>
      </c>
      <c r="N105" s="87">
        <f t="shared" si="35"/>
        <v>2017</v>
      </c>
      <c r="O105" s="87">
        <f t="shared" si="35"/>
        <v>2018</v>
      </c>
      <c r="P105" s="87">
        <f t="shared" si="35"/>
        <v>2019</v>
      </c>
      <c r="Q105" s="87">
        <f t="shared" si="35"/>
        <v>2020</v>
      </c>
      <c r="R105" s="87">
        <f t="shared" si="35"/>
        <v>2021</v>
      </c>
      <c r="S105" s="87">
        <f t="shared" si="35"/>
        <v>2022</v>
      </c>
    </row>
    <row r="106" spans="1:20" s="40" customFormat="1" x14ac:dyDescent="0.2">
      <c r="A106" s="29" t="s">
        <v>408</v>
      </c>
      <c r="B106" s="2" t="s">
        <v>192</v>
      </c>
      <c r="C106" s="29" t="s">
        <v>409</v>
      </c>
      <c r="D106" s="10"/>
      <c r="E106" s="9"/>
      <c r="F106" s="8"/>
      <c r="G106" s="103" t="s">
        <v>407</v>
      </c>
      <c r="H106" s="101" t="s">
        <v>358</v>
      </c>
      <c r="I106" s="104">
        <f t="shared" ref="I106:N106" si="36">(I48-I45+I50)+(I58+I59)+(I82+I83+I84+I85)-(I85-I49)</f>
        <v>1396.873</v>
      </c>
      <c r="J106" s="104">
        <f t="shared" si="36"/>
        <v>-24.088000000000228</v>
      </c>
      <c r="K106" s="104">
        <f t="shared" si="36"/>
        <v>909.44199999999978</v>
      </c>
      <c r="L106" s="104">
        <f t="shared" si="36"/>
        <v>-134.41299999999981</v>
      </c>
      <c r="M106" s="104">
        <f t="shared" si="36"/>
        <v>120.15599999999995</v>
      </c>
      <c r="N106" s="104">
        <f t="shared" si="36"/>
        <v>-132</v>
      </c>
      <c r="O106" s="104">
        <f>(O48-O45+O50)+(O58+O59)+(O82+O83+O84+O85)-(O85-O49)</f>
        <v>-68</v>
      </c>
      <c r="P106" s="104">
        <f>(P48-P45+P50)+(P58+P59)+(P82+P83+P84+P85)-(P85-P49)</f>
        <v>6</v>
      </c>
      <c r="Q106" s="104">
        <f>(Q48-Q45+Q50)+(Q58+Q59)+(Q82+Q83+Q84+Q85)-(Q85-Q49)</f>
        <v>18</v>
      </c>
      <c r="R106" s="104">
        <f>(R48-R45+R50)+(R58+R59)+(R82+R83+R84+R85)-(R85-R49)</f>
        <v>-2</v>
      </c>
      <c r="S106" s="104">
        <f>(S48-S45+S50)+(S58+S59)+(S82+S83+S84+S85)-(S85-S49)</f>
        <v>-12</v>
      </c>
    </row>
    <row r="107" spans="1:20" s="40" customFormat="1" x14ac:dyDescent="0.2">
      <c r="A107" s="29" t="s">
        <v>410</v>
      </c>
      <c r="B107" s="2" t="s">
        <v>194</v>
      </c>
      <c r="C107" s="29" t="s">
        <v>411</v>
      </c>
      <c r="D107" s="10"/>
      <c r="E107" s="9"/>
      <c r="F107" s="8"/>
      <c r="G107" s="89" t="s">
        <v>412</v>
      </c>
      <c r="H107" s="101" t="s">
        <v>358</v>
      </c>
      <c r="I107" s="85">
        <f>I97-I106</f>
        <v>-1295.2750000000001</v>
      </c>
      <c r="J107" s="85">
        <f t="shared" ref="J107:S107" si="37">J97-J106</f>
        <v>-49.999999999999794</v>
      </c>
      <c r="K107" s="85">
        <f t="shared" si="37"/>
        <v>-599.1039999999997</v>
      </c>
      <c r="L107" s="85">
        <f t="shared" si="37"/>
        <v>-109.45800000000119</v>
      </c>
      <c r="M107" s="85">
        <f t="shared" si="37"/>
        <v>-0.64699999999811553</v>
      </c>
      <c r="N107" s="85">
        <f t="shared" si="37"/>
        <v>-0.18000000000029104</v>
      </c>
      <c r="O107" s="85">
        <f t="shared" si="37"/>
        <v>0</v>
      </c>
      <c r="P107" s="85">
        <f t="shared" si="37"/>
        <v>0</v>
      </c>
      <c r="Q107" s="85">
        <f t="shared" si="37"/>
        <v>0</v>
      </c>
      <c r="R107" s="85">
        <f t="shared" si="37"/>
        <v>0</v>
      </c>
      <c r="S107" s="85">
        <f t="shared" si="37"/>
        <v>0</v>
      </c>
    </row>
    <row r="108" spans="1:20" s="40" customFormat="1" x14ac:dyDescent="0.2">
      <c r="A108" s="29"/>
      <c r="B108" s="2"/>
      <c r="C108" s="29"/>
      <c r="D108" s="10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</row>
    <row r="109" spans="1:20" s="40" customFormat="1" x14ac:dyDescent="0.2">
      <c r="A109" s="29"/>
      <c r="B109" s="2"/>
      <c r="C109" s="29"/>
      <c r="D109" s="10"/>
      <c r="E109" s="9"/>
      <c r="F109" s="8"/>
      <c r="G109" s="94" t="s">
        <v>413</v>
      </c>
      <c r="H109" s="87">
        <f>H105</f>
        <v>2011</v>
      </c>
      <c r="I109" s="87">
        <f t="shared" ref="I109:S109" si="38">I105</f>
        <v>2012</v>
      </c>
      <c r="J109" s="87">
        <f t="shared" si="38"/>
        <v>2013</v>
      </c>
      <c r="K109" s="87">
        <f t="shared" si="38"/>
        <v>2014</v>
      </c>
      <c r="L109" s="87">
        <f t="shared" si="38"/>
        <v>2015</v>
      </c>
      <c r="M109" s="87">
        <f t="shared" si="38"/>
        <v>2016</v>
      </c>
      <c r="N109" s="87">
        <f t="shared" si="38"/>
        <v>2017</v>
      </c>
      <c r="O109" s="87">
        <f t="shared" si="38"/>
        <v>2018</v>
      </c>
      <c r="P109" s="87">
        <f t="shared" si="38"/>
        <v>2019</v>
      </c>
      <c r="Q109" s="87">
        <f t="shared" si="38"/>
        <v>2020</v>
      </c>
      <c r="R109" s="87">
        <f t="shared" si="38"/>
        <v>2021</v>
      </c>
      <c r="S109" s="87">
        <f t="shared" si="38"/>
        <v>2022</v>
      </c>
    </row>
    <row r="110" spans="1:20" s="4" customFormat="1" x14ac:dyDescent="0.2">
      <c r="A110" s="8" t="s">
        <v>414</v>
      </c>
      <c r="B110" s="2" t="s">
        <v>415</v>
      </c>
      <c r="C110" s="34" t="s">
        <v>190</v>
      </c>
      <c r="D110" s="10"/>
      <c r="E110" s="9"/>
      <c r="F110" s="8"/>
      <c r="G110" s="103" t="s">
        <v>191</v>
      </c>
      <c r="H110" s="105">
        <f t="shared" ref="H110:S110" si="39">H33+H38+H41-H45</f>
        <v>-168.89900000000003</v>
      </c>
      <c r="I110" s="77">
        <f t="shared" si="39"/>
        <v>1375.6089999999999</v>
      </c>
      <c r="J110" s="77">
        <f t="shared" si="39"/>
        <v>39.898999999999774</v>
      </c>
      <c r="K110" s="77">
        <f t="shared" si="39"/>
        <v>599.13099999999986</v>
      </c>
      <c r="L110" s="77">
        <f t="shared" si="39"/>
        <v>93.595000000000198</v>
      </c>
      <c r="M110" s="77">
        <f t="shared" si="39"/>
        <v>4921.75</v>
      </c>
      <c r="N110" s="77">
        <f t="shared" si="39"/>
        <v>6854</v>
      </c>
      <c r="O110" s="77">
        <f t="shared" si="39"/>
        <v>4</v>
      </c>
      <c r="P110" s="77">
        <f t="shared" si="39"/>
        <v>6</v>
      </c>
      <c r="Q110" s="77">
        <f t="shared" si="39"/>
        <v>18</v>
      </c>
      <c r="R110" s="77">
        <f t="shared" si="39"/>
        <v>-2</v>
      </c>
      <c r="S110" s="77">
        <f t="shared" si="39"/>
        <v>8</v>
      </c>
    </row>
    <row r="111" spans="1:20" s="4" customFormat="1" x14ac:dyDescent="0.2">
      <c r="A111" s="8" t="s">
        <v>416</v>
      </c>
      <c r="B111" s="2" t="s">
        <v>197</v>
      </c>
      <c r="C111" s="8" t="s">
        <v>417</v>
      </c>
      <c r="D111" s="10"/>
      <c r="E111" s="106">
        <v>0</v>
      </c>
      <c r="F111" s="8"/>
      <c r="G111" s="46" t="s">
        <v>193</v>
      </c>
      <c r="H111" s="107">
        <f t="shared" ref="H111:S111" si="40">H110/H33</f>
        <v>-0.12763431531983585</v>
      </c>
      <c r="I111" s="108">
        <f t="shared" si="40"/>
        <v>0.49578552622805766</v>
      </c>
      <c r="J111" s="108">
        <f t="shared" si="40"/>
        <v>2.7460305443333156E-2</v>
      </c>
      <c r="K111" s="108">
        <f t="shared" si="40"/>
        <v>0.26030793908996419</v>
      </c>
      <c r="L111" s="108">
        <f t="shared" si="40"/>
        <v>5.2847091532551647E-2</v>
      </c>
      <c r="M111" s="108">
        <f t="shared" si="40"/>
        <v>0.7243741469185454</v>
      </c>
      <c r="N111" s="108">
        <f t="shared" si="40"/>
        <v>0.63240450267577042</v>
      </c>
      <c r="O111" s="108">
        <f t="shared" si="40"/>
        <v>1.4044943820224719E-3</v>
      </c>
      <c r="P111" s="108">
        <f t="shared" si="40"/>
        <v>2.008032128514056E-3</v>
      </c>
      <c r="Q111" s="108">
        <f t="shared" si="40"/>
        <v>5.9016393442622951E-3</v>
      </c>
      <c r="R111" s="108">
        <f t="shared" si="40"/>
        <v>-6.3897763578274762E-4</v>
      </c>
      <c r="S111" s="108">
        <f t="shared" si="40"/>
        <v>2.5078369905956114E-3</v>
      </c>
    </row>
    <row r="112" spans="1:20" s="4" customFormat="1" x14ac:dyDescent="0.2">
      <c r="A112" s="8" t="s">
        <v>418</v>
      </c>
      <c r="B112" s="2" t="s">
        <v>200</v>
      </c>
      <c r="C112" s="34" t="s">
        <v>195</v>
      </c>
      <c r="D112" s="10"/>
      <c r="E112" s="109"/>
      <c r="F112" s="8"/>
      <c r="G112" s="110" t="s">
        <v>196</v>
      </c>
      <c r="H112" s="111">
        <f t="shared" ref="H112:S112" si="41">-H33/(H38+H41)</f>
        <v>0.80034885500199893</v>
      </c>
      <c r="I112" s="111">
        <f t="shared" si="41"/>
        <v>1.7385167933301628</v>
      </c>
      <c r="J112" s="111">
        <f t="shared" si="41"/>
        <v>0.8522203055504558</v>
      </c>
      <c r="K112" s="111">
        <f t="shared" si="41"/>
        <v>1.0055269328209637</v>
      </c>
      <c r="L112" s="111">
        <f t="shared" si="41"/>
        <v>0.86302443246024785</v>
      </c>
      <c r="M112" s="111">
        <f t="shared" si="41"/>
        <v>2.41355686798568</v>
      </c>
      <c r="N112" s="111">
        <f t="shared" si="41"/>
        <v>1.6707260675196547</v>
      </c>
      <c r="O112" s="111">
        <f t="shared" si="41"/>
        <v>0.84535470466013651</v>
      </c>
      <c r="P112" s="111">
        <f t="shared" si="41"/>
        <v>0.84430630121503247</v>
      </c>
      <c r="Q112" s="111">
        <f t="shared" si="41"/>
        <v>0.85219335009779273</v>
      </c>
      <c r="R112" s="111">
        <f t="shared" si="41"/>
        <v>0.85239651416122009</v>
      </c>
      <c r="S112" s="111">
        <f t="shared" si="41"/>
        <v>0.86123110151187909</v>
      </c>
    </row>
    <row r="113" spans="1:20" s="4" customFormat="1" x14ac:dyDescent="0.2">
      <c r="A113" s="8" t="s">
        <v>419</v>
      </c>
      <c r="B113" s="2" t="s">
        <v>420</v>
      </c>
      <c r="C113" s="8" t="s">
        <v>198</v>
      </c>
      <c r="D113" s="10"/>
      <c r="E113" s="109"/>
      <c r="F113" s="8"/>
      <c r="G113" s="103" t="s">
        <v>199</v>
      </c>
      <c r="H113" s="105">
        <f t="shared" ref="H113:S113" si="42">H46</f>
        <v>-330.10500000000002</v>
      </c>
      <c r="I113" s="105">
        <f t="shared" si="42"/>
        <v>1178.644</v>
      </c>
      <c r="J113" s="105">
        <f t="shared" si="42"/>
        <v>-251.9530000000002</v>
      </c>
      <c r="K113" s="105">
        <f t="shared" si="42"/>
        <v>12.65099999999984</v>
      </c>
      <c r="L113" s="105">
        <f t="shared" si="42"/>
        <v>-281.09399999999982</v>
      </c>
      <c r="M113" s="105">
        <f t="shared" si="42"/>
        <v>3979.3519999999999</v>
      </c>
      <c r="N113" s="105">
        <f t="shared" si="42"/>
        <v>4351</v>
      </c>
      <c r="O113" s="105">
        <f t="shared" si="42"/>
        <v>-521</v>
      </c>
      <c r="P113" s="105">
        <f t="shared" si="42"/>
        <v>-551</v>
      </c>
      <c r="Q113" s="105">
        <f t="shared" si="42"/>
        <v>-529</v>
      </c>
      <c r="R113" s="105">
        <f t="shared" si="42"/>
        <v>-542</v>
      </c>
      <c r="S113" s="105">
        <f t="shared" si="42"/>
        <v>-514</v>
      </c>
    </row>
    <row r="114" spans="1:20" s="4" customFormat="1" x14ac:dyDescent="0.2">
      <c r="A114" s="8" t="s">
        <v>421</v>
      </c>
      <c r="B114" s="2" t="s">
        <v>422</v>
      </c>
      <c r="C114" s="8" t="s">
        <v>201</v>
      </c>
      <c r="D114" s="106">
        <v>-0.3</v>
      </c>
      <c r="E114" s="106">
        <v>0</v>
      </c>
      <c r="F114" s="8"/>
      <c r="G114" s="110" t="s">
        <v>202</v>
      </c>
      <c r="H114" s="112">
        <f t="shared" ref="H114:R114" si="43">H46/H33</f>
        <v>-0.24945515165071674</v>
      </c>
      <c r="I114" s="113">
        <f t="shared" si="43"/>
        <v>0.42479704318272332</v>
      </c>
      <c r="J114" s="113">
        <f t="shared" si="43"/>
        <v>-0.17340550734013793</v>
      </c>
      <c r="K114" s="113">
        <f t="shared" si="43"/>
        <v>5.496553737708609E-3</v>
      </c>
      <c r="L114" s="113">
        <f t="shared" si="43"/>
        <v>-0.15871574707250422</v>
      </c>
      <c r="M114" s="113">
        <f t="shared" si="43"/>
        <v>0.58567373602653683</v>
      </c>
      <c r="N114" s="113">
        <f t="shared" si="43"/>
        <v>0.40145783354862519</v>
      </c>
      <c r="O114" s="113">
        <f t="shared" si="43"/>
        <v>-0.18293539325842698</v>
      </c>
      <c r="P114" s="113">
        <f t="shared" si="43"/>
        <v>-0.18440428380187415</v>
      </c>
      <c r="Q114" s="113">
        <f t="shared" si="43"/>
        <v>-0.17344262295081966</v>
      </c>
      <c r="R114" s="113">
        <f t="shared" si="43"/>
        <v>-0.17316293929712459</v>
      </c>
      <c r="S114" s="113">
        <f>S46/S33</f>
        <v>-0.16112852664576802</v>
      </c>
    </row>
    <row r="115" spans="1:20" s="4" customFormat="1" x14ac:dyDescent="0.2">
      <c r="A115" s="8" t="s">
        <v>423</v>
      </c>
      <c r="B115" s="2" t="s">
        <v>424</v>
      </c>
      <c r="C115" s="8" t="s">
        <v>204</v>
      </c>
      <c r="D115" s="10"/>
      <c r="E115" s="109"/>
      <c r="F115" s="8"/>
      <c r="G115" s="46" t="s">
        <v>205</v>
      </c>
      <c r="H115" s="105">
        <f t="shared" ref="H115:S115" si="44">H29+H30</f>
        <v>-327.40199999999999</v>
      </c>
      <c r="I115" s="105">
        <f t="shared" si="44"/>
        <v>851.43200000000002</v>
      </c>
      <c r="J115" s="105">
        <f t="shared" si="44"/>
        <v>599.47900000000004</v>
      </c>
      <c r="K115" s="105">
        <f t="shared" si="44"/>
        <v>612.13</v>
      </c>
      <c r="L115" s="105">
        <f t="shared" si="44"/>
        <v>343.21800000000002</v>
      </c>
      <c r="M115" s="105">
        <f t="shared" si="44"/>
        <v>4338.5630000000001</v>
      </c>
      <c r="N115" s="105">
        <f t="shared" si="44"/>
        <v>8689</v>
      </c>
      <c r="O115" s="105">
        <f t="shared" si="44"/>
        <v>8168</v>
      </c>
      <c r="P115" s="105">
        <f t="shared" si="44"/>
        <v>7617</v>
      </c>
      <c r="Q115" s="105">
        <f t="shared" si="44"/>
        <v>7088</v>
      </c>
      <c r="R115" s="105">
        <f t="shared" si="44"/>
        <v>6546</v>
      </c>
      <c r="S115" s="105">
        <f t="shared" si="44"/>
        <v>6032</v>
      </c>
    </row>
    <row r="116" spans="1:20" s="4" customFormat="1" x14ac:dyDescent="0.2">
      <c r="A116" s="8"/>
      <c r="B116" s="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</row>
    <row r="117" spans="1:20" s="4" customFormat="1" x14ac:dyDescent="0.2">
      <c r="A117" s="8"/>
      <c r="B117" s="2"/>
      <c r="C117" s="10"/>
      <c r="D117" s="10"/>
      <c r="E117" s="8"/>
      <c r="F117" s="8"/>
      <c r="G117" s="94" t="s">
        <v>206</v>
      </c>
      <c r="H117" s="87">
        <f t="shared" ref="H117:S117" si="45">H105</f>
        <v>2011</v>
      </c>
      <c r="I117" s="87">
        <f t="shared" si="45"/>
        <v>2012</v>
      </c>
      <c r="J117" s="87">
        <f t="shared" si="45"/>
        <v>2013</v>
      </c>
      <c r="K117" s="87">
        <f t="shared" si="45"/>
        <v>2014</v>
      </c>
      <c r="L117" s="87">
        <f t="shared" si="45"/>
        <v>2015</v>
      </c>
      <c r="M117" s="87">
        <f t="shared" si="45"/>
        <v>2016</v>
      </c>
      <c r="N117" s="87">
        <f t="shared" si="45"/>
        <v>2017</v>
      </c>
      <c r="O117" s="87">
        <f t="shared" si="45"/>
        <v>2018</v>
      </c>
      <c r="P117" s="87">
        <f t="shared" si="45"/>
        <v>2019</v>
      </c>
      <c r="Q117" s="87">
        <f t="shared" si="45"/>
        <v>2020</v>
      </c>
      <c r="R117" s="87">
        <f t="shared" si="45"/>
        <v>2021</v>
      </c>
      <c r="S117" s="87">
        <f t="shared" si="45"/>
        <v>2022</v>
      </c>
    </row>
    <row r="118" spans="1:20" s="4" customFormat="1" x14ac:dyDescent="0.2">
      <c r="A118" s="34" t="s">
        <v>425</v>
      </c>
      <c r="B118" s="2" t="s">
        <v>426</v>
      </c>
      <c r="C118" s="10" t="s">
        <v>208</v>
      </c>
      <c r="D118" s="10"/>
      <c r="E118" s="109"/>
      <c r="F118" s="37"/>
      <c r="G118" s="103" t="s">
        <v>209</v>
      </c>
      <c r="H118" s="105">
        <f t="shared" ref="H118:S118" si="46">H6+H12</f>
        <v>48.052999999999997</v>
      </c>
      <c r="I118" s="77">
        <f t="shared" si="46"/>
        <v>161.45500000000001</v>
      </c>
      <c r="J118" s="77">
        <f t="shared" si="46"/>
        <v>49.098999999999997</v>
      </c>
      <c r="K118" s="77">
        <f t="shared" si="46"/>
        <v>372.67700000000002</v>
      </c>
      <c r="L118" s="77">
        <f t="shared" si="46"/>
        <v>8897.2939999999999</v>
      </c>
      <c r="M118" s="77">
        <f t="shared" si="46"/>
        <v>8208.9060000000009</v>
      </c>
      <c r="N118" s="77">
        <f t="shared" si="46"/>
        <v>361</v>
      </c>
      <c r="O118" s="77">
        <f t="shared" si="46"/>
        <v>150</v>
      </c>
      <c r="P118" s="77">
        <f t="shared" si="46"/>
        <v>150</v>
      </c>
      <c r="Q118" s="77">
        <f t="shared" si="46"/>
        <v>170</v>
      </c>
      <c r="R118" s="77">
        <f t="shared" si="46"/>
        <v>170</v>
      </c>
      <c r="S118" s="77">
        <f t="shared" si="46"/>
        <v>150</v>
      </c>
    </row>
    <row r="119" spans="1:20" s="4" customFormat="1" x14ac:dyDescent="0.2">
      <c r="A119" s="8" t="s">
        <v>427</v>
      </c>
      <c r="B119" s="2" t="s">
        <v>428</v>
      </c>
      <c r="C119" s="8" t="s">
        <v>42</v>
      </c>
      <c r="D119" s="10"/>
      <c r="E119" s="109"/>
      <c r="F119" s="37"/>
      <c r="G119" s="110" t="s">
        <v>211</v>
      </c>
      <c r="H119" s="105">
        <f t="shared" ref="H119:S119" si="47">H19</f>
        <v>105.89299999999999</v>
      </c>
      <c r="I119" s="105">
        <f t="shared" si="47"/>
        <v>130.69499999999999</v>
      </c>
      <c r="J119" s="105">
        <f t="shared" si="47"/>
        <v>105.477</v>
      </c>
      <c r="K119" s="105">
        <f t="shared" si="47"/>
        <v>137.779</v>
      </c>
      <c r="L119" s="105">
        <f t="shared" si="47"/>
        <v>8859.1560000000009</v>
      </c>
      <c r="M119" s="105">
        <f t="shared" si="47"/>
        <v>8251.9650000000001</v>
      </c>
      <c r="N119" s="105">
        <f t="shared" si="47"/>
        <v>395</v>
      </c>
      <c r="O119" s="105">
        <f t="shared" si="47"/>
        <v>239</v>
      </c>
      <c r="P119" s="105">
        <f t="shared" si="47"/>
        <v>233</v>
      </c>
      <c r="Q119" s="105">
        <f t="shared" si="47"/>
        <v>245</v>
      </c>
      <c r="R119" s="105">
        <f t="shared" si="47"/>
        <v>257</v>
      </c>
      <c r="S119" s="105">
        <f t="shared" si="47"/>
        <v>239</v>
      </c>
    </row>
    <row r="120" spans="1:20" s="4" customFormat="1" x14ac:dyDescent="0.2">
      <c r="A120" s="8" t="s">
        <v>429</v>
      </c>
      <c r="B120" s="2" t="s">
        <v>203</v>
      </c>
      <c r="C120" s="8" t="s">
        <v>430</v>
      </c>
      <c r="D120" s="10"/>
      <c r="E120" s="109"/>
      <c r="F120" s="37"/>
      <c r="G120" s="110" t="s">
        <v>212</v>
      </c>
      <c r="H120" s="105">
        <f t="shared" ref="H120:S120" si="48">H119-H118</f>
        <v>57.839999999999989</v>
      </c>
      <c r="I120" s="77">
        <f t="shared" si="48"/>
        <v>-30.760000000000019</v>
      </c>
      <c r="J120" s="77">
        <f t="shared" si="48"/>
        <v>56.378000000000007</v>
      </c>
      <c r="K120" s="77">
        <f t="shared" si="48"/>
        <v>-234.89800000000002</v>
      </c>
      <c r="L120" s="77">
        <f t="shared" si="48"/>
        <v>-38.13799999999901</v>
      </c>
      <c r="M120" s="77">
        <f>M119-M118</f>
        <v>43.058999999999287</v>
      </c>
      <c r="N120" s="77">
        <f t="shared" si="48"/>
        <v>34</v>
      </c>
      <c r="O120" s="77">
        <f t="shared" si="48"/>
        <v>89</v>
      </c>
      <c r="P120" s="77">
        <f t="shared" si="48"/>
        <v>83</v>
      </c>
      <c r="Q120" s="77">
        <f t="shared" si="48"/>
        <v>75</v>
      </c>
      <c r="R120" s="77">
        <f t="shared" si="48"/>
        <v>87</v>
      </c>
      <c r="S120" s="77">
        <f t="shared" si="48"/>
        <v>89</v>
      </c>
    </row>
    <row r="121" spans="1:20" s="4" customFormat="1" x14ac:dyDescent="0.2">
      <c r="A121" s="34" t="s">
        <v>431</v>
      </c>
      <c r="B121" s="2" t="s">
        <v>207</v>
      </c>
      <c r="C121" s="8" t="s">
        <v>432</v>
      </c>
      <c r="D121" s="10"/>
      <c r="E121" s="106">
        <v>0.4</v>
      </c>
      <c r="F121" s="114" t="s">
        <v>433</v>
      </c>
      <c r="G121" s="46" t="s">
        <v>213</v>
      </c>
      <c r="H121" s="115">
        <f t="shared" ref="H121:S121" si="49">H120/H33</f>
        <v>4.3708777423781681E-2</v>
      </c>
      <c r="I121" s="108">
        <f t="shared" si="49"/>
        <v>-1.1086262729289401E-2</v>
      </c>
      <c r="J121" s="108">
        <f t="shared" si="49"/>
        <v>3.8801902310439999E-2</v>
      </c>
      <c r="K121" s="108">
        <f t="shared" si="49"/>
        <v>-0.10205750374518166</v>
      </c>
      <c r="L121" s="108">
        <f t="shared" si="49"/>
        <v>-2.1534081701676352E-2</v>
      </c>
      <c r="M121" s="108">
        <f t="shared" si="49"/>
        <v>6.337344723353509E-3</v>
      </c>
      <c r="N121" s="108">
        <f t="shared" si="49"/>
        <v>3.137110167927662E-3</v>
      </c>
      <c r="O121" s="108">
        <f t="shared" si="49"/>
        <v>3.125E-2</v>
      </c>
      <c r="P121" s="108">
        <f t="shared" si="49"/>
        <v>2.7777777777777776E-2</v>
      </c>
      <c r="Q121" s="108">
        <f t="shared" si="49"/>
        <v>2.4590163934426229E-2</v>
      </c>
      <c r="R121" s="108">
        <f t="shared" si="49"/>
        <v>2.779552715654952E-2</v>
      </c>
      <c r="S121" s="108">
        <f t="shared" si="49"/>
        <v>2.7899686520376176E-2</v>
      </c>
    </row>
    <row r="122" spans="1:20" s="4" customFormat="1" x14ac:dyDescent="0.2">
      <c r="A122" s="8" t="s">
        <v>434</v>
      </c>
      <c r="B122" s="2" t="s">
        <v>210</v>
      </c>
      <c r="C122" s="8" t="s">
        <v>435</v>
      </c>
      <c r="D122" s="116">
        <v>0</v>
      </c>
      <c r="E122" s="116">
        <v>5</v>
      </c>
      <c r="F122" s="37"/>
      <c r="G122" s="100" t="s">
        <v>215</v>
      </c>
      <c r="H122" s="111">
        <f t="shared" ref="H122:S122" si="50">H120/H110</f>
        <v>-0.34245318207923064</v>
      </c>
      <c r="I122" s="111">
        <f t="shared" si="50"/>
        <v>-2.236100519842486E-2</v>
      </c>
      <c r="J122" s="111">
        <f t="shared" si="50"/>
        <v>1.4130178701220664</v>
      </c>
      <c r="K122" s="111">
        <f t="shared" si="50"/>
        <v>-0.3920645067606251</v>
      </c>
      <c r="L122" s="111">
        <f t="shared" si="50"/>
        <v>-0.4074790319995612</v>
      </c>
      <c r="M122" s="111">
        <f>M120/M110</f>
        <v>8.7487174277440516E-3</v>
      </c>
      <c r="N122" s="111">
        <f t="shared" si="50"/>
        <v>4.960606944849723E-3</v>
      </c>
      <c r="O122" s="111">
        <f t="shared" si="50"/>
        <v>22.25</v>
      </c>
      <c r="P122" s="111">
        <f t="shared" si="50"/>
        <v>13.833333333333334</v>
      </c>
      <c r="Q122" s="111">
        <f t="shared" si="50"/>
        <v>4.166666666666667</v>
      </c>
      <c r="R122" s="111">
        <f>R120/R110</f>
        <v>-43.5</v>
      </c>
      <c r="S122" s="111">
        <f t="shared" si="50"/>
        <v>11.125</v>
      </c>
    </row>
    <row r="123" spans="1:20" s="4" customFormat="1" x14ac:dyDescent="0.2">
      <c r="A123" s="8" t="s">
        <v>436</v>
      </c>
      <c r="B123" s="2" t="s">
        <v>437</v>
      </c>
      <c r="C123" s="8" t="s">
        <v>217</v>
      </c>
      <c r="D123" s="10"/>
      <c r="E123" s="109"/>
      <c r="F123" s="37"/>
      <c r="G123" s="110" t="s">
        <v>218</v>
      </c>
      <c r="H123" s="105">
        <f t="shared" ref="H123:S123" si="51">-(H75+H77+H78+H79+H80+H81)</f>
        <v>3.2850000000000001</v>
      </c>
      <c r="I123" s="105">
        <f t="shared" si="51"/>
        <v>1.1419999999999999</v>
      </c>
      <c r="J123" s="105">
        <f t="shared" si="51"/>
        <v>0</v>
      </c>
      <c r="K123" s="105">
        <f t="shared" si="51"/>
        <v>0</v>
      </c>
      <c r="L123" s="105">
        <f t="shared" si="51"/>
        <v>0</v>
      </c>
      <c r="M123" s="105">
        <f t="shared" si="51"/>
        <v>4.9000000000000002E-2</v>
      </c>
      <c r="N123" s="105">
        <f t="shared" si="51"/>
        <v>0</v>
      </c>
      <c r="O123" s="105">
        <f t="shared" si="51"/>
        <v>0</v>
      </c>
      <c r="P123" s="105">
        <f t="shared" si="51"/>
        <v>0</v>
      </c>
      <c r="Q123" s="105">
        <f t="shared" si="51"/>
        <v>0</v>
      </c>
      <c r="R123" s="105">
        <f t="shared" si="51"/>
        <v>0</v>
      </c>
      <c r="S123" s="105">
        <f t="shared" si="51"/>
        <v>0</v>
      </c>
    </row>
    <row r="124" spans="1:20" s="4" customFormat="1" x14ac:dyDescent="0.2">
      <c r="A124" s="8" t="s">
        <v>438</v>
      </c>
      <c r="B124" s="2" t="s">
        <v>439</v>
      </c>
      <c r="C124" s="8" t="s">
        <v>440</v>
      </c>
      <c r="D124" s="10"/>
      <c r="E124" s="116">
        <v>1.2</v>
      </c>
      <c r="F124" s="114" t="s">
        <v>433</v>
      </c>
      <c r="G124" s="110" t="s">
        <v>220</v>
      </c>
      <c r="H124" s="117">
        <f t="shared" ref="H124:S124" si="52">H110/H123</f>
        <v>-51.415220700152211</v>
      </c>
      <c r="I124" s="111">
        <f t="shared" si="52"/>
        <v>1204.561295971979</v>
      </c>
      <c r="J124" s="111" t="e">
        <f t="shared" si="52"/>
        <v>#DIV/0!</v>
      </c>
      <c r="K124" s="111" t="e">
        <f t="shared" si="52"/>
        <v>#DIV/0!</v>
      </c>
      <c r="L124" s="111" t="e">
        <f t="shared" si="52"/>
        <v>#DIV/0!</v>
      </c>
      <c r="M124" s="111">
        <f t="shared" si="52"/>
        <v>100443.8775510204</v>
      </c>
      <c r="N124" s="111" t="e">
        <f t="shared" si="52"/>
        <v>#DIV/0!</v>
      </c>
      <c r="O124" s="111" t="e">
        <f t="shared" si="52"/>
        <v>#DIV/0!</v>
      </c>
      <c r="P124" s="111" t="e">
        <f t="shared" si="52"/>
        <v>#DIV/0!</v>
      </c>
      <c r="Q124" s="111" t="e">
        <f t="shared" si="52"/>
        <v>#DIV/0!</v>
      </c>
      <c r="R124" s="111" t="e">
        <f t="shared" si="52"/>
        <v>#DIV/0!</v>
      </c>
      <c r="S124" s="111" t="e">
        <f t="shared" si="52"/>
        <v>#DIV/0!</v>
      </c>
    </row>
    <row r="125" spans="1:20" s="4" customFormat="1" x14ac:dyDescent="0.2">
      <c r="A125" s="38" t="s">
        <v>441</v>
      </c>
      <c r="B125" s="2" t="s">
        <v>442</v>
      </c>
      <c r="C125" s="8" t="s">
        <v>222</v>
      </c>
      <c r="D125" s="10"/>
      <c r="E125" s="116">
        <v>0</v>
      </c>
      <c r="F125" s="37"/>
      <c r="G125" s="103" t="s">
        <v>223</v>
      </c>
      <c r="H125" s="105">
        <f t="shared" ref="H125:S125" si="53">H5-H20</f>
        <v>7.6940000000000026</v>
      </c>
      <c r="I125" s="105">
        <f t="shared" si="53"/>
        <v>109.292</v>
      </c>
      <c r="J125" s="105">
        <f t="shared" si="53"/>
        <v>35.203999999999979</v>
      </c>
      <c r="K125" s="105">
        <f t="shared" si="53"/>
        <v>345.54200000000003</v>
      </c>
      <c r="L125" s="105">
        <f t="shared" si="53"/>
        <v>101.67099999999846</v>
      </c>
      <c r="M125" s="105">
        <f t="shared" si="53"/>
        <v>221.14500000000044</v>
      </c>
      <c r="N125" s="105">
        <f t="shared" si="53"/>
        <v>89</v>
      </c>
      <c r="O125" s="105">
        <f t="shared" si="53"/>
        <v>21</v>
      </c>
      <c r="P125" s="105">
        <f t="shared" si="53"/>
        <v>27</v>
      </c>
      <c r="Q125" s="105">
        <f t="shared" si="53"/>
        <v>45</v>
      </c>
      <c r="R125" s="105">
        <f t="shared" si="53"/>
        <v>43</v>
      </c>
      <c r="S125" s="105">
        <f t="shared" si="53"/>
        <v>31</v>
      </c>
    </row>
    <row r="126" spans="1:20" s="4" customFormat="1" x14ac:dyDescent="0.2">
      <c r="A126" s="34" t="s">
        <v>443</v>
      </c>
      <c r="B126" s="2" t="s">
        <v>444</v>
      </c>
      <c r="C126" s="8" t="s">
        <v>225</v>
      </c>
      <c r="D126" s="10"/>
      <c r="E126" s="116">
        <v>1</v>
      </c>
      <c r="F126" s="114" t="s">
        <v>433</v>
      </c>
      <c r="G126" s="110" t="s">
        <v>226</v>
      </c>
      <c r="H126" s="117">
        <f t="shared" ref="H126:S126" si="54">H5/H20</f>
        <v>1.072658249364925</v>
      </c>
      <c r="I126" s="117">
        <f t="shared" si="54"/>
        <v>1.8362370404376602</v>
      </c>
      <c r="J126" s="117">
        <f t="shared" si="54"/>
        <v>1.3337599666277955</v>
      </c>
      <c r="K126" s="117">
        <f t="shared" si="54"/>
        <v>3.5079438811429902</v>
      </c>
      <c r="L126" s="117">
        <f t="shared" si="54"/>
        <v>1.0114763754019005</v>
      </c>
      <c r="M126" s="117">
        <f t="shared" si="54"/>
        <v>1.0267989578284054</v>
      </c>
      <c r="N126" s="117">
        <f t="shared" si="54"/>
        <v>1.2253164556962026</v>
      </c>
      <c r="O126" s="117">
        <f t="shared" si="54"/>
        <v>1.0878661087866108</v>
      </c>
      <c r="P126" s="117">
        <f t="shared" si="54"/>
        <v>1.1158798283261802</v>
      </c>
      <c r="Q126" s="117">
        <f t="shared" si="54"/>
        <v>1.1836734693877551</v>
      </c>
      <c r="R126" s="117">
        <f t="shared" si="54"/>
        <v>1.1673151750972763</v>
      </c>
      <c r="S126" s="117">
        <f t="shared" si="54"/>
        <v>1.1297071129707112</v>
      </c>
    </row>
    <row r="127" spans="1:20" s="4" customFormat="1" x14ac:dyDescent="0.2">
      <c r="A127" s="34" t="s">
        <v>445</v>
      </c>
      <c r="B127" s="2" t="s">
        <v>214</v>
      </c>
      <c r="C127" s="34" t="s">
        <v>228</v>
      </c>
      <c r="D127" s="10"/>
      <c r="E127" s="116">
        <v>1</v>
      </c>
      <c r="F127" s="37"/>
      <c r="G127" s="46" t="s">
        <v>229</v>
      </c>
      <c r="H127" s="117">
        <f t="shared" ref="H127:S127" si="55">-H6/((H38+H41-H45+H47)/12)</f>
        <v>0.38650805141322003</v>
      </c>
      <c r="I127" s="117">
        <f t="shared" si="55"/>
        <v>1.3850822666490326</v>
      </c>
      <c r="J127" s="117">
        <f t="shared" si="55"/>
        <v>0.41695569437062951</v>
      </c>
      <c r="K127" s="117">
        <f t="shared" si="55"/>
        <v>2.6268090382750469</v>
      </c>
      <c r="L127" s="117">
        <f t="shared" si="55"/>
        <v>64.113975032382001</v>
      </c>
      <c r="M127" s="117">
        <f t="shared" si="55"/>
        <v>53.065388158355475</v>
      </c>
      <c r="N127" s="117">
        <f t="shared" si="55"/>
        <v>1.0873493975903614</v>
      </c>
      <c r="O127" s="117">
        <f t="shared" si="55"/>
        <v>0.63291139240506333</v>
      </c>
      <c r="P127" s="117">
        <f t="shared" si="55"/>
        <v>0.60362173038229372</v>
      </c>
      <c r="Q127" s="117">
        <f t="shared" si="55"/>
        <v>0.67282321899736153</v>
      </c>
      <c r="R127" s="117">
        <f t="shared" si="55"/>
        <v>0.65134099616858232</v>
      </c>
      <c r="S127" s="117">
        <f t="shared" si="55"/>
        <v>0.56568196103079815</v>
      </c>
    </row>
    <row r="128" spans="1:20" s="4" customFormat="1" x14ac:dyDescent="0.2">
      <c r="A128" s="34"/>
      <c r="B128" s="2"/>
      <c r="C128" s="34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</row>
    <row r="129" spans="1:21" s="4" customFormat="1" x14ac:dyDescent="0.2">
      <c r="A129" s="8"/>
      <c r="B129" s="2"/>
      <c r="C129" s="8"/>
      <c r="D129" s="10"/>
      <c r="E129" s="9"/>
      <c r="F129" s="37"/>
      <c r="G129" s="94" t="s">
        <v>230</v>
      </c>
      <c r="H129" s="87">
        <f t="shared" ref="H129:S129" si="56">H117</f>
        <v>2011</v>
      </c>
      <c r="I129" s="87">
        <f t="shared" si="56"/>
        <v>2012</v>
      </c>
      <c r="J129" s="87">
        <f t="shared" si="56"/>
        <v>2013</v>
      </c>
      <c r="K129" s="87">
        <f t="shared" si="56"/>
        <v>2014</v>
      </c>
      <c r="L129" s="87">
        <f t="shared" si="56"/>
        <v>2015</v>
      </c>
      <c r="M129" s="87">
        <f t="shared" si="56"/>
        <v>2016</v>
      </c>
      <c r="N129" s="87">
        <f t="shared" si="56"/>
        <v>2017</v>
      </c>
      <c r="O129" s="87">
        <f t="shared" si="56"/>
        <v>2018</v>
      </c>
      <c r="P129" s="87">
        <f t="shared" si="56"/>
        <v>2019</v>
      </c>
      <c r="Q129" s="87">
        <f t="shared" si="56"/>
        <v>2020</v>
      </c>
      <c r="R129" s="87">
        <f t="shared" si="56"/>
        <v>2021</v>
      </c>
      <c r="S129" s="87">
        <f t="shared" si="56"/>
        <v>2022</v>
      </c>
    </row>
    <row r="130" spans="1:21" s="4" customFormat="1" x14ac:dyDescent="0.2">
      <c r="A130" s="34" t="s">
        <v>446</v>
      </c>
      <c r="B130" s="2" t="s">
        <v>216</v>
      </c>
      <c r="C130" s="34" t="s">
        <v>232</v>
      </c>
      <c r="D130" s="10"/>
      <c r="E130" s="106">
        <v>0.6</v>
      </c>
      <c r="F130" s="37"/>
      <c r="G130" s="103" t="s">
        <v>233</v>
      </c>
      <c r="H130" s="115">
        <f t="shared" ref="H130:S130" si="57">H17/H4</f>
        <v>0</v>
      </c>
      <c r="I130" s="115">
        <f t="shared" si="57"/>
        <v>0</v>
      </c>
      <c r="J130" s="115">
        <f t="shared" si="57"/>
        <v>0</v>
      </c>
      <c r="K130" s="115">
        <f t="shared" si="57"/>
        <v>0</v>
      </c>
      <c r="L130" s="115">
        <f t="shared" si="57"/>
        <v>0</v>
      </c>
      <c r="M130" s="115">
        <f t="shared" si="57"/>
        <v>0</v>
      </c>
      <c r="N130" s="115">
        <f t="shared" si="57"/>
        <v>0</v>
      </c>
      <c r="O130" s="115">
        <f t="shared" si="57"/>
        <v>0</v>
      </c>
      <c r="P130" s="115">
        <f t="shared" si="57"/>
        <v>0</v>
      </c>
      <c r="Q130" s="115">
        <f t="shared" si="57"/>
        <v>0</v>
      </c>
      <c r="R130" s="115">
        <f t="shared" si="57"/>
        <v>0</v>
      </c>
      <c r="S130" s="115">
        <f t="shared" si="57"/>
        <v>0</v>
      </c>
    </row>
    <row r="131" spans="1:21" s="4" customFormat="1" x14ac:dyDescent="0.2">
      <c r="A131" s="34" t="s">
        <v>447</v>
      </c>
      <c r="B131" s="2" t="s">
        <v>219</v>
      </c>
      <c r="C131" s="34" t="s">
        <v>235</v>
      </c>
      <c r="D131" s="10"/>
      <c r="E131" s="106">
        <v>0.4</v>
      </c>
      <c r="F131" s="37"/>
      <c r="G131" s="46" t="s">
        <v>236</v>
      </c>
      <c r="H131" s="115" t="e">
        <f t="shared" ref="H131:S131" si="58">H27/H17</f>
        <v>#DIV/0!</v>
      </c>
      <c r="I131" s="115" t="e">
        <f t="shared" si="58"/>
        <v>#DIV/0!</v>
      </c>
      <c r="J131" s="115" t="e">
        <f t="shared" si="58"/>
        <v>#DIV/0!</v>
      </c>
      <c r="K131" s="115" t="e">
        <f t="shared" si="58"/>
        <v>#DIV/0!</v>
      </c>
      <c r="L131" s="115" t="e">
        <f t="shared" si="58"/>
        <v>#DIV/0!</v>
      </c>
      <c r="M131" s="115" t="e">
        <f t="shared" si="58"/>
        <v>#DIV/0!</v>
      </c>
      <c r="N131" s="115" t="e">
        <f t="shared" si="58"/>
        <v>#DIV/0!</v>
      </c>
      <c r="O131" s="115" t="e">
        <f t="shared" si="58"/>
        <v>#DIV/0!</v>
      </c>
      <c r="P131" s="115" t="e">
        <f t="shared" si="58"/>
        <v>#DIV/0!</v>
      </c>
      <c r="Q131" s="115" t="e">
        <f t="shared" si="58"/>
        <v>#DIV/0!</v>
      </c>
      <c r="R131" s="115" t="e">
        <f t="shared" si="58"/>
        <v>#DIV/0!</v>
      </c>
      <c r="S131" s="115" t="e">
        <f t="shared" si="58"/>
        <v>#DIV/0!</v>
      </c>
    </row>
    <row r="132" spans="1:21" s="4" customFormat="1" x14ac:dyDescent="0.2">
      <c r="A132" s="34"/>
      <c r="B132" s="2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</row>
    <row r="133" spans="1:21" s="4" customFormat="1" x14ac:dyDescent="0.2">
      <c r="A133" s="8"/>
      <c r="B133" s="2"/>
      <c r="C133" s="8"/>
      <c r="D133" s="10"/>
      <c r="E133" s="9"/>
      <c r="F133" s="37"/>
      <c r="G133" s="94" t="s">
        <v>237</v>
      </c>
      <c r="H133" s="87">
        <f t="shared" ref="H133:S133" si="59">H117</f>
        <v>2011</v>
      </c>
      <c r="I133" s="87">
        <f t="shared" si="59"/>
        <v>2012</v>
      </c>
      <c r="J133" s="87">
        <f t="shared" si="59"/>
        <v>2013</v>
      </c>
      <c r="K133" s="87">
        <f t="shared" si="59"/>
        <v>2014</v>
      </c>
      <c r="L133" s="87">
        <f t="shared" si="59"/>
        <v>2015</v>
      </c>
      <c r="M133" s="87">
        <f t="shared" si="59"/>
        <v>2016</v>
      </c>
      <c r="N133" s="87">
        <f t="shared" si="59"/>
        <v>2017</v>
      </c>
      <c r="O133" s="87">
        <f t="shared" si="59"/>
        <v>2018</v>
      </c>
      <c r="P133" s="87">
        <f t="shared" si="59"/>
        <v>2019</v>
      </c>
      <c r="Q133" s="87">
        <f t="shared" si="59"/>
        <v>2020</v>
      </c>
      <c r="R133" s="87">
        <f t="shared" si="59"/>
        <v>2021</v>
      </c>
      <c r="S133" s="87">
        <f t="shared" si="59"/>
        <v>2022</v>
      </c>
    </row>
    <row r="134" spans="1:21" s="4" customFormat="1" x14ac:dyDescent="0.2">
      <c r="A134" s="34" t="s">
        <v>448</v>
      </c>
      <c r="B134" s="2" t="s">
        <v>221</v>
      </c>
      <c r="C134" s="39" t="s">
        <v>239</v>
      </c>
      <c r="D134" s="10"/>
      <c r="E134" s="109"/>
      <c r="F134" s="37"/>
      <c r="G134" s="110" t="s">
        <v>240</v>
      </c>
      <c r="H134" s="118">
        <f t="shared" ref="H134:S134" si="60">H10/H4</f>
        <v>0.97599097191044948</v>
      </c>
      <c r="I134" s="118">
        <f t="shared" si="60"/>
        <v>0.95956171965688286</v>
      </c>
      <c r="J134" s="118">
        <f t="shared" si="60"/>
        <v>0.975133619609303</v>
      </c>
      <c r="K134" s="118">
        <f t="shared" si="60"/>
        <v>0.9152429753631347</v>
      </c>
      <c r="L134" s="118">
        <f t="shared" si="60"/>
        <v>0.36694500383083023</v>
      </c>
      <c r="M134" s="118">
        <f t="shared" si="60"/>
        <v>0.51700844493973397</v>
      </c>
      <c r="N134" s="118">
        <f t="shared" si="60"/>
        <v>0.96551969794115555</v>
      </c>
      <c r="O134" s="118">
        <f t="shared" si="60"/>
        <v>0.98053892215568861</v>
      </c>
      <c r="P134" s="118">
        <f t="shared" si="60"/>
        <v>0.97969225962664996</v>
      </c>
      <c r="Q134" s="118">
        <f t="shared" si="60"/>
        <v>0.97639589776981928</v>
      </c>
      <c r="R134" s="118">
        <f t="shared" si="60"/>
        <v>0.97448111602585918</v>
      </c>
      <c r="S134" s="118">
        <f t="shared" si="60"/>
        <v>0.97594440484675693</v>
      </c>
    </row>
    <row r="135" spans="1:21" s="4" customFormat="1" x14ac:dyDescent="0.2">
      <c r="A135" s="34" t="s">
        <v>449</v>
      </c>
      <c r="B135" s="2" t="s">
        <v>224</v>
      </c>
      <c r="C135" s="39" t="s">
        <v>242</v>
      </c>
      <c r="D135" s="10"/>
      <c r="E135" s="109"/>
      <c r="F135" s="37"/>
      <c r="G135" s="110" t="s">
        <v>243</v>
      </c>
      <c r="H135" s="118">
        <f t="shared" ref="H135:S135" si="61">-(H58)/H15</f>
        <v>1.7152417202228514E-3</v>
      </c>
      <c r="I135" s="118">
        <f t="shared" si="61"/>
        <v>-3.4077527340516433E-3</v>
      </c>
      <c r="J135" s="118">
        <f t="shared" si="61"/>
        <v>1.1598577942962195E-2</v>
      </c>
      <c r="K135" s="118">
        <f t="shared" si="61"/>
        <v>-5.9073493195869249E-2</v>
      </c>
      <c r="L135" s="118">
        <f t="shared" si="61"/>
        <v>4.7446240596002977E-2</v>
      </c>
      <c r="M135" s="118">
        <f t="shared" si="61"/>
        <v>0.5312073279709103</v>
      </c>
      <c r="N135" s="118">
        <f t="shared" si="61"/>
        <v>0.51545783221426988</v>
      </c>
      <c r="O135" s="118">
        <f t="shared" si="61"/>
        <v>5.4961832061068703E-3</v>
      </c>
      <c r="P135" s="118">
        <f t="shared" si="61"/>
        <v>0</v>
      </c>
      <c r="Q135" s="118">
        <f t="shared" si="61"/>
        <v>0</v>
      </c>
      <c r="R135" s="118">
        <f t="shared" si="61"/>
        <v>0</v>
      </c>
      <c r="S135" s="118">
        <f t="shared" si="61"/>
        <v>1.8258170531312763E-3</v>
      </c>
    </row>
    <row r="136" spans="1:21" s="4" customFormat="1" x14ac:dyDescent="0.2">
      <c r="A136" s="34" t="s">
        <v>450</v>
      </c>
      <c r="B136" s="2" t="s">
        <v>227</v>
      </c>
      <c r="C136" s="8" t="s">
        <v>245</v>
      </c>
      <c r="D136" s="10"/>
      <c r="E136" s="109"/>
      <c r="F136" s="37"/>
      <c r="G136" s="103" t="s">
        <v>246</v>
      </c>
      <c r="H136" s="111">
        <f t="shared" ref="H136:S136" si="62">H33/H4</f>
        <v>0.27970844292933511</v>
      </c>
      <c r="I136" s="111">
        <f t="shared" si="62"/>
        <v>0.46752638614347702</v>
      </c>
      <c r="J136" s="111">
        <f t="shared" si="62"/>
        <v>0.25682291650095684</v>
      </c>
      <c r="K136" s="111">
        <f t="shared" si="62"/>
        <v>0.40362161394352936</v>
      </c>
      <c r="L136" s="111">
        <f t="shared" si="62"/>
        <v>0.12511947280428432</v>
      </c>
      <c r="M136" s="111">
        <f t="shared" si="62"/>
        <v>0.38730357606003513</v>
      </c>
      <c r="N136" s="111">
        <f t="shared" si="62"/>
        <v>0.77210230106148037</v>
      </c>
      <c r="O136" s="111">
        <f t="shared" si="62"/>
        <v>0.21317365269461078</v>
      </c>
      <c r="P136" s="111">
        <f t="shared" si="62"/>
        <v>0.23338280090603764</v>
      </c>
      <c r="Q136" s="111">
        <f t="shared" si="62"/>
        <v>0.24825004069672799</v>
      </c>
      <c r="R136" s="111">
        <f t="shared" si="62"/>
        <v>0.26624702279686968</v>
      </c>
      <c r="S136" s="111">
        <f t="shared" si="62"/>
        <v>0.28421240199572345</v>
      </c>
    </row>
    <row r="137" spans="1:21" s="4" customFormat="1" x14ac:dyDescent="0.2">
      <c r="A137" s="34" t="s">
        <v>451</v>
      </c>
      <c r="B137" s="2" t="s">
        <v>231</v>
      </c>
      <c r="C137" s="39" t="s">
        <v>248</v>
      </c>
      <c r="D137" s="10"/>
      <c r="E137" s="109"/>
      <c r="F137" s="37"/>
      <c r="G137" s="46" t="s">
        <v>249</v>
      </c>
      <c r="H137" s="111">
        <f t="shared" ref="H137:S137" si="63">H33/H15</f>
        <v>0.28658917037093179</v>
      </c>
      <c r="I137" s="111">
        <f t="shared" si="63"/>
        <v>0.48722909278900134</v>
      </c>
      <c r="J137" s="111">
        <f t="shared" si="63"/>
        <v>0.26337202547057653</v>
      </c>
      <c r="K137" s="111">
        <f t="shared" si="63"/>
        <v>0.44099941196859466</v>
      </c>
      <c r="L137" s="111">
        <f t="shared" si="63"/>
        <v>0.34097609041699106</v>
      </c>
      <c r="M137" s="111">
        <f t="shared" si="63"/>
        <v>0.74912427417927741</v>
      </c>
      <c r="N137" s="111">
        <f t="shared" si="63"/>
        <v>0.7996753486312993</v>
      </c>
      <c r="O137" s="111">
        <f t="shared" si="63"/>
        <v>0.21740458015267175</v>
      </c>
      <c r="P137" s="111">
        <f t="shared" si="63"/>
        <v>0.2382205214063621</v>
      </c>
      <c r="Q137" s="111">
        <f t="shared" si="63"/>
        <v>0.25425141713904637</v>
      </c>
      <c r="R137" s="111">
        <f t="shared" si="63"/>
        <v>0.27321927374301674</v>
      </c>
      <c r="S137" s="111">
        <f t="shared" si="63"/>
        <v>0.29121781997443857</v>
      </c>
    </row>
    <row r="138" spans="1:21" s="4" customFormat="1" x14ac:dyDescent="0.2">
      <c r="A138" s="8" t="s">
        <v>452</v>
      </c>
      <c r="B138" s="2" t="s">
        <v>234</v>
      </c>
      <c r="C138" s="39" t="s">
        <v>251</v>
      </c>
      <c r="D138" s="106">
        <v>0.5</v>
      </c>
      <c r="E138" s="106">
        <f>1/3</f>
        <v>0.33333333333333331</v>
      </c>
      <c r="F138" s="114" t="s">
        <v>433</v>
      </c>
      <c r="G138" s="100" t="s">
        <v>252</v>
      </c>
      <c r="H138" s="118">
        <f t="shared" ref="H138:S138" si="64">H27/H4</f>
        <v>0.97761747380898611</v>
      </c>
      <c r="I138" s="118">
        <f t="shared" si="64"/>
        <v>0.97797763608260557</v>
      </c>
      <c r="J138" s="118">
        <f t="shared" si="64"/>
        <v>0.98135618026265414</v>
      </c>
      <c r="K138" s="118">
        <f t="shared" si="64"/>
        <v>0.97583872138719807</v>
      </c>
      <c r="L138" s="118">
        <f t="shared" si="64"/>
        <v>0.37412781938686224</v>
      </c>
      <c r="M138" s="118">
        <f t="shared" si="64"/>
        <v>0.5296162867916353</v>
      </c>
      <c r="N138" s="118">
        <f t="shared" si="64"/>
        <v>0.97186008406354629</v>
      </c>
      <c r="O138" s="118">
        <f t="shared" si="64"/>
        <v>0.98211077844311379</v>
      </c>
      <c r="P138" s="118">
        <f t="shared" si="64"/>
        <v>0.9818011403577287</v>
      </c>
      <c r="Q138" s="118">
        <f t="shared" si="64"/>
        <v>0.98005860328829564</v>
      </c>
      <c r="R138" s="118">
        <f t="shared" si="64"/>
        <v>0.97813882272881936</v>
      </c>
      <c r="S138" s="118">
        <f t="shared" si="64"/>
        <v>0.97870634354953667</v>
      </c>
    </row>
    <row r="139" spans="1:21" s="4" customFormat="1" x14ac:dyDescent="0.2">
      <c r="A139" s="8"/>
      <c r="B139" s="2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</row>
    <row r="140" spans="1:21" s="4" customFormat="1" x14ac:dyDescent="0.2">
      <c r="A140" s="40"/>
      <c r="B140" s="2"/>
      <c r="C140" s="2"/>
      <c r="D140" s="41"/>
      <c r="E140" s="42"/>
      <c r="F140" s="37"/>
      <c r="G140" s="94" t="s">
        <v>253</v>
      </c>
      <c r="H140" s="87">
        <f t="shared" ref="H140:S140" si="65">H133</f>
        <v>2011</v>
      </c>
      <c r="I140" s="87">
        <f t="shared" si="65"/>
        <v>2012</v>
      </c>
      <c r="J140" s="87">
        <f t="shared" si="65"/>
        <v>2013</v>
      </c>
      <c r="K140" s="87">
        <f t="shared" si="65"/>
        <v>2014</v>
      </c>
      <c r="L140" s="87">
        <f t="shared" si="65"/>
        <v>2015</v>
      </c>
      <c r="M140" s="87">
        <f t="shared" si="65"/>
        <v>2016</v>
      </c>
      <c r="N140" s="87">
        <f t="shared" si="65"/>
        <v>2017</v>
      </c>
      <c r="O140" s="87">
        <f t="shared" si="65"/>
        <v>2018</v>
      </c>
      <c r="P140" s="87">
        <f t="shared" si="65"/>
        <v>2019</v>
      </c>
      <c r="Q140" s="87">
        <f t="shared" si="65"/>
        <v>2020</v>
      </c>
      <c r="R140" s="87">
        <f t="shared" si="65"/>
        <v>2021</v>
      </c>
      <c r="S140" s="87">
        <f t="shared" si="65"/>
        <v>2022</v>
      </c>
    </row>
    <row r="141" spans="1:21" s="4" customFormat="1" x14ac:dyDescent="0.2">
      <c r="A141" s="8" t="s">
        <v>453</v>
      </c>
      <c r="B141" s="2" t="s">
        <v>238</v>
      </c>
      <c r="C141" s="8" t="s">
        <v>255</v>
      </c>
      <c r="D141" s="43"/>
      <c r="E141" s="106">
        <v>0.05</v>
      </c>
      <c r="F141" s="8"/>
      <c r="G141" s="103" t="s">
        <v>256</v>
      </c>
      <c r="H141" s="108">
        <f t="shared" ref="H141:S141" si="66">H35/H33</f>
        <v>0.34836439699419036</v>
      </c>
      <c r="I141" s="108">
        <f t="shared" si="66"/>
        <v>0.16429653950742537</v>
      </c>
      <c r="J141" s="108">
        <f t="shared" si="66"/>
        <v>0.29676318162109333</v>
      </c>
      <c r="K141" s="108">
        <f t="shared" si="66"/>
        <v>0.2891710374935263</v>
      </c>
      <c r="L141" s="108">
        <f t="shared" si="66"/>
        <v>0.31615767568785347</v>
      </c>
      <c r="M141" s="108">
        <f t="shared" si="66"/>
        <v>0.10425291920536742</v>
      </c>
      <c r="N141" s="108">
        <f t="shared" si="66"/>
        <v>0.132681306514117</v>
      </c>
      <c r="O141" s="108">
        <f t="shared" si="66"/>
        <v>0.449438202247191</v>
      </c>
      <c r="P141" s="108">
        <f t="shared" si="66"/>
        <v>0.43507362784471221</v>
      </c>
      <c r="Q141" s="108">
        <f t="shared" si="66"/>
        <v>0.43278688524590164</v>
      </c>
      <c r="R141" s="108">
        <f t="shared" si="66"/>
        <v>0.42492012779552718</v>
      </c>
      <c r="S141" s="108">
        <f t="shared" si="66"/>
        <v>0.42006269592476492</v>
      </c>
    </row>
    <row r="142" spans="1:21" s="4" customFormat="1" x14ac:dyDescent="0.2">
      <c r="A142" s="8" t="s">
        <v>454</v>
      </c>
      <c r="B142" s="2" t="s">
        <v>241</v>
      </c>
      <c r="C142" s="8" t="s">
        <v>258</v>
      </c>
      <c r="D142" s="10"/>
      <c r="E142" s="106">
        <v>0.95</v>
      </c>
      <c r="F142" s="8"/>
      <c r="G142" s="110" t="s">
        <v>259</v>
      </c>
      <c r="H142" s="118">
        <f t="shared" ref="H142:S142" si="67">(H36+H34)/H33</f>
        <v>0.70641364342584922</v>
      </c>
      <c r="I142" s="118">
        <f t="shared" si="67"/>
        <v>0.83510265425168628</v>
      </c>
      <c r="J142" s="118">
        <f t="shared" si="67"/>
        <v>0.70323681837890661</v>
      </c>
      <c r="K142" s="118">
        <f t="shared" si="67"/>
        <v>0.71121868732686133</v>
      </c>
      <c r="L142" s="118">
        <f t="shared" si="67"/>
        <v>0.68385022921391958</v>
      </c>
      <c r="M142" s="118">
        <f t="shared" si="67"/>
        <v>0.89556045887797842</v>
      </c>
      <c r="N142" s="118">
        <f t="shared" si="67"/>
        <v>0.86648828197084338</v>
      </c>
      <c r="O142" s="118">
        <f t="shared" si="67"/>
        <v>0.550561797752809</v>
      </c>
      <c r="P142" s="118">
        <f t="shared" si="67"/>
        <v>0.56492637215528785</v>
      </c>
      <c r="Q142" s="118">
        <f t="shared" si="67"/>
        <v>0.56721311475409841</v>
      </c>
      <c r="R142" s="118">
        <f t="shared" si="67"/>
        <v>0.57507987220447288</v>
      </c>
      <c r="S142" s="118">
        <f t="shared" si="67"/>
        <v>0.57993730407523514</v>
      </c>
    </row>
    <row r="143" spans="1:21" s="4" customFormat="1" x14ac:dyDescent="0.2">
      <c r="A143" s="8" t="s">
        <v>455</v>
      </c>
      <c r="B143" s="2" t="s">
        <v>244</v>
      </c>
      <c r="C143" s="8" t="s">
        <v>261</v>
      </c>
      <c r="D143" s="10"/>
      <c r="E143" s="106">
        <v>0.95</v>
      </c>
      <c r="F143" s="8"/>
      <c r="G143" s="46" t="s">
        <v>262</v>
      </c>
      <c r="H143" s="108">
        <f t="shared" ref="H143:S143" si="68">H38/(H38+H41)</f>
        <v>0.1040565280580909</v>
      </c>
      <c r="I143" s="108">
        <f t="shared" si="68"/>
        <v>1.0883724602292913E-3</v>
      </c>
      <c r="J143" s="108">
        <f t="shared" si="68"/>
        <v>1.0188143394159149E-3</v>
      </c>
      <c r="K143" s="108">
        <f t="shared" si="68"/>
        <v>7.850682380263986E-4</v>
      </c>
      <c r="L143" s="108">
        <f t="shared" si="68"/>
        <v>9.2878336688356148E-4</v>
      </c>
      <c r="M143" s="108">
        <f t="shared" si="68"/>
        <v>9.704689013027444E-4</v>
      </c>
      <c r="N143" s="108">
        <f t="shared" si="68"/>
        <v>3.0830892554339451E-4</v>
      </c>
      <c r="O143" s="108">
        <f t="shared" si="68"/>
        <v>5.9364796675571388E-4</v>
      </c>
      <c r="P143" s="108">
        <f t="shared" si="68"/>
        <v>0</v>
      </c>
      <c r="Q143" s="108">
        <f t="shared" si="68"/>
        <v>0</v>
      </c>
      <c r="R143" s="108">
        <f t="shared" si="68"/>
        <v>0</v>
      </c>
      <c r="S143" s="108">
        <f t="shared" si="68"/>
        <v>0</v>
      </c>
    </row>
    <row r="144" spans="1:21" s="4" customFormat="1" x14ac:dyDescent="0.2">
      <c r="A144" s="8"/>
      <c r="B144" s="2"/>
      <c r="C144" s="8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</row>
    <row r="145" spans="1:19" s="4" customFormat="1" x14ac:dyDescent="0.2">
      <c r="A145" s="40"/>
      <c r="B145" s="2"/>
      <c r="C145" s="119"/>
      <c r="D145" s="41"/>
      <c r="E145" s="42"/>
      <c r="F145" s="37"/>
      <c r="G145" s="94"/>
      <c r="H145" s="87">
        <f>H140</f>
        <v>2011</v>
      </c>
      <c r="I145" s="87">
        <f t="shared" ref="I145:S145" si="69">I140</f>
        <v>2012</v>
      </c>
      <c r="J145" s="87">
        <f t="shared" si="69"/>
        <v>2013</v>
      </c>
      <c r="K145" s="87">
        <f t="shared" si="69"/>
        <v>2014</v>
      </c>
      <c r="L145" s="87">
        <f t="shared" si="69"/>
        <v>2015</v>
      </c>
      <c r="M145" s="87">
        <f t="shared" si="69"/>
        <v>2016</v>
      </c>
      <c r="N145" s="87">
        <f t="shared" si="69"/>
        <v>2017</v>
      </c>
      <c r="O145" s="87">
        <f t="shared" si="69"/>
        <v>2018</v>
      </c>
      <c r="P145" s="87">
        <f t="shared" si="69"/>
        <v>2019</v>
      </c>
      <c r="Q145" s="87">
        <f t="shared" si="69"/>
        <v>2020</v>
      </c>
      <c r="R145" s="87">
        <f t="shared" si="69"/>
        <v>2021</v>
      </c>
      <c r="S145" s="87">
        <f t="shared" si="69"/>
        <v>2022</v>
      </c>
    </row>
    <row r="146" spans="1:19" s="4" customFormat="1" x14ac:dyDescent="0.2">
      <c r="A146" s="4" t="s">
        <v>456</v>
      </c>
      <c r="B146" s="2" t="s">
        <v>247</v>
      </c>
      <c r="C146" s="8" t="s">
        <v>264</v>
      </c>
      <c r="D146" s="120">
        <v>0.5</v>
      </c>
      <c r="E146" s="121" t="s">
        <v>265</v>
      </c>
      <c r="G146" s="103" t="s">
        <v>266</v>
      </c>
      <c r="H146" s="111" t="str">
        <f t="shared" ref="H146:S146" si="70">IF(H141&lt;$D$146,$E$146,H35/H4)</f>
        <v>N/A</v>
      </c>
      <c r="I146" s="111" t="str">
        <f t="shared" si="70"/>
        <v>N/A</v>
      </c>
      <c r="J146" s="111" t="str">
        <f t="shared" si="70"/>
        <v>N/A</v>
      </c>
      <c r="K146" s="111" t="str">
        <f t="shared" si="70"/>
        <v>N/A</v>
      </c>
      <c r="L146" s="111" t="str">
        <f t="shared" si="70"/>
        <v>N/A</v>
      </c>
      <c r="M146" s="111" t="str">
        <f t="shared" si="70"/>
        <v>N/A</v>
      </c>
      <c r="N146" s="111" t="str">
        <f t="shared" si="70"/>
        <v>N/A</v>
      </c>
      <c r="O146" s="111" t="str">
        <f t="shared" si="70"/>
        <v>N/A</v>
      </c>
      <c r="P146" s="111" t="str">
        <f t="shared" si="70"/>
        <v>N/A</v>
      </c>
      <c r="Q146" s="111" t="str">
        <f t="shared" si="70"/>
        <v>N/A</v>
      </c>
      <c r="R146" s="111" t="str">
        <f t="shared" si="70"/>
        <v>N/A</v>
      </c>
      <c r="S146" s="111" t="str">
        <f t="shared" si="70"/>
        <v>N/A</v>
      </c>
    </row>
    <row r="147" spans="1:19" s="4" customFormat="1" x14ac:dyDescent="0.2">
      <c r="A147" s="4" t="s">
        <v>457</v>
      </c>
      <c r="B147" s="2" t="s">
        <v>250</v>
      </c>
      <c r="C147" s="8" t="s">
        <v>267</v>
      </c>
      <c r="D147" s="120">
        <v>0.5</v>
      </c>
      <c r="E147" s="121" t="s">
        <v>265</v>
      </c>
      <c r="G147" s="110" t="s">
        <v>268</v>
      </c>
      <c r="H147" s="111" t="str">
        <f t="shared" ref="H147:S147" si="71">IF(H141&lt;$D$147,$E$147,H35/H15)</f>
        <v>N/A</v>
      </c>
      <c r="I147" s="111" t="str">
        <f t="shared" si="71"/>
        <v>N/A</v>
      </c>
      <c r="J147" s="111" t="str">
        <f t="shared" si="71"/>
        <v>N/A</v>
      </c>
      <c r="K147" s="111" t="str">
        <f t="shared" si="71"/>
        <v>N/A</v>
      </c>
      <c r="L147" s="111" t="str">
        <f t="shared" si="71"/>
        <v>N/A</v>
      </c>
      <c r="M147" s="111" t="str">
        <f t="shared" si="71"/>
        <v>N/A</v>
      </c>
      <c r="N147" s="111" t="str">
        <f t="shared" si="71"/>
        <v>N/A</v>
      </c>
      <c r="O147" s="111" t="str">
        <f t="shared" si="71"/>
        <v>N/A</v>
      </c>
      <c r="P147" s="111" t="str">
        <f t="shared" si="71"/>
        <v>N/A</v>
      </c>
      <c r="Q147" s="111" t="str">
        <f t="shared" si="71"/>
        <v>N/A</v>
      </c>
      <c r="R147" s="111" t="str">
        <f t="shared" si="71"/>
        <v>N/A</v>
      </c>
      <c r="S147" s="111" t="str">
        <f t="shared" si="71"/>
        <v>N/A</v>
      </c>
    </row>
    <row r="148" spans="1:19" s="4" customFormat="1" x14ac:dyDescent="0.2">
      <c r="A148" s="4" t="s">
        <v>458</v>
      </c>
      <c r="B148" s="2" t="s">
        <v>254</v>
      </c>
      <c r="C148" s="8" t="s">
        <v>201</v>
      </c>
      <c r="D148" s="120">
        <v>0.5</v>
      </c>
      <c r="E148" s="121" t="s">
        <v>265</v>
      </c>
      <c r="G148" s="103" t="s">
        <v>269</v>
      </c>
      <c r="H148" s="118" t="str">
        <f t="shared" ref="H148:S148" si="72">IF(H141&lt;$D$148,$E$148,H46/H33)</f>
        <v>N/A</v>
      </c>
      <c r="I148" s="118" t="str">
        <f t="shared" si="72"/>
        <v>N/A</v>
      </c>
      <c r="J148" s="118" t="str">
        <f t="shared" si="72"/>
        <v>N/A</v>
      </c>
      <c r="K148" s="118" t="str">
        <f t="shared" si="72"/>
        <v>N/A</v>
      </c>
      <c r="L148" s="118" t="str">
        <f t="shared" si="72"/>
        <v>N/A</v>
      </c>
      <c r="M148" s="118" t="str">
        <f t="shared" si="72"/>
        <v>N/A</v>
      </c>
      <c r="N148" s="118" t="str">
        <f t="shared" si="72"/>
        <v>N/A</v>
      </c>
      <c r="O148" s="118" t="str">
        <f t="shared" si="72"/>
        <v>N/A</v>
      </c>
      <c r="P148" s="118" t="str">
        <f t="shared" si="72"/>
        <v>N/A</v>
      </c>
      <c r="Q148" s="118" t="str">
        <f t="shared" si="72"/>
        <v>N/A</v>
      </c>
      <c r="R148" s="118" t="str">
        <f t="shared" si="72"/>
        <v>N/A</v>
      </c>
      <c r="S148" s="118" t="str">
        <f t="shared" si="72"/>
        <v>N/A</v>
      </c>
    </row>
    <row r="149" spans="1:19" s="4" customFormat="1" x14ac:dyDescent="0.2">
      <c r="A149" s="4" t="s">
        <v>459</v>
      </c>
      <c r="B149" s="2" t="s">
        <v>257</v>
      </c>
      <c r="C149" s="8" t="s">
        <v>270</v>
      </c>
      <c r="D149" s="120">
        <v>0.5</v>
      </c>
      <c r="E149" s="121" t="s">
        <v>265</v>
      </c>
      <c r="G149" s="110" t="s">
        <v>271</v>
      </c>
      <c r="H149" s="118" t="str">
        <f t="shared" ref="H149:S149" si="73">IF(H141&lt;$D$148,$E$149,H51/H33)</f>
        <v>N/A</v>
      </c>
      <c r="I149" s="118" t="str">
        <f t="shared" si="73"/>
        <v>N/A</v>
      </c>
      <c r="J149" s="118" t="str">
        <f t="shared" si="73"/>
        <v>N/A</v>
      </c>
      <c r="K149" s="118" t="str">
        <f t="shared" si="73"/>
        <v>N/A</v>
      </c>
      <c r="L149" s="118" t="str">
        <f t="shared" si="73"/>
        <v>N/A</v>
      </c>
      <c r="M149" s="118" t="str">
        <f t="shared" si="73"/>
        <v>N/A</v>
      </c>
      <c r="N149" s="118" t="str">
        <f t="shared" si="73"/>
        <v>N/A</v>
      </c>
      <c r="O149" s="118" t="str">
        <f t="shared" si="73"/>
        <v>N/A</v>
      </c>
      <c r="P149" s="118" t="str">
        <f t="shared" si="73"/>
        <v>N/A</v>
      </c>
      <c r="Q149" s="118" t="str">
        <f t="shared" si="73"/>
        <v>N/A</v>
      </c>
      <c r="R149" s="118" t="str">
        <f t="shared" si="73"/>
        <v>N/A</v>
      </c>
      <c r="S149" s="118" t="str">
        <f t="shared" si="73"/>
        <v>N/A</v>
      </c>
    </row>
    <row r="150" spans="1:19" s="4" customFormat="1" x14ac:dyDescent="0.2">
      <c r="A150" s="4" t="s">
        <v>460</v>
      </c>
      <c r="B150" s="2" t="s">
        <v>260</v>
      </c>
      <c r="C150" s="8" t="s">
        <v>272</v>
      </c>
      <c r="D150" s="120">
        <v>0.5</v>
      </c>
      <c r="E150" s="121" t="s">
        <v>265</v>
      </c>
      <c r="G150" s="110" t="s">
        <v>273</v>
      </c>
      <c r="H150" s="118" t="str">
        <f t="shared" ref="H150:S150" si="74">IF(H141&lt;$D$150,$E$150,H51/H4)</f>
        <v>N/A</v>
      </c>
      <c r="I150" s="118" t="str">
        <f t="shared" si="74"/>
        <v>N/A</v>
      </c>
      <c r="J150" s="118" t="str">
        <f t="shared" si="74"/>
        <v>N/A</v>
      </c>
      <c r="K150" s="118" t="str">
        <f t="shared" si="74"/>
        <v>N/A</v>
      </c>
      <c r="L150" s="118" t="str">
        <f t="shared" si="74"/>
        <v>N/A</v>
      </c>
      <c r="M150" s="118" t="str">
        <f t="shared" si="74"/>
        <v>N/A</v>
      </c>
      <c r="N150" s="118" t="str">
        <f t="shared" si="74"/>
        <v>N/A</v>
      </c>
      <c r="O150" s="118" t="str">
        <f t="shared" si="74"/>
        <v>N/A</v>
      </c>
      <c r="P150" s="118" t="str">
        <f t="shared" si="74"/>
        <v>N/A</v>
      </c>
      <c r="Q150" s="118" t="str">
        <f t="shared" si="74"/>
        <v>N/A</v>
      </c>
      <c r="R150" s="118" t="str">
        <f t="shared" si="74"/>
        <v>N/A</v>
      </c>
      <c r="S150" s="118" t="str">
        <f t="shared" si="74"/>
        <v>N/A</v>
      </c>
    </row>
    <row r="151" spans="1:19" s="4" customFormat="1" x14ac:dyDescent="0.2">
      <c r="A151" s="4" t="s">
        <v>461</v>
      </c>
      <c r="B151" s="2" t="s">
        <v>263</v>
      </c>
      <c r="C151" s="8" t="s">
        <v>274</v>
      </c>
      <c r="D151" s="120">
        <v>0.5</v>
      </c>
      <c r="E151" s="121" t="s">
        <v>265</v>
      </c>
      <c r="G151" s="46" t="s">
        <v>275</v>
      </c>
      <c r="H151" s="118" t="str">
        <f>IF(H141&lt;$D$151,$E$151,H51/H27)</f>
        <v>N/A</v>
      </c>
      <c r="I151" s="118" t="str">
        <f>IF(I141&lt;$D$151,$E$151,I51/((H27+I27)/2))</f>
        <v>N/A</v>
      </c>
      <c r="J151" s="118" t="str">
        <f>IF(J141&lt;$D$151,$E$151,J51/((I27+J27)/2))</f>
        <v>N/A</v>
      </c>
      <c r="K151" s="118" t="str">
        <f>IF(K141&lt;$D$151,$E$151,K51/((J27+K27)/2))</f>
        <v>N/A</v>
      </c>
      <c r="L151" s="118" t="str">
        <f>IF(L141&lt;$D$151,$E$151,L51/((K27+L27)/2))</f>
        <v>N/A</v>
      </c>
      <c r="M151" s="118" t="str">
        <f>IF(M141&lt;$D$151,$E$151,M51/((L27+M27)/2))</f>
        <v>N/A</v>
      </c>
      <c r="N151" s="118" t="str">
        <f t="shared" ref="N151:S151" si="75">IF(N141&lt;$D$151,$E$151,N51/((M27+N27)/2))</f>
        <v>N/A</v>
      </c>
      <c r="O151" s="118" t="str">
        <f t="shared" si="75"/>
        <v>N/A</v>
      </c>
      <c r="P151" s="118" t="str">
        <f t="shared" si="75"/>
        <v>N/A</v>
      </c>
      <c r="Q151" s="118" t="str">
        <f t="shared" si="75"/>
        <v>N/A</v>
      </c>
      <c r="R151" s="118" t="str">
        <f t="shared" si="75"/>
        <v>N/A</v>
      </c>
      <c r="S151" s="118" t="str">
        <f t="shared" si="75"/>
        <v>N/A</v>
      </c>
    </row>
    <row r="152" spans="1:19" s="4" customFormat="1" x14ac:dyDescent="0.2">
      <c r="A152" s="8"/>
      <c r="B152" s="2"/>
      <c r="C152" s="119"/>
      <c r="D152" s="41"/>
      <c r="E152" s="42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</row>
    <row r="153" spans="1:19" s="4" customFormat="1" x14ac:dyDescent="0.2">
      <c r="A153" s="8"/>
      <c r="B153" s="2"/>
      <c r="C153" s="10"/>
      <c r="D153" s="10"/>
      <c r="E153" s="9"/>
      <c r="F153" s="8"/>
      <c r="G153" s="94" t="s">
        <v>462</v>
      </c>
      <c r="H153" s="87">
        <f>H145</f>
        <v>2011</v>
      </c>
      <c r="I153" s="87">
        <f t="shared" ref="I153:S153" si="76">I145</f>
        <v>2012</v>
      </c>
      <c r="J153" s="87">
        <f t="shared" si="76"/>
        <v>2013</v>
      </c>
      <c r="K153" s="87">
        <f t="shared" si="76"/>
        <v>2014</v>
      </c>
      <c r="L153" s="87">
        <f t="shared" si="76"/>
        <v>2015</v>
      </c>
      <c r="M153" s="87">
        <f t="shared" si="76"/>
        <v>2016</v>
      </c>
      <c r="N153" s="87">
        <f t="shared" si="76"/>
        <v>2017</v>
      </c>
      <c r="O153" s="87">
        <f t="shared" si="76"/>
        <v>2018</v>
      </c>
      <c r="P153" s="87">
        <f t="shared" si="76"/>
        <v>2019</v>
      </c>
      <c r="Q153" s="87">
        <f t="shared" si="76"/>
        <v>2020</v>
      </c>
      <c r="R153" s="87">
        <f t="shared" si="76"/>
        <v>2021</v>
      </c>
      <c r="S153" s="87">
        <f t="shared" si="76"/>
        <v>2022</v>
      </c>
    </row>
    <row r="154" spans="1:19" s="4" customFormat="1" x14ac:dyDescent="0.2">
      <c r="A154" s="8"/>
      <c r="B154" s="2"/>
      <c r="C154" s="10"/>
      <c r="D154" s="10"/>
      <c r="E154" s="9"/>
      <c r="F154" s="8"/>
      <c r="G154" s="95" t="s">
        <v>276</v>
      </c>
      <c r="H154" s="96">
        <f t="shared" ref="H154:S154" si="77">H33</f>
        <v>1323.3039999999999</v>
      </c>
      <c r="I154" s="96">
        <f t="shared" si="77"/>
        <v>2774.605</v>
      </c>
      <c r="J154" s="96">
        <f t="shared" si="77"/>
        <v>1452.97</v>
      </c>
      <c r="K154" s="96">
        <f t="shared" si="77"/>
        <v>2301.6240000000003</v>
      </c>
      <c r="L154" s="96">
        <f>L33</f>
        <v>1771.0530000000001</v>
      </c>
      <c r="M154" s="96">
        <f t="shared" si="77"/>
        <v>6794.4859999999999</v>
      </c>
      <c r="N154" s="96">
        <f t="shared" si="77"/>
        <v>10838</v>
      </c>
      <c r="O154" s="96">
        <f t="shared" si="77"/>
        <v>2848</v>
      </c>
      <c r="P154" s="96">
        <f t="shared" si="77"/>
        <v>2988</v>
      </c>
      <c r="Q154" s="96">
        <f t="shared" si="77"/>
        <v>3050</v>
      </c>
      <c r="R154" s="96">
        <f t="shared" si="77"/>
        <v>3130</v>
      </c>
      <c r="S154" s="96">
        <f t="shared" si="77"/>
        <v>3190</v>
      </c>
    </row>
    <row r="155" spans="1:19" s="4" customFormat="1" x14ac:dyDescent="0.2">
      <c r="A155" s="8"/>
      <c r="B155" s="2"/>
      <c r="C155" s="10"/>
      <c r="D155" s="10"/>
      <c r="E155" s="9"/>
      <c r="F155" s="8"/>
      <c r="G155" s="95" t="s">
        <v>277</v>
      </c>
      <c r="H155" s="96">
        <f t="shared" ref="H155:S156" si="78">H35</f>
        <v>460.99200000000002</v>
      </c>
      <c r="I155" s="96">
        <f t="shared" si="78"/>
        <v>455.858</v>
      </c>
      <c r="J155" s="96">
        <f t="shared" si="78"/>
        <v>431.18799999999999</v>
      </c>
      <c r="K155" s="96">
        <f t="shared" si="78"/>
        <v>665.56299999999999</v>
      </c>
      <c r="L155" s="96">
        <f t="shared" si="78"/>
        <v>559.93200000000002</v>
      </c>
      <c r="M155" s="96">
        <f t="shared" si="78"/>
        <v>708.34500000000003</v>
      </c>
      <c r="N155" s="96">
        <f t="shared" si="78"/>
        <v>1438</v>
      </c>
      <c r="O155" s="96">
        <f t="shared" si="78"/>
        <v>1280</v>
      </c>
      <c r="P155" s="96">
        <f t="shared" si="78"/>
        <v>1300</v>
      </c>
      <c r="Q155" s="96">
        <f t="shared" si="78"/>
        <v>1320</v>
      </c>
      <c r="R155" s="96">
        <f t="shared" si="78"/>
        <v>1330</v>
      </c>
      <c r="S155" s="96">
        <f t="shared" si="78"/>
        <v>1340</v>
      </c>
    </row>
    <row r="156" spans="1:19" s="4" customFormat="1" x14ac:dyDescent="0.2">
      <c r="A156" s="8"/>
      <c r="B156" s="2"/>
      <c r="C156" s="10"/>
      <c r="D156" s="10"/>
      <c r="E156" s="9"/>
      <c r="F156" s="8"/>
      <c r="G156" s="95" t="s">
        <v>278</v>
      </c>
      <c r="H156" s="96">
        <f t="shared" si="78"/>
        <v>934.8</v>
      </c>
      <c r="I156" s="96">
        <f t="shared" si="78"/>
        <v>2317.08</v>
      </c>
      <c r="J156" s="96">
        <f t="shared" si="78"/>
        <v>1021.782</v>
      </c>
      <c r="K156" s="96">
        <f t="shared" si="78"/>
        <v>1636.9580000000001</v>
      </c>
      <c r="L156" s="96">
        <f t="shared" si="78"/>
        <v>1211.135</v>
      </c>
      <c r="M156" s="96">
        <f t="shared" si="78"/>
        <v>6084.8729999999996</v>
      </c>
      <c r="N156" s="96">
        <f t="shared" si="78"/>
        <v>9391</v>
      </c>
      <c r="O156" s="96">
        <f t="shared" si="78"/>
        <v>1568</v>
      </c>
      <c r="P156" s="96">
        <f t="shared" si="78"/>
        <v>1688</v>
      </c>
      <c r="Q156" s="96">
        <f t="shared" si="78"/>
        <v>1730</v>
      </c>
      <c r="R156" s="96">
        <f t="shared" si="78"/>
        <v>1800</v>
      </c>
      <c r="S156" s="96">
        <f t="shared" si="78"/>
        <v>1850</v>
      </c>
    </row>
    <row r="157" spans="1:19" s="4" customFormat="1" x14ac:dyDescent="0.2">
      <c r="A157" s="8"/>
      <c r="B157" s="2"/>
      <c r="C157" s="10"/>
      <c r="D157" s="10"/>
      <c r="E157" s="9"/>
      <c r="F157" s="8"/>
      <c r="G157" s="95" t="s">
        <v>279</v>
      </c>
      <c r="H157" s="96">
        <f t="shared" ref="H157:S157" si="79">H38+H41</f>
        <v>-1653.4089999999999</v>
      </c>
      <c r="I157" s="96">
        <f t="shared" si="79"/>
        <v>-1595.961</v>
      </c>
      <c r="J157" s="96">
        <f t="shared" si="79"/>
        <v>-1704.9230000000002</v>
      </c>
      <c r="K157" s="96">
        <f t="shared" si="79"/>
        <v>-2288.9730000000004</v>
      </c>
      <c r="L157" s="96">
        <f t="shared" si="79"/>
        <v>-2052.1469999999999</v>
      </c>
      <c r="M157" s="96">
        <f t="shared" si="79"/>
        <v>-2815.134</v>
      </c>
      <c r="N157" s="96">
        <f t="shared" si="79"/>
        <v>-6487</v>
      </c>
      <c r="O157" s="96">
        <f t="shared" si="79"/>
        <v>-3369</v>
      </c>
      <c r="P157" s="96">
        <f t="shared" si="79"/>
        <v>-3539</v>
      </c>
      <c r="Q157" s="96">
        <f t="shared" si="79"/>
        <v>-3579</v>
      </c>
      <c r="R157" s="96">
        <f t="shared" si="79"/>
        <v>-3672</v>
      </c>
      <c r="S157" s="96">
        <f t="shared" si="79"/>
        <v>-3704</v>
      </c>
    </row>
    <row r="158" spans="1:19" s="4" customFormat="1" x14ac:dyDescent="0.2">
      <c r="A158" s="8"/>
      <c r="B158" s="2"/>
      <c r="C158" s="10"/>
      <c r="D158" s="10"/>
      <c r="E158" s="9"/>
      <c r="F158" s="8"/>
      <c r="G158" s="95" t="s">
        <v>280</v>
      </c>
      <c r="H158" s="96">
        <f t="shared" ref="H158:S158" si="80">H41</f>
        <v>-1481.3609999999999</v>
      </c>
      <c r="I158" s="96">
        <f t="shared" si="80"/>
        <v>-1594.2239999999999</v>
      </c>
      <c r="J158" s="96">
        <f t="shared" si="80"/>
        <v>-1703.1860000000001</v>
      </c>
      <c r="K158" s="96">
        <f t="shared" si="80"/>
        <v>-2287.1760000000004</v>
      </c>
      <c r="L158" s="96">
        <f t="shared" si="80"/>
        <v>-2050.241</v>
      </c>
      <c r="M158" s="96">
        <f t="shared" si="80"/>
        <v>-2812.402</v>
      </c>
      <c r="N158" s="96">
        <f t="shared" si="80"/>
        <v>-6485</v>
      </c>
      <c r="O158" s="96">
        <f t="shared" si="80"/>
        <v>-3367</v>
      </c>
      <c r="P158" s="96">
        <f t="shared" si="80"/>
        <v>-3539</v>
      </c>
      <c r="Q158" s="96">
        <f t="shared" si="80"/>
        <v>-3579</v>
      </c>
      <c r="R158" s="96">
        <f t="shared" si="80"/>
        <v>-3672</v>
      </c>
      <c r="S158" s="96">
        <f t="shared" si="80"/>
        <v>-3704</v>
      </c>
    </row>
    <row r="159" spans="1:19" s="4" customFormat="1" x14ac:dyDescent="0.2">
      <c r="A159" s="8"/>
      <c r="B159" s="2"/>
      <c r="C159" s="10"/>
      <c r="D159" s="10"/>
      <c r="E159" s="9"/>
      <c r="F159" s="8"/>
      <c r="G159" s="95" t="s">
        <v>281</v>
      </c>
      <c r="H159" s="96">
        <f t="shared" ref="H159:S159" si="81">H38</f>
        <v>-172.048</v>
      </c>
      <c r="I159" s="96">
        <f t="shared" si="81"/>
        <v>-1.7370000000000001</v>
      </c>
      <c r="J159" s="96">
        <f t="shared" si="81"/>
        <v>-1.7370000000000001</v>
      </c>
      <c r="K159" s="96">
        <f t="shared" si="81"/>
        <v>-1.7969999999999999</v>
      </c>
      <c r="L159" s="96">
        <f t="shared" si="81"/>
        <v>-1.9059999999999999</v>
      </c>
      <c r="M159" s="96">
        <f t="shared" si="81"/>
        <v>-2.7320000000000002</v>
      </c>
      <c r="N159" s="96">
        <f t="shared" si="81"/>
        <v>-2</v>
      </c>
      <c r="O159" s="96">
        <f t="shared" si="81"/>
        <v>-2</v>
      </c>
      <c r="P159" s="96">
        <f t="shared" si="81"/>
        <v>0</v>
      </c>
      <c r="Q159" s="96">
        <f t="shared" si="81"/>
        <v>0</v>
      </c>
      <c r="R159" s="96">
        <f t="shared" si="81"/>
        <v>0</v>
      </c>
      <c r="S159" s="96">
        <f t="shared" si="81"/>
        <v>0</v>
      </c>
    </row>
    <row r="160" spans="1:19" s="4" customFormat="1" x14ac:dyDescent="0.2">
      <c r="A160" s="8"/>
      <c r="B160" s="2"/>
      <c r="C160" s="10"/>
      <c r="D160" s="10"/>
      <c r="E160" s="9"/>
      <c r="F160" s="8"/>
      <c r="G160" s="95" t="s">
        <v>282</v>
      </c>
      <c r="H160" s="96">
        <f t="shared" ref="H160:S160" si="82">H46</f>
        <v>-330.10500000000002</v>
      </c>
      <c r="I160" s="96">
        <f t="shared" si="82"/>
        <v>1178.644</v>
      </c>
      <c r="J160" s="96">
        <f t="shared" si="82"/>
        <v>-251.9530000000002</v>
      </c>
      <c r="K160" s="96">
        <f t="shared" si="82"/>
        <v>12.65099999999984</v>
      </c>
      <c r="L160" s="96">
        <f t="shared" si="82"/>
        <v>-281.09399999999982</v>
      </c>
      <c r="M160" s="96">
        <f t="shared" si="82"/>
        <v>3979.3519999999999</v>
      </c>
      <c r="N160" s="96">
        <f t="shared" si="82"/>
        <v>4351</v>
      </c>
      <c r="O160" s="96">
        <f t="shared" si="82"/>
        <v>-521</v>
      </c>
      <c r="P160" s="96">
        <f t="shared" si="82"/>
        <v>-551</v>
      </c>
      <c r="Q160" s="96">
        <f t="shared" si="82"/>
        <v>-529</v>
      </c>
      <c r="R160" s="96">
        <f t="shared" si="82"/>
        <v>-542</v>
      </c>
      <c r="S160" s="96">
        <f t="shared" si="82"/>
        <v>-514</v>
      </c>
    </row>
    <row r="161" spans="1:19" s="4" customFormat="1" x14ac:dyDescent="0.2">
      <c r="A161" s="8"/>
      <c r="B161" s="2"/>
      <c r="C161" s="10"/>
      <c r="D161" s="10"/>
      <c r="E161" s="9"/>
      <c r="F161" s="8"/>
      <c r="G161" s="95" t="s">
        <v>283</v>
      </c>
      <c r="H161" s="96">
        <f t="shared" ref="H161:S161" si="83">H51</f>
        <v>-329.81400000000002</v>
      </c>
      <c r="I161" s="96">
        <f t="shared" si="83"/>
        <v>1178.835</v>
      </c>
      <c r="J161" s="96">
        <f t="shared" si="83"/>
        <v>-251.9530000000002</v>
      </c>
      <c r="K161" s="96">
        <f t="shared" si="83"/>
        <v>12.65099999999984</v>
      </c>
      <c r="L161" s="96">
        <f t="shared" si="83"/>
        <v>-268.91299999999984</v>
      </c>
      <c r="M161" s="96">
        <f t="shared" si="83"/>
        <v>3995.7579999999998</v>
      </c>
      <c r="N161" s="96">
        <f t="shared" si="83"/>
        <v>4351</v>
      </c>
      <c r="O161" s="96">
        <f t="shared" si="83"/>
        <v>-521</v>
      </c>
      <c r="P161" s="96">
        <f t="shared" si="83"/>
        <v>-551</v>
      </c>
      <c r="Q161" s="96">
        <f t="shared" si="83"/>
        <v>-529</v>
      </c>
      <c r="R161" s="96">
        <f t="shared" si="83"/>
        <v>-542</v>
      </c>
      <c r="S161" s="96">
        <f t="shared" si="83"/>
        <v>-514</v>
      </c>
    </row>
    <row r="162" spans="1:19" s="4" customFormat="1" x14ac:dyDescent="0.2">
      <c r="A162" s="8"/>
      <c r="B162" s="2"/>
      <c r="C162" s="10"/>
      <c r="D162" s="10"/>
      <c r="E162" s="9"/>
      <c r="F162" s="8"/>
      <c r="G162" s="95" t="s">
        <v>284</v>
      </c>
      <c r="H162" s="96">
        <f t="shared" ref="H162:S163" si="84">H4</f>
        <v>4731.0120000000006</v>
      </c>
      <c r="I162" s="96">
        <f t="shared" si="84"/>
        <v>5934.6490000000003</v>
      </c>
      <c r="J162" s="96">
        <f t="shared" si="84"/>
        <v>5657.4779999999992</v>
      </c>
      <c r="K162" s="96">
        <f t="shared" si="84"/>
        <v>5702.43</v>
      </c>
      <c r="L162" s="96">
        <f t="shared" si="84"/>
        <v>14154.895</v>
      </c>
      <c r="M162" s="96">
        <f t="shared" si="84"/>
        <v>17543.050000000003</v>
      </c>
      <c r="N162" s="96">
        <f t="shared" si="84"/>
        <v>14037</v>
      </c>
      <c r="O162" s="96">
        <f t="shared" si="84"/>
        <v>13360</v>
      </c>
      <c r="P162" s="96">
        <f t="shared" si="84"/>
        <v>12803</v>
      </c>
      <c r="Q162" s="96">
        <f t="shared" si="84"/>
        <v>12286</v>
      </c>
      <c r="R162" s="96">
        <f t="shared" si="84"/>
        <v>11756</v>
      </c>
      <c r="S162" s="96">
        <f t="shared" si="84"/>
        <v>11224</v>
      </c>
    </row>
    <row r="163" spans="1:19" s="4" customFormat="1" x14ac:dyDescent="0.2">
      <c r="A163" s="8"/>
      <c r="B163" s="2"/>
      <c r="C163" s="10"/>
      <c r="D163" s="10"/>
      <c r="E163" s="9"/>
      <c r="F163" s="8"/>
      <c r="G163" s="95" t="s">
        <v>285</v>
      </c>
      <c r="H163" s="96">
        <f t="shared" si="84"/>
        <v>113.587</v>
      </c>
      <c r="I163" s="96">
        <f t="shared" si="84"/>
        <v>239.98699999999999</v>
      </c>
      <c r="J163" s="96">
        <f t="shared" si="84"/>
        <v>140.68099999999998</v>
      </c>
      <c r="K163" s="96">
        <f t="shared" si="84"/>
        <v>483.32100000000003</v>
      </c>
      <c r="L163" s="96">
        <f t="shared" si="84"/>
        <v>8960.8269999999993</v>
      </c>
      <c r="M163" s="96">
        <f t="shared" si="84"/>
        <v>8473.1450000000004</v>
      </c>
      <c r="N163" s="96">
        <f t="shared" si="84"/>
        <v>484</v>
      </c>
      <c r="O163" s="96">
        <f t="shared" si="84"/>
        <v>260</v>
      </c>
      <c r="P163" s="96">
        <f t="shared" si="84"/>
        <v>260</v>
      </c>
      <c r="Q163" s="96">
        <f t="shared" si="84"/>
        <v>290</v>
      </c>
      <c r="R163" s="96">
        <f t="shared" si="84"/>
        <v>300</v>
      </c>
      <c r="S163" s="96">
        <f t="shared" si="84"/>
        <v>270</v>
      </c>
    </row>
    <row r="164" spans="1:19" s="4" customFormat="1" x14ac:dyDescent="0.2">
      <c r="A164" s="8"/>
      <c r="B164" s="2"/>
      <c r="C164" s="10"/>
      <c r="D164" s="10"/>
      <c r="E164" s="9"/>
      <c r="F164" s="8"/>
      <c r="G164" s="95" t="s">
        <v>286</v>
      </c>
      <c r="H164" s="96">
        <f t="shared" ref="H164:S164" si="85">H10</f>
        <v>4617.4250000000002</v>
      </c>
      <c r="I164" s="96">
        <f t="shared" si="85"/>
        <v>5694.6620000000003</v>
      </c>
      <c r="J164" s="96">
        <f t="shared" si="85"/>
        <v>5516.7969999999996</v>
      </c>
      <c r="K164" s="96">
        <f t="shared" si="85"/>
        <v>5219.1090000000004</v>
      </c>
      <c r="L164" s="96">
        <f t="shared" si="85"/>
        <v>5194.0680000000002</v>
      </c>
      <c r="M164" s="96">
        <f t="shared" si="85"/>
        <v>9069.9050000000007</v>
      </c>
      <c r="N164" s="96">
        <f t="shared" si="85"/>
        <v>13553</v>
      </c>
      <c r="O164" s="96">
        <f t="shared" si="85"/>
        <v>13100</v>
      </c>
      <c r="P164" s="96">
        <f t="shared" si="85"/>
        <v>12543</v>
      </c>
      <c r="Q164" s="96">
        <f t="shared" si="85"/>
        <v>11996</v>
      </c>
      <c r="R164" s="96">
        <f t="shared" si="85"/>
        <v>11456</v>
      </c>
      <c r="S164" s="96">
        <f t="shared" si="85"/>
        <v>10954</v>
      </c>
    </row>
    <row r="165" spans="1:19" s="4" customFormat="1" x14ac:dyDescent="0.2">
      <c r="A165" s="8"/>
      <c r="B165" s="2"/>
      <c r="C165" s="10"/>
      <c r="D165" s="10"/>
      <c r="E165" s="9"/>
      <c r="F165" s="8"/>
      <c r="G165" s="95" t="s">
        <v>287</v>
      </c>
      <c r="H165" s="96">
        <f t="shared" ref="H165:S166" si="86">H19</f>
        <v>105.89299999999999</v>
      </c>
      <c r="I165" s="96">
        <f t="shared" si="86"/>
        <v>130.69499999999999</v>
      </c>
      <c r="J165" s="96">
        <f t="shared" si="86"/>
        <v>105.477</v>
      </c>
      <c r="K165" s="96">
        <f t="shared" si="86"/>
        <v>137.779</v>
      </c>
      <c r="L165" s="96">
        <f t="shared" si="86"/>
        <v>8859.1560000000009</v>
      </c>
      <c r="M165" s="96">
        <f t="shared" si="86"/>
        <v>8251.9650000000001</v>
      </c>
      <c r="N165" s="96">
        <f t="shared" si="86"/>
        <v>395</v>
      </c>
      <c r="O165" s="96">
        <f t="shared" si="86"/>
        <v>239</v>
      </c>
      <c r="P165" s="96">
        <f t="shared" si="86"/>
        <v>233</v>
      </c>
      <c r="Q165" s="96">
        <f t="shared" si="86"/>
        <v>245</v>
      </c>
      <c r="R165" s="96">
        <f t="shared" si="86"/>
        <v>257</v>
      </c>
      <c r="S165" s="96">
        <f t="shared" si="86"/>
        <v>239</v>
      </c>
    </row>
    <row r="166" spans="1:19" s="4" customFormat="1" x14ac:dyDescent="0.2">
      <c r="A166" s="8"/>
      <c r="B166" s="2"/>
      <c r="C166" s="10"/>
      <c r="D166" s="10"/>
      <c r="E166" s="9"/>
      <c r="F166" s="8"/>
      <c r="G166" s="95" t="s">
        <v>288</v>
      </c>
      <c r="H166" s="96">
        <f t="shared" si="86"/>
        <v>105.893</v>
      </c>
      <c r="I166" s="96">
        <f t="shared" si="86"/>
        <v>130.69499999999999</v>
      </c>
      <c r="J166" s="96">
        <f t="shared" si="86"/>
        <v>105.477</v>
      </c>
      <c r="K166" s="96">
        <f t="shared" si="86"/>
        <v>137.779</v>
      </c>
      <c r="L166" s="96">
        <f t="shared" si="86"/>
        <v>8859.1560000000009</v>
      </c>
      <c r="M166" s="96">
        <f t="shared" si="86"/>
        <v>8252</v>
      </c>
      <c r="N166" s="96">
        <f t="shared" si="86"/>
        <v>395</v>
      </c>
      <c r="O166" s="96">
        <f t="shared" si="86"/>
        <v>239</v>
      </c>
      <c r="P166" s="96">
        <f t="shared" si="86"/>
        <v>233</v>
      </c>
      <c r="Q166" s="96">
        <f t="shared" si="86"/>
        <v>245</v>
      </c>
      <c r="R166" s="96">
        <f t="shared" si="86"/>
        <v>257</v>
      </c>
      <c r="S166" s="96">
        <f t="shared" si="86"/>
        <v>239</v>
      </c>
    </row>
    <row r="167" spans="1:19" s="4" customFormat="1" x14ac:dyDescent="0.2">
      <c r="A167" s="8"/>
      <c r="B167" s="2"/>
      <c r="C167" s="10"/>
      <c r="D167" s="10"/>
      <c r="E167" s="9"/>
      <c r="F167" s="8"/>
      <c r="G167" s="95" t="s">
        <v>289</v>
      </c>
      <c r="H167" s="96">
        <f t="shared" ref="H167:S167" si="87">H24</f>
        <v>1.103</v>
      </c>
      <c r="I167" s="96">
        <f t="shared" si="87"/>
        <v>0</v>
      </c>
      <c r="J167" s="96">
        <f t="shared" si="87"/>
        <v>0</v>
      </c>
      <c r="K167" s="96">
        <f t="shared" si="87"/>
        <v>0</v>
      </c>
      <c r="L167" s="96">
        <f t="shared" si="87"/>
        <v>0</v>
      </c>
      <c r="M167" s="96">
        <f t="shared" si="87"/>
        <v>0</v>
      </c>
      <c r="N167" s="96">
        <f t="shared" si="87"/>
        <v>0</v>
      </c>
      <c r="O167" s="96">
        <f t="shared" si="87"/>
        <v>0</v>
      </c>
      <c r="P167" s="96">
        <f t="shared" si="87"/>
        <v>0</v>
      </c>
      <c r="Q167" s="96">
        <f t="shared" si="87"/>
        <v>0</v>
      </c>
      <c r="R167" s="96">
        <f t="shared" si="87"/>
        <v>0</v>
      </c>
      <c r="S167" s="96">
        <f t="shared" si="87"/>
        <v>0</v>
      </c>
    </row>
    <row r="168" spans="1:19" s="4" customFormat="1" x14ac:dyDescent="0.2">
      <c r="A168" s="8"/>
      <c r="B168" s="2"/>
      <c r="C168" s="10"/>
      <c r="D168" s="10"/>
      <c r="E168" s="9"/>
      <c r="F168" s="8"/>
      <c r="G168" s="95" t="s">
        <v>290</v>
      </c>
      <c r="H168" s="96">
        <f t="shared" ref="H168:S168" si="88">H27</f>
        <v>4625.12</v>
      </c>
      <c r="I168" s="96">
        <f t="shared" si="88"/>
        <v>5803.9539999999997</v>
      </c>
      <c r="J168" s="96">
        <f t="shared" si="88"/>
        <v>5552.0009999999993</v>
      </c>
      <c r="K168" s="96">
        <f t="shared" si="88"/>
        <v>5564.652</v>
      </c>
      <c r="L168" s="96">
        <f t="shared" si="88"/>
        <v>5295.74</v>
      </c>
      <c r="M168" s="96">
        <f t="shared" si="88"/>
        <v>9291.0849999999991</v>
      </c>
      <c r="N168" s="96">
        <f t="shared" si="88"/>
        <v>13642</v>
      </c>
      <c r="O168" s="96">
        <f t="shared" si="88"/>
        <v>13121</v>
      </c>
      <c r="P168" s="96">
        <f t="shared" si="88"/>
        <v>12570</v>
      </c>
      <c r="Q168" s="96">
        <f t="shared" si="88"/>
        <v>12041</v>
      </c>
      <c r="R168" s="96">
        <f t="shared" si="88"/>
        <v>11499</v>
      </c>
      <c r="S168" s="96">
        <f t="shared" si="88"/>
        <v>10985</v>
      </c>
    </row>
    <row r="169" spans="1:19" s="4" customFormat="1" x14ac:dyDescent="0.2">
      <c r="A169" s="8"/>
      <c r="B169" s="2"/>
      <c r="C169" s="119"/>
      <c r="D169" s="41"/>
      <c r="E169" s="42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</row>
    <row r="170" spans="1:19" s="4" customFormat="1" x14ac:dyDescent="0.2">
      <c r="A170" s="8"/>
      <c r="B170" s="2"/>
      <c r="C170" s="119" t="s">
        <v>463</v>
      </c>
      <c r="D170" s="41"/>
      <c r="E170" s="42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</row>
    <row r="171" spans="1:19" s="4" customFormat="1" x14ac:dyDescent="0.2">
      <c r="A171" s="8"/>
      <c r="B171" s="2"/>
      <c r="C171" s="119"/>
      <c r="D171" s="41"/>
      <c r="E171" s="42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</row>
    <row r="172" spans="1:19" s="40" customFormat="1" x14ac:dyDescent="0.2">
      <c r="A172" s="29"/>
      <c r="B172" s="2"/>
      <c r="C172" s="29" t="s">
        <v>464</v>
      </c>
      <c r="D172" s="99"/>
      <c r="E172" s="30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</row>
    <row r="173" spans="1:19" s="4" customFormat="1" x14ac:dyDescent="0.2">
      <c r="A173" s="8"/>
      <c r="B173" s="2"/>
      <c r="C173" s="8"/>
      <c r="D173" s="10"/>
      <c r="E173" s="9"/>
      <c r="F173" s="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</row>
    <row r="174" spans="1:19" s="4" customFormat="1" x14ac:dyDescent="0.2">
      <c r="A174" s="8"/>
      <c r="B174" s="2"/>
      <c r="C174" s="8" t="s">
        <v>291</v>
      </c>
      <c r="D174" s="10"/>
      <c r="E174" s="9"/>
      <c r="F174" s="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</row>
    <row r="175" spans="1:19" s="4" customFormat="1" x14ac:dyDescent="0.2">
      <c r="A175" s="8"/>
      <c r="B175" s="2"/>
      <c r="C175" s="8" t="s">
        <v>292</v>
      </c>
      <c r="D175" s="10"/>
      <c r="E175" s="9"/>
      <c r="F175" s="12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  <c r="R175" s="44"/>
    </row>
    <row r="176" spans="1:19" s="4" customFormat="1" x14ac:dyDescent="0.2">
      <c r="A176" s="8"/>
      <c r="B176" s="2"/>
      <c r="C176" s="8"/>
      <c r="D176" s="10"/>
      <c r="E176" s="9"/>
      <c r="F176" s="12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</row>
    <row r="177" spans="1:7" s="4" customFormat="1" x14ac:dyDescent="0.2">
      <c r="A177" s="8"/>
      <c r="B177" s="2"/>
      <c r="C177" s="8" t="s">
        <v>293</v>
      </c>
      <c r="D177" s="10"/>
      <c r="E177" s="9"/>
      <c r="F177" s="12"/>
      <c r="G177" s="28"/>
    </row>
    <row r="178" spans="1:7" s="4" customFormat="1" x14ac:dyDescent="0.2">
      <c r="A178" s="8"/>
      <c r="B178" s="2"/>
      <c r="C178" s="8" t="s">
        <v>294</v>
      </c>
      <c r="D178" s="10"/>
      <c r="E178" s="9"/>
      <c r="F178" s="12"/>
      <c r="G178" s="28"/>
    </row>
    <row r="179" spans="1:7" s="4" customFormat="1" x14ac:dyDescent="0.2">
      <c r="A179" s="8"/>
      <c r="B179" s="2"/>
      <c r="C179" s="10"/>
      <c r="D179" s="10"/>
      <c r="E179" s="9"/>
      <c r="F179" s="8"/>
      <c r="G179" s="28"/>
    </row>
    <row r="180" spans="1:7" s="4" customFormat="1" x14ac:dyDescent="0.2">
      <c r="A180" s="8"/>
      <c r="B180" s="2"/>
      <c r="C180" s="10"/>
      <c r="D180" s="10"/>
      <c r="E180" s="9"/>
      <c r="F180" s="8"/>
      <c r="G180" s="28"/>
    </row>
    <row r="181" spans="1:7" s="4" customFormat="1" x14ac:dyDescent="0.2">
      <c r="A181" s="8"/>
      <c r="B181" s="2"/>
      <c r="C181" s="10"/>
      <c r="D181" s="10"/>
      <c r="E181" s="9"/>
      <c r="F181" s="8"/>
      <c r="G181" s="28"/>
    </row>
    <row r="182" spans="1:7" s="4" customFormat="1" x14ac:dyDescent="0.2">
      <c r="A182" s="8"/>
      <c r="B182" s="2"/>
      <c r="C182" s="10"/>
      <c r="D182" s="10"/>
      <c r="E182" s="9"/>
      <c r="F182" s="8"/>
      <c r="G182" s="28"/>
    </row>
    <row r="183" spans="1:7" s="4" customFormat="1" x14ac:dyDescent="0.2">
      <c r="A183" s="8"/>
      <c r="B183" s="2"/>
      <c r="C183" s="10"/>
      <c r="D183" s="10"/>
      <c r="E183" s="9"/>
      <c r="F183" s="8"/>
      <c r="G183" s="28"/>
    </row>
    <row r="184" spans="1:7" s="4" customFormat="1" x14ac:dyDescent="0.2">
      <c r="A184" s="8"/>
      <c r="B184" s="2"/>
      <c r="C184" s="10"/>
      <c r="D184" s="10"/>
      <c r="E184" s="9"/>
      <c r="F184" s="8"/>
      <c r="G184" s="28"/>
    </row>
    <row r="185" spans="1:7" s="4" customFormat="1" x14ac:dyDescent="0.2">
      <c r="A185" s="8"/>
      <c r="B185" s="2"/>
      <c r="C185" s="10"/>
      <c r="D185" s="10"/>
      <c r="E185" s="9"/>
      <c r="F185" s="8"/>
      <c r="G185" s="28"/>
    </row>
    <row r="186" spans="1:7" s="4" customFormat="1" x14ac:dyDescent="0.2">
      <c r="A186" s="8"/>
      <c r="B186" s="2"/>
      <c r="C186" s="10"/>
      <c r="D186" s="10"/>
      <c r="E186" s="9"/>
      <c r="F186" s="8"/>
      <c r="G186" s="28"/>
    </row>
    <row r="187" spans="1:7" s="4" customFormat="1" x14ac:dyDescent="0.2">
      <c r="A187" s="8"/>
      <c r="B187" s="2"/>
      <c r="C187" s="10"/>
      <c r="D187" s="10"/>
      <c r="E187" s="9"/>
      <c r="F187" s="8"/>
      <c r="G187" s="28"/>
    </row>
    <row r="188" spans="1:7" s="4" customFormat="1" x14ac:dyDescent="0.2">
      <c r="A188" s="8"/>
      <c r="B188" s="2"/>
      <c r="C188" s="10"/>
      <c r="D188" s="10"/>
      <c r="E188" s="9"/>
      <c r="F188" s="8"/>
      <c r="G188" s="28"/>
    </row>
    <row r="189" spans="1:7" s="4" customFormat="1" x14ac:dyDescent="0.2">
      <c r="A189" s="8"/>
      <c r="B189" s="2"/>
      <c r="C189" s="10"/>
      <c r="D189" s="10"/>
      <c r="E189" s="9"/>
      <c r="F189" s="8"/>
      <c r="G189" s="28"/>
    </row>
    <row r="190" spans="1:7" s="4" customFormat="1" x14ac:dyDescent="0.2">
      <c r="A190" s="8"/>
      <c r="B190" s="2"/>
      <c r="C190" s="10"/>
      <c r="D190" s="10"/>
      <c r="E190" s="9"/>
      <c r="F190" s="8"/>
      <c r="G190" s="28"/>
    </row>
    <row r="191" spans="1:7" s="4" customFormat="1" x14ac:dyDescent="0.2">
      <c r="A191" s="8"/>
      <c r="B191" s="2"/>
      <c r="C191" s="10"/>
      <c r="D191" s="10"/>
      <c r="E191" s="9"/>
      <c r="F191" s="8"/>
      <c r="G191" s="28"/>
    </row>
    <row r="192" spans="1:7" s="4" customFormat="1" x14ac:dyDescent="0.2">
      <c r="A192" s="8"/>
      <c r="B192" s="2"/>
      <c r="C192" s="10"/>
      <c r="D192" s="10"/>
      <c r="E192" s="9"/>
      <c r="F192" s="8"/>
      <c r="G192" s="28"/>
    </row>
    <row r="193" spans="1:7" s="4" customFormat="1" x14ac:dyDescent="0.2">
      <c r="A193" s="8"/>
      <c r="B193" s="2"/>
      <c r="C193" s="10"/>
      <c r="D193" s="10"/>
      <c r="E193" s="9"/>
      <c r="F193" s="8"/>
      <c r="G193" s="28"/>
    </row>
    <row r="194" spans="1:7" s="4" customFormat="1" x14ac:dyDescent="0.2">
      <c r="A194" s="8"/>
      <c r="B194" s="2"/>
      <c r="C194" s="10"/>
      <c r="D194" s="10"/>
      <c r="E194" s="9"/>
      <c r="F194" s="8"/>
      <c r="G194" s="28"/>
    </row>
    <row r="195" spans="1:7" s="4" customFormat="1" x14ac:dyDescent="0.2">
      <c r="A195" s="8"/>
      <c r="B195" s="2"/>
      <c r="C195" s="10"/>
      <c r="D195" s="10"/>
      <c r="E195" s="9"/>
      <c r="F195" s="8"/>
      <c r="G195" s="28"/>
    </row>
    <row r="196" spans="1:7" s="4" customFormat="1" x14ac:dyDescent="0.2">
      <c r="A196" s="8"/>
      <c r="B196" s="2"/>
      <c r="C196" s="10"/>
      <c r="D196" s="10"/>
      <c r="E196" s="9"/>
      <c r="F196" s="8"/>
      <c r="G196" s="28"/>
    </row>
    <row r="197" spans="1:7" s="4" customFormat="1" x14ac:dyDescent="0.2">
      <c r="A197" s="8"/>
      <c r="B197" s="2"/>
      <c r="C197" s="10"/>
      <c r="D197" s="10"/>
      <c r="E197" s="9"/>
      <c r="F197" s="8"/>
      <c r="G197" s="28"/>
    </row>
    <row r="198" spans="1:7" s="4" customFormat="1" x14ac:dyDescent="0.2">
      <c r="A198" s="8"/>
      <c r="B198" s="2"/>
      <c r="C198" s="10"/>
      <c r="D198" s="10"/>
      <c r="E198" s="9"/>
      <c r="F198" s="8"/>
      <c r="G198" s="28"/>
    </row>
    <row r="199" spans="1:7" s="4" customFormat="1" x14ac:dyDescent="0.2">
      <c r="A199" s="8"/>
      <c r="B199" s="2"/>
      <c r="C199" s="10"/>
      <c r="D199" s="10"/>
      <c r="E199" s="9"/>
      <c r="F199" s="8"/>
      <c r="G199" s="28"/>
    </row>
    <row r="200" spans="1:7" s="4" customFormat="1" x14ac:dyDescent="0.2">
      <c r="A200" s="8"/>
      <c r="B200" s="2"/>
      <c r="C200" s="10"/>
      <c r="D200" s="10"/>
      <c r="E200" s="9"/>
      <c r="F200" s="8"/>
      <c r="G200" s="28"/>
    </row>
    <row r="201" spans="1:7" s="4" customFormat="1" x14ac:dyDescent="0.2">
      <c r="A201" s="8"/>
      <c r="B201" s="2"/>
      <c r="C201" s="10"/>
      <c r="D201" s="10"/>
      <c r="E201" s="9"/>
      <c r="F201" s="8"/>
      <c r="G201" s="28"/>
    </row>
    <row r="202" spans="1:7" s="4" customFormat="1" x14ac:dyDescent="0.2">
      <c r="A202" s="8"/>
      <c r="B202" s="2"/>
      <c r="C202" s="10"/>
      <c r="D202" s="10"/>
      <c r="E202" s="9"/>
      <c r="F202" s="8"/>
      <c r="G202" s="28"/>
    </row>
  </sheetData>
  <mergeCells count="1">
    <mergeCell ref="D92:E92"/>
  </mergeCells>
  <conditionalFormatting sqref="H141:Q141">
    <cfRule type="cellIs" dxfId="318" priority="51" stopIfTrue="1" operator="greaterThan">
      <formula>$E$141</formula>
    </cfRule>
    <cfRule type="cellIs" dxfId="317" priority="52" stopIfTrue="1" operator="lessThanOrEqual">
      <formula>$E$141</formula>
    </cfRule>
  </conditionalFormatting>
  <conditionalFormatting sqref="H143:Q143">
    <cfRule type="cellIs" dxfId="316" priority="49" stopIfTrue="1" operator="lessThanOrEqual">
      <formula>$E$143</formula>
    </cfRule>
    <cfRule type="cellIs" dxfId="315" priority="50" stopIfTrue="1" operator="greaterThan">
      <formula>$E$143</formula>
    </cfRule>
  </conditionalFormatting>
  <conditionalFormatting sqref="H121:Q121">
    <cfRule type="cellIs" dxfId="314" priority="47" operator="greaterThan">
      <formula>$E$121</formula>
    </cfRule>
    <cfRule type="cellIs" dxfId="313" priority="48" operator="lessThanOrEqual">
      <formula>$E$121</formula>
    </cfRule>
  </conditionalFormatting>
  <conditionalFormatting sqref="H124:Q124">
    <cfRule type="cellIs" dxfId="312" priority="45" stopIfTrue="1" operator="greaterThanOrEqual">
      <formula>$E$124</formula>
    </cfRule>
    <cfRule type="cellIs" dxfId="311" priority="46" stopIfTrue="1" operator="lessThan">
      <formula>$E$124</formula>
    </cfRule>
  </conditionalFormatting>
  <conditionalFormatting sqref="H126:Q126">
    <cfRule type="cellIs" dxfId="310" priority="43" stopIfTrue="1" operator="lessThan">
      <formula>$E$126</formula>
    </cfRule>
    <cfRule type="cellIs" dxfId="309" priority="44" stopIfTrue="1" operator="greaterThanOrEqual">
      <formula>$E$126</formula>
    </cfRule>
  </conditionalFormatting>
  <conditionalFormatting sqref="H125:Q125">
    <cfRule type="cellIs" dxfId="308" priority="41" stopIfTrue="1" operator="greaterThan">
      <formula>$E$125</formula>
    </cfRule>
    <cfRule type="cellIs" dxfId="307" priority="42" stopIfTrue="1" operator="lessThanOrEqual">
      <formula>$E$125</formula>
    </cfRule>
  </conditionalFormatting>
  <conditionalFormatting sqref="H122:Q122">
    <cfRule type="cellIs" dxfId="306" priority="30" stopIfTrue="1" operator="between">
      <formula>$D$122</formula>
      <formula>$E$122</formula>
    </cfRule>
    <cfRule type="cellIs" dxfId="305" priority="39" stopIfTrue="1" operator="lessThanOrEqual">
      <formula>$D$122</formula>
    </cfRule>
    <cfRule type="cellIs" dxfId="304" priority="40" stopIfTrue="1" operator="greaterThan">
      <formula>$E$122</formula>
    </cfRule>
  </conditionalFormatting>
  <conditionalFormatting sqref="H142:Q142">
    <cfRule type="cellIs" dxfId="303" priority="37" stopIfTrue="1" operator="greaterThan">
      <formula>$E$142</formula>
    </cfRule>
    <cfRule type="cellIs" dxfId="302" priority="38" stopIfTrue="1" operator="lessThanOrEqual">
      <formula>$E$142</formula>
    </cfRule>
  </conditionalFormatting>
  <conditionalFormatting sqref="H130:Q130">
    <cfRule type="cellIs" dxfId="301" priority="35" stopIfTrue="1" operator="greaterThan">
      <formula>$E$130</formula>
    </cfRule>
    <cfRule type="cellIs" dxfId="300" priority="36" stopIfTrue="1" operator="lessThanOrEqual">
      <formula>$E$130</formula>
    </cfRule>
  </conditionalFormatting>
  <conditionalFormatting sqref="H131:Q131">
    <cfRule type="cellIs" dxfId="299" priority="33" stopIfTrue="1" operator="lessThan">
      <formula>$E$131</formula>
    </cfRule>
    <cfRule type="cellIs" dxfId="298" priority="34" stopIfTrue="1" operator="greaterThanOrEqual">
      <formula>$E$131</formula>
    </cfRule>
  </conditionalFormatting>
  <conditionalFormatting sqref="H114:Q114">
    <cfRule type="cellIs" dxfId="297" priority="53" stopIfTrue="1" operator="lessThan">
      <formula>$D$114</formula>
    </cfRule>
    <cfRule type="cellIs" dxfId="296" priority="54" stopIfTrue="1" operator="between">
      <formula>$D$114</formula>
      <formula>$E$114</formula>
    </cfRule>
    <cfRule type="cellIs" dxfId="295" priority="55" stopIfTrue="1" operator="greaterThan">
      <formula>$E$114</formula>
    </cfRule>
  </conditionalFormatting>
  <conditionalFormatting sqref="H138:Q138">
    <cfRule type="cellIs" dxfId="294" priority="56" stopIfTrue="1" operator="lessThan">
      <formula>$E$138</formula>
    </cfRule>
    <cfRule type="cellIs" dxfId="293" priority="57" stopIfTrue="1" operator="between">
      <formula>$D$138</formula>
      <formula>$E$138</formula>
    </cfRule>
    <cfRule type="cellIs" dxfId="292" priority="58" stopIfTrue="1" operator="greaterThanOrEqual">
      <formula>$D$138</formula>
    </cfRule>
  </conditionalFormatting>
  <conditionalFormatting sqref="H111:Q111">
    <cfRule type="cellIs" dxfId="291" priority="31" stopIfTrue="1" operator="lessThan">
      <formula>$E$111</formula>
    </cfRule>
    <cfRule type="cellIs" dxfId="290" priority="32" stopIfTrue="1" operator="greaterThan">
      <formula>$E$111</formula>
    </cfRule>
  </conditionalFormatting>
  <conditionalFormatting sqref="R141:S141">
    <cfRule type="cellIs" dxfId="289" priority="22" stopIfTrue="1" operator="greaterThan">
      <formula>$E$141</formula>
    </cfRule>
    <cfRule type="cellIs" dxfId="288" priority="23" stopIfTrue="1" operator="lessThanOrEqual">
      <formula>$E$141</formula>
    </cfRule>
  </conditionalFormatting>
  <conditionalFormatting sqref="R143:S143">
    <cfRule type="cellIs" dxfId="287" priority="20" stopIfTrue="1" operator="lessThanOrEqual">
      <formula>$E$143</formula>
    </cfRule>
    <cfRule type="cellIs" dxfId="286" priority="21" stopIfTrue="1" operator="greaterThan">
      <formula>$E$143</formula>
    </cfRule>
  </conditionalFormatting>
  <conditionalFormatting sqref="R121:S121">
    <cfRule type="cellIs" dxfId="285" priority="18" operator="greaterThan">
      <formula>$E$121</formula>
    </cfRule>
    <cfRule type="cellIs" dxfId="284" priority="19" operator="lessThanOrEqual">
      <formula>$E$121</formula>
    </cfRule>
  </conditionalFormatting>
  <conditionalFormatting sqref="R124:S124">
    <cfRule type="cellIs" dxfId="283" priority="16" stopIfTrue="1" operator="greaterThanOrEqual">
      <formula>$E$124</formula>
    </cfRule>
    <cfRule type="cellIs" dxfId="282" priority="17" stopIfTrue="1" operator="lessThan">
      <formula>$E$124</formula>
    </cfRule>
  </conditionalFormatting>
  <conditionalFormatting sqref="R126:S126">
    <cfRule type="cellIs" dxfId="281" priority="14" stopIfTrue="1" operator="lessThan">
      <formula>$E$126</formula>
    </cfRule>
    <cfRule type="cellIs" dxfId="280" priority="15" stopIfTrue="1" operator="greaterThanOrEqual">
      <formula>$E$126</formula>
    </cfRule>
  </conditionalFormatting>
  <conditionalFormatting sqref="R125:S125">
    <cfRule type="cellIs" dxfId="279" priority="12" stopIfTrue="1" operator="greaterThan">
      <formula>$E$125</formula>
    </cfRule>
    <cfRule type="cellIs" dxfId="278" priority="13" stopIfTrue="1" operator="lessThanOrEqual">
      <formula>$E$125</formula>
    </cfRule>
  </conditionalFormatting>
  <conditionalFormatting sqref="R122:S122">
    <cfRule type="cellIs" dxfId="277" priority="1" stopIfTrue="1" operator="between">
      <formula>$D$122</formula>
      <formula>$E$122</formula>
    </cfRule>
    <cfRule type="cellIs" dxfId="276" priority="10" stopIfTrue="1" operator="lessThanOrEqual">
      <formula>$D$122</formula>
    </cfRule>
    <cfRule type="cellIs" dxfId="275" priority="11" stopIfTrue="1" operator="greaterThan">
      <formula>$E$122</formula>
    </cfRule>
  </conditionalFormatting>
  <conditionalFormatting sqref="R142:S142">
    <cfRule type="cellIs" dxfId="274" priority="8" stopIfTrue="1" operator="greaterThan">
      <formula>$E$142</formula>
    </cfRule>
    <cfRule type="cellIs" dxfId="273" priority="9" stopIfTrue="1" operator="lessThanOrEqual">
      <formula>$E$142</formula>
    </cfRule>
  </conditionalFormatting>
  <conditionalFormatting sqref="R130:S130">
    <cfRule type="cellIs" dxfId="272" priority="6" stopIfTrue="1" operator="greaterThan">
      <formula>$E$130</formula>
    </cfRule>
    <cfRule type="cellIs" dxfId="271" priority="7" stopIfTrue="1" operator="lessThanOrEqual">
      <formula>$E$130</formula>
    </cfRule>
  </conditionalFormatting>
  <conditionalFormatting sqref="R131:S131">
    <cfRule type="cellIs" dxfId="270" priority="4" stopIfTrue="1" operator="lessThan">
      <formula>$E$131</formula>
    </cfRule>
    <cfRule type="cellIs" dxfId="269" priority="5" stopIfTrue="1" operator="greaterThanOrEqual">
      <formula>$E$131</formula>
    </cfRule>
  </conditionalFormatting>
  <conditionalFormatting sqref="R114:S114">
    <cfRule type="cellIs" dxfId="268" priority="24" stopIfTrue="1" operator="lessThan">
      <formula>$D$114</formula>
    </cfRule>
    <cfRule type="cellIs" dxfId="267" priority="25" stopIfTrue="1" operator="between">
      <formula>$D$114</formula>
      <formula>$E$114</formula>
    </cfRule>
    <cfRule type="cellIs" dxfId="266" priority="26" stopIfTrue="1" operator="greaterThan">
      <formula>$E$114</formula>
    </cfRule>
  </conditionalFormatting>
  <conditionalFormatting sqref="R138:S138">
    <cfRule type="cellIs" dxfId="265" priority="27" stopIfTrue="1" operator="lessThan">
      <formula>$E$138</formula>
    </cfRule>
    <cfRule type="cellIs" dxfId="264" priority="28" stopIfTrue="1" operator="between">
      <formula>$D$138</formula>
      <formula>$E$138</formula>
    </cfRule>
    <cfRule type="cellIs" dxfId="263" priority="29" stopIfTrue="1" operator="greaterThanOrEqual">
      <formula>$D$138</formula>
    </cfRule>
  </conditionalFormatting>
  <conditionalFormatting sqref="R111:S111">
    <cfRule type="cellIs" dxfId="262" priority="2" stopIfTrue="1" operator="lessThan">
      <formula>$E$111</formula>
    </cfRule>
    <cfRule type="cellIs" dxfId="261" priority="3" stopIfTrue="1" operator="greaterThan">
      <formula>$E$111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838D7C-66C1-4C9A-A216-081E25B2A4EC}">
  <dimension ref="A1:U202"/>
  <sheetViews>
    <sheetView workbookViewId="0">
      <selection activeCell="G2" sqref="G2"/>
    </sheetView>
  </sheetViews>
  <sheetFormatPr defaultRowHeight="11.25" outlineLevelCol="1" x14ac:dyDescent="0.2"/>
  <cols>
    <col min="1" max="1" width="6.7109375" style="47" customWidth="1"/>
    <col min="2" max="2" width="4.7109375" style="47" bestFit="1" customWidth="1"/>
    <col min="3" max="4" width="9.140625" style="47"/>
    <col min="5" max="5" width="5.140625" style="47" bestFit="1" customWidth="1"/>
    <col min="6" max="6" width="2" style="8" bestFit="1" customWidth="1"/>
    <col min="7" max="7" width="28.5703125" style="47" customWidth="1"/>
    <col min="8" max="12" width="8.28515625" style="47" hidden="1" customWidth="1" outlineLevel="1"/>
    <col min="13" max="13" width="8.7109375" style="47" bestFit="1" customWidth="1" collapsed="1"/>
    <col min="14" max="14" width="10.42578125" style="47" customWidth="1"/>
    <col min="15" max="18" width="8.7109375" style="47" bestFit="1" customWidth="1"/>
    <col min="19" max="256" width="9.140625" style="47"/>
    <col min="257" max="257" width="6.7109375" style="47" customWidth="1"/>
    <col min="258" max="258" width="4.7109375" style="47" bestFit="1" customWidth="1"/>
    <col min="259" max="260" width="9.140625" style="47"/>
    <col min="261" max="261" width="5.140625" style="47" bestFit="1" customWidth="1"/>
    <col min="262" max="262" width="2" style="47" bestFit="1" customWidth="1"/>
    <col min="263" max="263" width="28.5703125" style="47" customWidth="1"/>
    <col min="264" max="268" width="0" style="47" hidden="1" customWidth="1"/>
    <col min="269" max="269" width="8.7109375" style="47" bestFit="1" customWidth="1"/>
    <col min="270" max="270" width="10.42578125" style="47" customWidth="1"/>
    <col min="271" max="274" width="8.7109375" style="47" bestFit="1" customWidth="1"/>
    <col min="275" max="512" width="9.140625" style="47"/>
    <col min="513" max="513" width="6.7109375" style="47" customWidth="1"/>
    <col min="514" max="514" width="4.7109375" style="47" bestFit="1" customWidth="1"/>
    <col min="515" max="516" width="9.140625" style="47"/>
    <col min="517" max="517" width="5.140625" style="47" bestFit="1" customWidth="1"/>
    <col min="518" max="518" width="2" style="47" bestFit="1" customWidth="1"/>
    <col min="519" max="519" width="28.5703125" style="47" customWidth="1"/>
    <col min="520" max="524" width="0" style="47" hidden="1" customWidth="1"/>
    <col min="525" max="525" width="8.7109375" style="47" bestFit="1" customWidth="1"/>
    <col min="526" max="526" width="10.42578125" style="47" customWidth="1"/>
    <col min="527" max="530" width="8.7109375" style="47" bestFit="1" customWidth="1"/>
    <col min="531" max="768" width="9.140625" style="47"/>
    <col min="769" max="769" width="6.7109375" style="47" customWidth="1"/>
    <col min="770" max="770" width="4.7109375" style="47" bestFit="1" customWidth="1"/>
    <col min="771" max="772" width="9.140625" style="47"/>
    <col min="773" max="773" width="5.140625" style="47" bestFit="1" customWidth="1"/>
    <col min="774" max="774" width="2" style="47" bestFit="1" customWidth="1"/>
    <col min="775" max="775" width="28.5703125" style="47" customWidth="1"/>
    <col min="776" max="780" width="0" style="47" hidden="1" customWidth="1"/>
    <col min="781" max="781" width="8.7109375" style="47" bestFit="1" customWidth="1"/>
    <col min="782" max="782" width="10.42578125" style="47" customWidth="1"/>
    <col min="783" max="786" width="8.7109375" style="47" bestFit="1" customWidth="1"/>
    <col min="787" max="1024" width="9.140625" style="47"/>
    <col min="1025" max="1025" width="6.7109375" style="47" customWidth="1"/>
    <col min="1026" max="1026" width="4.7109375" style="47" bestFit="1" customWidth="1"/>
    <col min="1027" max="1028" width="9.140625" style="47"/>
    <col min="1029" max="1029" width="5.140625" style="47" bestFit="1" customWidth="1"/>
    <col min="1030" max="1030" width="2" style="47" bestFit="1" customWidth="1"/>
    <col min="1031" max="1031" width="28.5703125" style="47" customWidth="1"/>
    <col min="1032" max="1036" width="0" style="47" hidden="1" customWidth="1"/>
    <col min="1037" max="1037" width="8.7109375" style="47" bestFit="1" customWidth="1"/>
    <col min="1038" max="1038" width="10.42578125" style="47" customWidth="1"/>
    <col min="1039" max="1042" width="8.7109375" style="47" bestFit="1" customWidth="1"/>
    <col min="1043" max="1280" width="9.140625" style="47"/>
    <col min="1281" max="1281" width="6.7109375" style="47" customWidth="1"/>
    <col min="1282" max="1282" width="4.7109375" style="47" bestFit="1" customWidth="1"/>
    <col min="1283" max="1284" width="9.140625" style="47"/>
    <col min="1285" max="1285" width="5.140625" style="47" bestFit="1" customWidth="1"/>
    <col min="1286" max="1286" width="2" style="47" bestFit="1" customWidth="1"/>
    <col min="1287" max="1287" width="28.5703125" style="47" customWidth="1"/>
    <col min="1288" max="1292" width="0" style="47" hidden="1" customWidth="1"/>
    <col min="1293" max="1293" width="8.7109375" style="47" bestFit="1" customWidth="1"/>
    <col min="1294" max="1294" width="10.42578125" style="47" customWidth="1"/>
    <col min="1295" max="1298" width="8.7109375" style="47" bestFit="1" customWidth="1"/>
    <col min="1299" max="1536" width="9.140625" style="47"/>
    <col min="1537" max="1537" width="6.7109375" style="47" customWidth="1"/>
    <col min="1538" max="1538" width="4.7109375" style="47" bestFit="1" customWidth="1"/>
    <col min="1539" max="1540" width="9.140625" style="47"/>
    <col min="1541" max="1541" width="5.140625" style="47" bestFit="1" customWidth="1"/>
    <col min="1542" max="1542" width="2" style="47" bestFit="1" customWidth="1"/>
    <col min="1543" max="1543" width="28.5703125" style="47" customWidth="1"/>
    <col min="1544" max="1548" width="0" style="47" hidden="1" customWidth="1"/>
    <col min="1549" max="1549" width="8.7109375" style="47" bestFit="1" customWidth="1"/>
    <col min="1550" max="1550" width="10.42578125" style="47" customWidth="1"/>
    <col min="1551" max="1554" width="8.7109375" style="47" bestFit="1" customWidth="1"/>
    <col min="1555" max="1792" width="9.140625" style="47"/>
    <col min="1793" max="1793" width="6.7109375" style="47" customWidth="1"/>
    <col min="1794" max="1794" width="4.7109375" style="47" bestFit="1" customWidth="1"/>
    <col min="1795" max="1796" width="9.140625" style="47"/>
    <col min="1797" max="1797" width="5.140625" style="47" bestFit="1" customWidth="1"/>
    <col min="1798" max="1798" width="2" style="47" bestFit="1" customWidth="1"/>
    <col min="1799" max="1799" width="28.5703125" style="47" customWidth="1"/>
    <col min="1800" max="1804" width="0" style="47" hidden="1" customWidth="1"/>
    <col min="1805" max="1805" width="8.7109375" style="47" bestFit="1" customWidth="1"/>
    <col min="1806" max="1806" width="10.42578125" style="47" customWidth="1"/>
    <col min="1807" max="1810" width="8.7109375" style="47" bestFit="1" customWidth="1"/>
    <col min="1811" max="2048" width="9.140625" style="47"/>
    <col min="2049" max="2049" width="6.7109375" style="47" customWidth="1"/>
    <col min="2050" max="2050" width="4.7109375" style="47" bestFit="1" customWidth="1"/>
    <col min="2051" max="2052" width="9.140625" style="47"/>
    <col min="2053" max="2053" width="5.140625" style="47" bestFit="1" customWidth="1"/>
    <col min="2054" max="2054" width="2" style="47" bestFit="1" customWidth="1"/>
    <col min="2055" max="2055" width="28.5703125" style="47" customWidth="1"/>
    <col min="2056" max="2060" width="0" style="47" hidden="1" customWidth="1"/>
    <col min="2061" max="2061" width="8.7109375" style="47" bestFit="1" customWidth="1"/>
    <col min="2062" max="2062" width="10.42578125" style="47" customWidth="1"/>
    <col min="2063" max="2066" width="8.7109375" style="47" bestFit="1" customWidth="1"/>
    <col min="2067" max="2304" width="9.140625" style="47"/>
    <col min="2305" max="2305" width="6.7109375" style="47" customWidth="1"/>
    <col min="2306" max="2306" width="4.7109375" style="47" bestFit="1" customWidth="1"/>
    <col min="2307" max="2308" width="9.140625" style="47"/>
    <col min="2309" max="2309" width="5.140625" style="47" bestFit="1" customWidth="1"/>
    <col min="2310" max="2310" width="2" style="47" bestFit="1" customWidth="1"/>
    <col min="2311" max="2311" width="28.5703125" style="47" customWidth="1"/>
    <col min="2312" max="2316" width="0" style="47" hidden="1" customWidth="1"/>
    <col min="2317" max="2317" width="8.7109375" style="47" bestFit="1" customWidth="1"/>
    <col min="2318" max="2318" width="10.42578125" style="47" customWidth="1"/>
    <col min="2319" max="2322" width="8.7109375" style="47" bestFit="1" customWidth="1"/>
    <col min="2323" max="2560" width="9.140625" style="47"/>
    <col min="2561" max="2561" width="6.7109375" style="47" customWidth="1"/>
    <col min="2562" max="2562" width="4.7109375" style="47" bestFit="1" customWidth="1"/>
    <col min="2563" max="2564" width="9.140625" style="47"/>
    <col min="2565" max="2565" width="5.140625" style="47" bestFit="1" customWidth="1"/>
    <col min="2566" max="2566" width="2" style="47" bestFit="1" customWidth="1"/>
    <col min="2567" max="2567" width="28.5703125" style="47" customWidth="1"/>
    <col min="2568" max="2572" width="0" style="47" hidden="1" customWidth="1"/>
    <col min="2573" max="2573" width="8.7109375" style="47" bestFit="1" customWidth="1"/>
    <col min="2574" max="2574" width="10.42578125" style="47" customWidth="1"/>
    <col min="2575" max="2578" width="8.7109375" style="47" bestFit="1" customWidth="1"/>
    <col min="2579" max="2816" width="9.140625" style="47"/>
    <col min="2817" max="2817" width="6.7109375" style="47" customWidth="1"/>
    <col min="2818" max="2818" width="4.7109375" style="47" bestFit="1" customWidth="1"/>
    <col min="2819" max="2820" width="9.140625" style="47"/>
    <col min="2821" max="2821" width="5.140625" style="47" bestFit="1" customWidth="1"/>
    <col min="2822" max="2822" width="2" style="47" bestFit="1" customWidth="1"/>
    <col min="2823" max="2823" width="28.5703125" style="47" customWidth="1"/>
    <col min="2824" max="2828" width="0" style="47" hidden="1" customWidth="1"/>
    <col min="2829" max="2829" width="8.7109375" style="47" bestFit="1" customWidth="1"/>
    <col min="2830" max="2830" width="10.42578125" style="47" customWidth="1"/>
    <col min="2831" max="2834" width="8.7109375" style="47" bestFit="1" customWidth="1"/>
    <col min="2835" max="3072" width="9.140625" style="47"/>
    <col min="3073" max="3073" width="6.7109375" style="47" customWidth="1"/>
    <col min="3074" max="3074" width="4.7109375" style="47" bestFit="1" customWidth="1"/>
    <col min="3075" max="3076" width="9.140625" style="47"/>
    <col min="3077" max="3077" width="5.140625" style="47" bestFit="1" customWidth="1"/>
    <col min="3078" max="3078" width="2" style="47" bestFit="1" customWidth="1"/>
    <col min="3079" max="3079" width="28.5703125" style="47" customWidth="1"/>
    <col min="3080" max="3084" width="0" style="47" hidden="1" customWidth="1"/>
    <col min="3085" max="3085" width="8.7109375" style="47" bestFit="1" customWidth="1"/>
    <col min="3086" max="3086" width="10.42578125" style="47" customWidth="1"/>
    <col min="3087" max="3090" width="8.7109375" style="47" bestFit="1" customWidth="1"/>
    <col min="3091" max="3328" width="9.140625" style="47"/>
    <col min="3329" max="3329" width="6.7109375" style="47" customWidth="1"/>
    <col min="3330" max="3330" width="4.7109375" style="47" bestFit="1" customWidth="1"/>
    <col min="3331" max="3332" width="9.140625" style="47"/>
    <col min="3333" max="3333" width="5.140625" style="47" bestFit="1" customWidth="1"/>
    <col min="3334" max="3334" width="2" style="47" bestFit="1" customWidth="1"/>
    <col min="3335" max="3335" width="28.5703125" style="47" customWidth="1"/>
    <col min="3336" max="3340" width="0" style="47" hidden="1" customWidth="1"/>
    <col min="3341" max="3341" width="8.7109375" style="47" bestFit="1" customWidth="1"/>
    <col min="3342" max="3342" width="10.42578125" style="47" customWidth="1"/>
    <col min="3343" max="3346" width="8.7109375" style="47" bestFit="1" customWidth="1"/>
    <col min="3347" max="3584" width="9.140625" style="47"/>
    <col min="3585" max="3585" width="6.7109375" style="47" customWidth="1"/>
    <col min="3586" max="3586" width="4.7109375" style="47" bestFit="1" customWidth="1"/>
    <col min="3587" max="3588" width="9.140625" style="47"/>
    <col min="3589" max="3589" width="5.140625" style="47" bestFit="1" customWidth="1"/>
    <col min="3590" max="3590" width="2" style="47" bestFit="1" customWidth="1"/>
    <col min="3591" max="3591" width="28.5703125" style="47" customWidth="1"/>
    <col min="3592" max="3596" width="0" style="47" hidden="1" customWidth="1"/>
    <col min="3597" max="3597" width="8.7109375" style="47" bestFit="1" customWidth="1"/>
    <col min="3598" max="3598" width="10.42578125" style="47" customWidth="1"/>
    <col min="3599" max="3602" width="8.7109375" style="47" bestFit="1" customWidth="1"/>
    <col min="3603" max="3840" width="9.140625" style="47"/>
    <col min="3841" max="3841" width="6.7109375" style="47" customWidth="1"/>
    <col min="3842" max="3842" width="4.7109375" style="47" bestFit="1" customWidth="1"/>
    <col min="3843" max="3844" width="9.140625" style="47"/>
    <col min="3845" max="3845" width="5.140625" style="47" bestFit="1" customWidth="1"/>
    <col min="3846" max="3846" width="2" style="47" bestFit="1" customWidth="1"/>
    <col min="3847" max="3847" width="28.5703125" style="47" customWidth="1"/>
    <col min="3848" max="3852" width="0" style="47" hidden="1" customWidth="1"/>
    <col min="3853" max="3853" width="8.7109375" style="47" bestFit="1" customWidth="1"/>
    <col min="3854" max="3854" width="10.42578125" style="47" customWidth="1"/>
    <col min="3855" max="3858" width="8.7109375" style="47" bestFit="1" customWidth="1"/>
    <col min="3859" max="4096" width="9.140625" style="47"/>
    <col min="4097" max="4097" width="6.7109375" style="47" customWidth="1"/>
    <col min="4098" max="4098" width="4.7109375" style="47" bestFit="1" customWidth="1"/>
    <col min="4099" max="4100" width="9.140625" style="47"/>
    <col min="4101" max="4101" width="5.140625" style="47" bestFit="1" customWidth="1"/>
    <col min="4102" max="4102" width="2" style="47" bestFit="1" customWidth="1"/>
    <col min="4103" max="4103" width="28.5703125" style="47" customWidth="1"/>
    <col min="4104" max="4108" width="0" style="47" hidden="1" customWidth="1"/>
    <col min="4109" max="4109" width="8.7109375" style="47" bestFit="1" customWidth="1"/>
    <col min="4110" max="4110" width="10.42578125" style="47" customWidth="1"/>
    <col min="4111" max="4114" width="8.7109375" style="47" bestFit="1" customWidth="1"/>
    <col min="4115" max="4352" width="9.140625" style="47"/>
    <col min="4353" max="4353" width="6.7109375" style="47" customWidth="1"/>
    <col min="4354" max="4354" width="4.7109375" style="47" bestFit="1" customWidth="1"/>
    <col min="4355" max="4356" width="9.140625" style="47"/>
    <col min="4357" max="4357" width="5.140625" style="47" bestFit="1" customWidth="1"/>
    <col min="4358" max="4358" width="2" style="47" bestFit="1" customWidth="1"/>
    <col min="4359" max="4359" width="28.5703125" style="47" customWidth="1"/>
    <col min="4360" max="4364" width="0" style="47" hidden="1" customWidth="1"/>
    <col min="4365" max="4365" width="8.7109375" style="47" bestFit="1" customWidth="1"/>
    <col min="4366" max="4366" width="10.42578125" style="47" customWidth="1"/>
    <col min="4367" max="4370" width="8.7109375" style="47" bestFit="1" customWidth="1"/>
    <col min="4371" max="4608" width="9.140625" style="47"/>
    <col min="4609" max="4609" width="6.7109375" style="47" customWidth="1"/>
    <col min="4610" max="4610" width="4.7109375" style="47" bestFit="1" customWidth="1"/>
    <col min="4611" max="4612" width="9.140625" style="47"/>
    <col min="4613" max="4613" width="5.140625" style="47" bestFit="1" customWidth="1"/>
    <col min="4614" max="4614" width="2" style="47" bestFit="1" customWidth="1"/>
    <col min="4615" max="4615" width="28.5703125" style="47" customWidth="1"/>
    <col min="4616" max="4620" width="0" style="47" hidden="1" customWidth="1"/>
    <col min="4621" max="4621" width="8.7109375" style="47" bestFit="1" customWidth="1"/>
    <col min="4622" max="4622" width="10.42578125" style="47" customWidth="1"/>
    <col min="4623" max="4626" width="8.7109375" style="47" bestFit="1" customWidth="1"/>
    <col min="4627" max="4864" width="9.140625" style="47"/>
    <col min="4865" max="4865" width="6.7109375" style="47" customWidth="1"/>
    <col min="4866" max="4866" width="4.7109375" style="47" bestFit="1" customWidth="1"/>
    <col min="4867" max="4868" width="9.140625" style="47"/>
    <col min="4869" max="4869" width="5.140625" style="47" bestFit="1" customWidth="1"/>
    <col min="4870" max="4870" width="2" style="47" bestFit="1" customWidth="1"/>
    <col min="4871" max="4871" width="28.5703125" style="47" customWidth="1"/>
    <col min="4872" max="4876" width="0" style="47" hidden="1" customWidth="1"/>
    <col min="4877" max="4877" width="8.7109375" style="47" bestFit="1" customWidth="1"/>
    <col min="4878" max="4878" width="10.42578125" style="47" customWidth="1"/>
    <col min="4879" max="4882" width="8.7109375" style="47" bestFit="1" customWidth="1"/>
    <col min="4883" max="5120" width="9.140625" style="47"/>
    <col min="5121" max="5121" width="6.7109375" style="47" customWidth="1"/>
    <col min="5122" max="5122" width="4.7109375" style="47" bestFit="1" customWidth="1"/>
    <col min="5123" max="5124" width="9.140625" style="47"/>
    <col min="5125" max="5125" width="5.140625" style="47" bestFit="1" customWidth="1"/>
    <col min="5126" max="5126" width="2" style="47" bestFit="1" customWidth="1"/>
    <col min="5127" max="5127" width="28.5703125" style="47" customWidth="1"/>
    <col min="5128" max="5132" width="0" style="47" hidden="1" customWidth="1"/>
    <col min="5133" max="5133" width="8.7109375" style="47" bestFit="1" customWidth="1"/>
    <col min="5134" max="5134" width="10.42578125" style="47" customWidth="1"/>
    <col min="5135" max="5138" width="8.7109375" style="47" bestFit="1" customWidth="1"/>
    <col min="5139" max="5376" width="9.140625" style="47"/>
    <col min="5377" max="5377" width="6.7109375" style="47" customWidth="1"/>
    <col min="5378" max="5378" width="4.7109375" style="47" bestFit="1" customWidth="1"/>
    <col min="5379" max="5380" width="9.140625" style="47"/>
    <col min="5381" max="5381" width="5.140625" style="47" bestFit="1" customWidth="1"/>
    <col min="5382" max="5382" width="2" style="47" bestFit="1" customWidth="1"/>
    <col min="5383" max="5383" width="28.5703125" style="47" customWidth="1"/>
    <col min="5384" max="5388" width="0" style="47" hidden="1" customWidth="1"/>
    <col min="5389" max="5389" width="8.7109375" style="47" bestFit="1" customWidth="1"/>
    <col min="5390" max="5390" width="10.42578125" style="47" customWidth="1"/>
    <col min="5391" max="5394" width="8.7109375" style="47" bestFit="1" customWidth="1"/>
    <col min="5395" max="5632" width="9.140625" style="47"/>
    <col min="5633" max="5633" width="6.7109375" style="47" customWidth="1"/>
    <col min="5634" max="5634" width="4.7109375" style="47" bestFit="1" customWidth="1"/>
    <col min="5635" max="5636" width="9.140625" style="47"/>
    <col min="5637" max="5637" width="5.140625" style="47" bestFit="1" customWidth="1"/>
    <col min="5638" max="5638" width="2" style="47" bestFit="1" customWidth="1"/>
    <col min="5639" max="5639" width="28.5703125" style="47" customWidth="1"/>
    <col min="5640" max="5644" width="0" style="47" hidden="1" customWidth="1"/>
    <col min="5645" max="5645" width="8.7109375" style="47" bestFit="1" customWidth="1"/>
    <col min="5646" max="5646" width="10.42578125" style="47" customWidth="1"/>
    <col min="5647" max="5650" width="8.7109375" style="47" bestFit="1" customWidth="1"/>
    <col min="5651" max="5888" width="9.140625" style="47"/>
    <col min="5889" max="5889" width="6.7109375" style="47" customWidth="1"/>
    <col min="5890" max="5890" width="4.7109375" style="47" bestFit="1" customWidth="1"/>
    <col min="5891" max="5892" width="9.140625" style="47"/>
    <col min="5893" max="5893" width="5.140625" style="47" bestFit="1" customWidth="1"/>
    <col min="5894" max="5894" width="2" style="47" bestFit="1" customWidth="1"/>
    <col min="5895" max="5895" width="28.5703125" style="47" customWidth="1"/>
    <col min="5896" max="5900" width="0" style="47" hidden="1" customWidth="1"/>
    <col min="5901" max="5901" width="8.7109375" style="47" bestFit="1" customWidth="1"/>
    <col min="5902" max="5902" width="10.42578125" style="47" customWidth="1"/>
    <col min="5903" max="5906" width="8.7109375" style="47" bestFit="1" customWidth="1"/>
    <col min="5907" max="6144" width="9.140625" style="47"/>
    <col min="6145" max="6145" width="6.7109375" style="47" customWidth="1"/>
    <col min="6146" max="6146" width="4.7109375" style="47" bestFit="1" customWidth="1"/>
    <col min="6147" max="6148" width="9.140625" style="47"/>
    <col min="6149" max="6149" width="5.140625" style="47" bestFit="1" customWidth="1"/>
    <col min="6150" max="6150" width="2" style="47" bestFit="1" customWidth="1"/>
    <col min="6151" max="6151" width="28.5703125" style="47" customWidth="1"/>
    <col min="6152" max="6156" width="0" style="47" hidden="1" customWidth="1"/>
    <col min="6157" max="6157" width="8.7109375" style="47" bestFit="1" customWidth="1"/>
    <col min="6158" max="6158" width="10.42578125" style="47" customWidth="1"/>
    <col min="6159" max="6162" width="8.7109375" style="47" bestFit="1" customWidth="1"/>
    <col min="6163" max="6400" width="9.140625" style="47"/>
    <col min="6401" max="6401" width="6.7109375" style="47" customWidth="1"/>
    <col min="6402" max="6402" width="4.7109375" style="47" bestFit="1" customWidth="1"/>
    <col min="6403" max="6404" width="9.140625" style="47"/>
    <col min="6405" max="6405" width="5.140625" style="47" bestFit="1" customWidth="1"/>
    <col min="6406" max="6406" width="2" style="47" bestFit="1" customWidth="1"/>
    <col min="6407" max="6407" width="28.5703125" style="47" customWidth="1"/>
    <col min="6408" max="6412" width="0" style="47" hidden="1" customWidth="1"/>
    <col min="6413" max="6413" width="8.7109375" style="47" bestFit="1" customWidth="1"/>
    <col min="6414" max="6414" width="10.42578125" style="47" customWidth="1"/>
    <col min="6415" max="6418" width="8.7109375" style="47" bestFit="1" customWidth="1"/>
    <col min="6419" max="6656" width="9.140625" style="47"/>
    <col min="6657" max="6657" width="6.7109375" style="47" customWidth="1"/>
    <col min="6658" max="6658" width="4.7109375" style="47" bestFit="1" customWidth="1"/>
    <col min="6659" max="6660" width="9.140625" style="47"/>
    <col min="6661" max="6661" width="5.140625" style="47" bestFit="1" customWidth="1"/>
    <col min="6662" max="6662" width="2" style="47" bestFit="1" customWidth="1"/>
    <col min="6663" max="6663" width="28.5703125" style="47" customWidth="1"/>
    <col min="6664" max="6668" width="0" style="47" hidden="1" customWidth="1"/>
    <col min="6669" max="6669" width="8.7109375" style="47" bestFit="1" customWidth="1"/>
    <col min="6670" max="6670" width="10.42578125" style="47" customWidth="1"/>
    <col min="6671" max="6674" width="8.7109375" style="47" bestFit="1" customWidth="1"/>
    <col min="6675" max="6912" width="9.140625" style="47"/>
    <col min="6913" max="6913" width="6.7109375" style="47" customWidth="1"/>
    <col min="6914" max="6914" width="4.7109375" style="47" bestFit="1" customWidth="1"/>
    <col min="6915" max="6916" width="9.140625" style="47"/>
    <col min="6917" max="6917" width="5.140625" style="47" bestFit="1" customWidth="1"/>
    <col min="6918" max="6918" width="2" style="47" bestFit="1" customWidth="1"/>
    <col min="6919" max="6919" width="28.5703125" style="47" customWidth="1"/>
    <col min="6920" max="6924" width="0" style="47" hidden="1" customWidth="1"/>
    <col min="6925" max="6925" width="8.7109375" style="47" bestFit="1" customWidth="1"/>
    <col min="6926" max="6926" width="10.42578125" style="47" customWidth="1"/>
    <col min="6927" max="6930" width="8.7109375" style="47" bestFit="1" customWidth="1"/>
    <col min="6931" max="7168" width="9.140625" style="47"/>
    <col min="7169" max="7169" width="6.7109375" style="47" customWidth="1"/>
    <col min="7170" max="7170" width="4.7109375" style="47" bestFit="1" customWidth="1"/>
    <col min="7171" max="7172" width="9.140625" style="47"/>
    <col min="7173" max="7173" width="5.140625" style="47" bestFit="1" customWidth="1"/>
    <col min="7174" max="7174" width="2" style="47" bestFit="1" customWidth="1"/>
    <col min="7175" max="7175" width="28.5703125" style="47" customWidth="1"/>
    <col min="7176" max="7180" width="0" style="47" hidden="1" customWidth="1"/>
    <col min="7181" max="7181" width="8.7109375" style="47" bestFit="1" customWidth="1"/>
    <col min="7182" max="7182" width="10.42578125" style="47" customWidth="1"/>
    <col min="7183" max="7186" width="8.7109375" style="47" bestFit="1" customWidth="1"/>
    <col min="7187" max="7424" width="9.140625" style="47"/>
    <col min="7425" max="7425" width="6.7109375" style="47" customWidth="1"/>
    <col min="7426" max="7426" width="4.7109375" style="47" bestFit="1" customWidth="1"/>
    <col min="7427" max="7428" width="9.140625" style="47"/>
    <col min="7429" max="7429" width="5.140625" style="47" bestFit="1" customWidth="1"/>
    <col min="7430" max="7430" width="2" style="47" bestFit="1" customWidth="1"/>
    <col min="7431" max="7431" width="28.5703125" style="47" customWidth="1"/>
    <col min="7432" max="7436" width="0" style="47" hidden="1" customWidth="1"/>
    <col min="7437" max="7437" width="8.7109375" style="47" bestFit="1" customWidth="1"/>
    <col min="7438" max="7438" width="10.42578125" style="47" customWidth="1"/>
    <col min="7439" max="7442" width="8.7109375" style="47" bestFit="1" customWidth="1"/>
    <col min="7443" max="7680" width="9.140625" style="47"/>
    <col min="7681" max="7681" width="6.7109375" style="47" customWidth="1"/>
    <col min="7682" max="7682" width="4.7109375" style="47" bestFit="1" customWidth="1"/>
    <col min="7683" max="7684" width="9.140625" style="47"/>
    <col min="7685" max="7685" width="5.140625" style="47" bestFit="1" customWidth="1"/>
    <col min="7686" max="7686" width="2" style="47" bestFit="1" customWidth="1"/>
    <col min="7687" max="7687" width="28.5703125" style="47" customWidth="1"/>
    <col min="7688" max="7692" width="0" style="47" hidden="1" customWidth="1"/>
    <col min="7693" max="7693" width="8.7109375" style="47" bestFit="1" customWidth="1"/>
    <col min="7694" max="7694" width="10.42578125" style="47" customWidth="1"/>
    <col min="7695" max="7698" width="8.7109375" style="47" bestFit="1" customWidth="1"/>
    <col min="7699" max="7936" width="9.140625" style="47"/>
    <col min="7937" max="7937" width="6.7109375" style="47" customWidth="1"/>
    <col min="7938" max="7938" width="4.7109375" style="47" bestFit="1" customWidth="1"/>
    <col min="7939" max="7940" width="9.140625" style="47"/>
    <col min="7941" max="7941" width="5.140625" style="47" bestFit="1" customWidth="1"/>
    <col min="7942" max="7942" width="2" style="47" bestFit="1" customWidth="1"/>
    <col min="7943" max="7943" width="28.5703125" style="47" customWidth="1"/>
    <col min="7944" max="7948" width="0" style="47" hidden="1" customWidth="1"/>
    <col min="7949" max="7949" width="8.7109375" style="47" bestFit="1" customWidth="1"/>
    <col min="7950" max="7950" width="10.42578125" style="47" customWidth="1"/>
    <col min="7951" max="7954" width="8.7109375" style="47" bestFit="1" customWidth="1"/>
    <col min="7955" max="8192" width="9.140625" style="47"/>
    <col min="8193" max="8193" width="6.7109375" style="47" customWidth="1"/>
    <col min="8194" max="8194" width="4.7109375" style="47" bestFit="1" customWidth="1"/>
    <col min="8195" max="8196" width="9.140625" style="47"/>
    <col min="8197" max="8197" width="5.140625" style="47" bestFit="1" customWidth="1"/>
    <col min="8198" max="8198" width="2" style="47" bestFit="1" customWidth="1"/>
    <col min="8199" max="8199" width="28.5703125" style="47" customWidth="1"/>
    <col min="8200" max="8204" width="0" style="47" hidden="1" customWidth="1"/>
    <col min="8205" max="8205" width="8.7109375" style="47" bestFit="1" customWidth="1"/>
    <col min="8206" max="8206" width="10.42578125" style="47" customWidth="1"/>
    <col min="8207" max="8210" width="8.7109375" style="47" bestFit="1" customWidth="1"/>
    <col min="8211" max="8448" width="9.140625" style="47"/>
    <col min="8449" max="8449" width="6.7109375" style="47" customWidth="1"/>
    <col min="8450" max="8450" width="4.7109375" style="47" bestFit="1" customWidth="1"/>
    <col min="8451" max="8452" width="9.140625" style="47"/>
    <col min="8453" max="8453" width="5.140625" style="47" bestFit="1" customWidth="1"/>
    <col min="8454" max="8454" width="2" style="47" bestFit="1" customWidth="1"/>
    <col min="8455" max="8455" width="28.5703125" style="47" customWidth="1"/>
    <col min="8456" max="8460" width="0" style="47" hidden="1" customWidth="1"/>
    <col min="8461" max="8461" width="8.7109375" style="47" bestFit="1" customWidth="1"/>
    <col min="8462" max="8462" width="10.42578125" style="47" customWidth="1"/>
    <col min="8463" max="8466" width="8.7109375" style="47" bestFit="1" customWidth="1"/>
    <col min="8467" max="8704" width="9.140625" style="47"/>
    <col min="8705" max="8705" width="6.7109375" style="47" customWidth="1"/>
    <col min="8706" max="8706" width="4.7109375" style="47" bestFit="1" customWidth="1"/>
    <col min="8707" max="8708" width="9.140625" style="47"/>
    <col min="8709" max="8709" width="5.140625" style="47" bestFit="1" customWidth="1"/>
    <col min="8710" max="8710" width="2" style="47" bestFit="1" customWidth="1"/>
    <col min="8711" max="8711" width="28.5703125" style="47" customWidth="1"/>
    <col min="8712" max="8716" width="0" style="47" hidden="1" customWidth="1"/>
    <col min="8717" max="8717" width="8.7109375" style="47" bestFit="1" customWidth="1"/>
    <col min="8718" max="8718" width="10.42578125" style="47" customWidth="1"/>
    <col min="8719" max="8722" width="8.7109375" style="47" bestFit="1" customWidth="1"/>
    <col min="8723" max="8960" width="9.140625" style="47"/>
    <col min="8961" max="8961" width="6.7109375" style="47" customWidth="1"/>
    <col min="8962" max="8962" width="4.7109375" style="47" bestFit="1" customWidth="1"/>
    <col min="8963" max="8964" width="9.140625" style="47"/>
    <col min="8965" max="8965" width="5.140625" style="47" bestFit="1" customWidth="1"/>
    <col min="8966" max="8966" width="2" style="47" bestFit="1" customWidth="1"/>
    <col min="8967" max="8967" width="28.5703125" style="47" customWidth="1"/>
    <col min="8968" max="8972" width="0" style="47" hidden="1" customWidth="1"/>
    <col min="8973" max="8973" width="8.7109375" style="47" bestFit="1" customWidth="1"/>
    <col min="8974" max="8974" width="10.42578125" style="47" customWidth="1"/>
    <col min="8975" max="8978" width="8.7109375" style="47" bestFit="1" customWidth="1"/>
    <col min="8979" max="9216" width="9.140625" style="47"/>
    <col min="9217" max="9217" width="6.7109375" style="47" customWidth="1"/>
    <col min="9218" max="9218" width="4.7109375" style="47" bestFit="1" customWidth="1"/>
    <col min="9219" max="9220" width="9.140625" style="47"/>
    <col min="9221" max="9221" width="5.140625" style="47" bestFit="1" customWidth="1"/>
    <col min="9222" max="9222" width="2" style="47" bestFit="1" customWidth="1"/>
    <col min="9223" max="9223" width="28.5703125" style="47" customWidth="1"/>
    <col min="9224" max="9228" width="0" style="47" hidden="1" customWidth="1"/>
    <col min="9229" max="9229" width="8.7109375" style="47" bestFit="1" customWidth="1"/>
    <col min="9230" max="9230" width="10.42578125" style="47" customWidth="1"/>
    <col min="9231" max="9234" width="8.7109375" style="47" bestFit="1" customWidth="1"/>
    <col min="9235" max="9472" width="9.140625" style="47"/>
    <col min="9473" max="9473" width="6.7109375" style="47" customWidth="1"/>
    <col min="9474" max="9474" width="4.7109375" style="47" bestFit="1" customWidth="1"/>
    <col min="9475" max="9476" width="9.140625" style="47"/>
    <col min="9477" max="9477" width="5.140625" style="47" bestFit="1" customWidth="1"/>
    <col min="9478" max="9478" width="2" style="47" bestFit="1" customWidth="1"/>
    <col min="9479" max="9479" width="28.5703125" style="47" customWidth="1"/>
    <col min="9480" max="9484" width="0" style="47" hidden="1" customWidth="1"/>
    <col min="9485" max="9485" width="8.7109375" style="47" bestFit="1" customWidth="1"/>
    <col min="9486" max="9486" width="10.42578125" style="47" customWidth="1"/>
    <col min="9487" max="9490" width="8.7109375" style="47" bestFit="1" customWidth="1"/>
    <col min="9491" max="9728" width="9.140625" style="47"/>
    <col min="9729" max="9729" width="6.7109375" style="47" customWidth="1"/>
    <col min="9730" max="9730" width="4.7109375" style="47" bestFit="1" customWidth="1"/>
    <col min="9731" max="9732" width="9.140625" style="47"/>
    <col min="9733" max="9733" width="5.140625" style="47" bestFit="1" customWidth="1"/>
    <col min="9734" max="9734" width="2" style="47" bestFit="1" customWidth="1"/>
    <col min="9735" max="9735" width="28.5703125" style="47" customWidth="1"/>
    <col min="9736" max="9740" width="0" style="47" hidden="1" customWidth="1"/>
    <col min="9741" max="9741" width="8.7109375" style="47" bestFit="1" customWidth="1"/>
    <col min="9742" max="9742" width="10.42578125" style="47" customWidth="1"/>
    <col min="9743" max="9746" width="8.7109375" style="47" bestFit="1" customWidth="1"/>
    <col min="9747" max="9984" width="9.140625" style="47"/>
    <col min="9985" max="9985" width="6.7109375" style="47" customWidth="1"/>
    <col min="9986" max="9986" width="4.7109375" style="47" bestFit="1" customWidth="1"/>
    <col min="9987" max="9988" width="9.140625" style="47"/>
    <col min="9989" max="9989" width="5.140625" style="47" bestFit="1" customWidth="1"/>
    <col min="9990" max="9990" width="2" style="47" bestFit="1" customWidth="1"/>
    <col min="9991" max="9991" width="28.5703125" style="47" customWidth="1"/>
    <col min="9992" max="9996" width="0" style="47" hidden="1" customWidth="1"/>
    <col min="9997" max="9997" width="8.7109375" style="47" bestFit="1" customWidth="1"/>
    <col min="9998" max="9998" width="10.42578125" style="47" customWidth="1"/>
    <col min="9999" max="10002" width="8.7109375" style="47" bestFit="1" customWidth="1"/>
    <col min="10003" max="10240" width="9.140625" style="47"/>
    <col min="10241" max="10241" width="6.7109375" style="47" customWidth="1"/>
    <col min="10242" max="10242" width="4.7109375" style="47" bestFit="1" customWidth="1"/>
    <col min="10243" max="10244" width="9.140625" style="47"/>
    <col min="10245" max="10245" width="5.140625" style="47" bestFit="1" customWidth="1"/>
    <col min="10246" max="10246" width="2" style="47" bestFit="1" customWidth="1"/>
    <col min="10247" max="10247" width="28.5703125" style="47" customWidth="1"/>
    <col min="10248" max="10252" width="0" style="47" hidden="1" customWidth="1"/>
    <col min="10253" max="10253" width="8.7109375" style="47" bestFit="1" customWidth="1"/>
    <col min="10254" max="10254" width="10.42578125" style="47" customWidth="1"/>
    <col min="10255" max="10258" width="8.7109375" style="47" bestFit="1" customWidth="1"/>
    <col min="10259" max="10496" width="9.140625" style="47"/>
    <col min="10497" max="10497" width="6.7109375" style="47" customWidth="1"/>
    <col min="10498" max="10498" width="4.7109375" style="47" bestFit="1" customWidth="1"/>
    <col min="10499" max="10500" width="9.140625" style="47"/>
    <col min="10501" max="10501" width="5.140625" style="47" bestFit="1" customWidth="1"/>
    <col min="10502" max="10502" width="2" style="47" bestFit="1" customWidth="1"/>
    <col min="10503" max="10503" width="28.5703125" style="47" customWidth="1"/>
    <col min="10504" max="10508" width="0" style="47" hidden="1" customWidth="1"/>
    <col min="10509" max="10509" width="8.7109375" style="47" bestFit="1" customWidth="1"/>
    <col min="10510" max="10510" width="10.42578125" style="47" customWidth="1"/>
    <col min="10511" max="10514" width="8.7109375" style="47" bestFit="1" customWidth="1"/>
    <col min="10515" max="10752" width="9.140625" style="47"/>
    <col min="10753" max="10753" width="6.7109375" style="47" customWidth="1"/>
    <col min="10754" max="10754" width="4.7109375" style="47" bestFit="1" customWidth="1"/>
    <col min="10755" max="10756" width="9.140625" style="47"/>
    <col min="10757" max="10757" width="5.140625" style="47" bestFit="1" customWidth="1"/>
    <col min="10758" max="10758" width="2" style="47" bestFit="1" customWidth="1"/>
    <col min="10759" max="10759" width="28.5703125" style="47" customWidth="1"/>
    <col min="10760" max="10764" width="0" style="47" hidden="1" customWidth="1"/>
    <col min="10765" max="10765" width="8.7109375" style="47" bestFit="1" customWidth="1"/>
    <col min="10766" max="10766" width="10.42578125" style="47" customWidth="1"/>
    <col min="10767" max="10770" width="8.7109375" style="47" bestFit="1" customWidth="1"/>
    <col min="10771" max="11008" width="9.140625" style="47"/>
    <col min="11009" max="11009" width="6.7109375" style="47" customWidth="1"/>
    <col min="11010" max="11010" width="4.7109375" style="47" bestFit="1" customWidth="1"/>
    <col min="11011" max="11012" width="9.140625" style="47"/>
    <col min="11013" max="11013" width="5.140625" style="47" bestFit="1" customWidth="1"/>
    <col min="11014" max="11014" width="2" style="47" bestFit="1" customWidth="1"/>
    <col min="11015" max="11015" width="28.5703125" style="47" customWidth="1"/>
    <col min="11016" max="11020" width="0" style="47" hidden="1" customWidth="1"/>
    <col min="11021" max="11021" width="8.7109375" style="47" bestFit="1" customWidth="1"/>
    <col min="11022" max="11022" width="10.42578125" style="47" customWidth="1"/>
    <col min="11023" max="11026" width="8.7109375" style="47" bestFit="1" customWidth="1"/>
    <col min="11027" max="11264" width="9.140625" style="47"/>
    <col min="11265" max="11265" width="6.7109375" style="47" customWidth="1"/>
    <col min="11266" max="11266" width="4.7109375" style="47" bestFit="1" customWidth="1"/>
    <col min="11267" max="11268" width="9.140625" style="47"/>
    <col min="11269" max="11269" width="5.140625" style="47" bestFit="1" customWidth="1"/>
    <col min="11270" max="11270" width="2" style="47" bestFit="1" customWidth="1"/>
    <col min="11271" max="11271" width="28.5703125" style="47" customWidth="1"/>
    <col min="11272" max="11276" width="0" style="47" hidden="1" customWidth="1"/>
    <col min="11277" max="11277" width="8.7109375" style="47" bestFit="1" customWidth="1"/>
    <col min="11278" max="11278" width="10.42578125" style="47" customWidth="1"/>
    <col min="11279" max="11282" width="8.7109375" style="47" bestFit="1" customWidth="1"/>
    <col min="11283" max="11520" width="9.140625" style="47"/>
    <col min="11521" max="11521" width="6.7109375" style="47" customWidth="1"/>
    <col min="11522" max="11522" width="4.7109375" style="47" bestFit="1" customWidth="1"/>
    <col min="11523" max="11524" width="9.140625" style="47"/>
    <col min="11525" max="11525" width="5.140625" style="47" bestFit="1" customWidth="1"/>
    <col min="11526" max="11526" width="2" style="47" bestFit="1" customWidth="1"/>
    <col min="11527" max="11527" width="28.5703125" style="47" customWidth="1"/>
    <col min="11528" max="11532" width="0" style="47" hidden="1" customWidth="1"/>
    <col min="11533" max="11533" width="8.7109375" style="47" bestFit="1" customWidth="1"/>
    <col min="11534" max="11534" width="10.42578125" style="47" customWidth="1"/>
    <col min="11535" max="11538" width="8.7109375" style="47" bestFit="1" customWidth="1"/>
    <col min="11539" max="11776" width="9.140625" style="47"/>
    <col min="11777" max="11777" width="6.7109375" style="47" customWidth="1"/>
    <col min="11778" max="11778" width="4.7109375" style="47" bestFit="1" customWidth="1"/>
    <col min="11779" max="11780" width="9.140625" style="47"/>
    <col min="11781" max="11781" width="5.140625" style="47" bestFit="1" customWidth="1"/>
    <col min="11782" max="11782" width="2" style="47" bestFit="1" customWidth="1"/>
    <col min="11783" max="11783" width="28.5703125" style="47" customWidth="1"/>
    <col min="11784" max="11788" width="0" style="47" hidden="1" customWidth="1"/>
    <col min="11789" max="11789" width="8.7109375" style="47" bestFit="1" customWidth="1"/>
    <col min="11790" max="11790" width="10.42578125" style="47" customWidth="1"/>
    <col min="11791" max="11794" width="8.7109375" style="47" bestFit="1" customWidth="1"/>
    <col min="11795" max="12032" width="9.140625" style="47"/>
    <col min="12033" max="12033" width="6.7109375" style="47" customWidth="1"/>
    <col min="12034" max="12034" width="4.7109375" style="47" bestFit="1" customWidth="1"/>
    <col min="12035" max="12036" width="9.140625" style="47"/>
    <col min="12037" max="12037" width="5.140625" style="47" bestFit="1" customWidth="1"/>
    <col min="12038" max="12038" width="2" style="47" bestFit="1" customWidth="1"/>
    <col min="12039" max="12039" width="28.5703125" style="47" customWidth="1"/>
    <col min="12040" max="12044" width="0" style="47" hidden="1" customWidth="1"/>
    <col min="12045" max="12045" width="8.7109375" style="47" bestFit="1" customWidth="1"/>
    <col min="12046" max="12046" width="10.42578125" style="47" customWidth="1"/>
    <col min="12047" max="12050" width="8.7109375" style="47" bestFit="1" customWidth="1"/>
    <col min="12051" max="12288" width="9.140625" style="47"/>
    <col min="12289" max="12289" width="6.7109375" style="47" customWidth="1"/>
    <col min="12290" max="12290" width="4.7109375" style="47" bestFit="1" customWidth="1"/>
    <col min="12291" max="12292" width="9.140625" style="47"/>
    <col min="12293" max="12293" width="5.140625" style="47" bestFit="1" customWidth="1"/>
    <col min="12294" max="12294" width="2" style="47" bestFit="1" customWidth="1"/>
    <col min="12295" max="12295" width="28.5703125" style="47" customWidth="1"/>
    <col min="12296" max="12300" width="0" style="47" hidden="1" customWidth="1"/>
    <col min="12301" max="12301" width="8.7109375" style="47" bestFit="1" customWidth="1"/>
    <col min="12302" max="12302" width="10.42578125" style="47" customWidth="1"/>
    <col min="12303" max="12306" width="8.7109375" style="47" bestFit="1" customWidth="1"/>
    <col min="12307" max="12544" width="9.140625" style="47"/>
    <col min="12545" max="12545" width="6.7109375" style="47" customWidth="1"/>
    <col min="12546" max="12546" width="4.7109375" style="47" bestFit="1" customWidth="1"/>
    <col min="12547" max="12548" width="9.140625" style="47"/>
    <col min="12549" max="12549" width="5.140625" style="47" bestFit="1" customWidth="1"/>
    <col min="12550" max="12550" width="2" style="47" bestFit="1" customWidth="1"/>
    <col min="12551" max="12551" width="28.5703125" style="47" customWidth="1"/>
    <col min="12552" max="12556" width="0" style="47" hidden="1" customWidth="1"/>
    <col min="12557" max="12557" width="8.7109375" style="47" bestFit="1" customWidth="1"/>
    <col min="12558" max="12558" width="10.42578125" style="47" customWidth="1"/>
    <col min="12559" max="12562" width="8.7109375" style="47" bestFit="1" customWidth="1"/>
    <col min="12563" max="12800" width="9.140625" style="47"/>
    <col min="12801" max="12801" width="6.7109375" style="47" customWidth="1"/>
    <col min="12802" max="12802" width="4.7109375" style="47" bestFit="1" customWidth="1"/>
    <col min="12803" max="12804" width="9.140625" style="47"/>
    <col min="12805" max="12805" width="5.140625" style="47" bestFit="1" customWidth="1"/>
    <col min="12806" max="12806" width="2" style="47" bestFit="1" customWidth="1"/>
    <col min="12807" max="12807" width="28.5703125" style="47" customWidth="1"/>
    <col min="12808" max="12812" width="0" style="47" hidden="1" customWidth="1"/>
    <col min="12813" max="12813" width="8.7109375" style="47" bestFit="1" customWidth="1"/>
    <col min="12814" max="12814" width="10.42578125" style="47" customWidth="1"/>
    <col min="12815" max="12818" width="8.7109375" style="47" bestFit="1" customWidth="1"/>
    <col min="12819" max="13056" width="9.140625" style="47"/>
    <col min="13057" max="13057" width="6.7109375" style="47" customWidth="1"/>
    <col min="13058" max="13058" width="4.7109375" style="47" bestFit="1" customWidth="1"/>
    <col min="13059" max="13060" width="9.140625" style="47"/>
    <col min="13061" max="13061" width="5.140625" style="47" bestFit="1" customWidth="1"/>
    <col min="13062" max="13062" width="2" style="47" bestFit="1" customWidth="1"/>
    <col min="13063" max="13063" width="28.5703125" style="47" customWidth="1"/>
    <col min="13064" max="13068" width="0" style="47" hidden="1" customWidth="1"/>
    <col min="13069" max="13069" width="8.7109375" style="47" bestFit="1" customWidth="1"/>
    <col min="13070" max="13070" width="10.42578125" style="47" customWidth="1"/>
    <col min="13071" max="13074" width="8.7109375" style="47" bestFit="1" customWidth="1"/>
    <col min="13075" max="13312" width="9.140625" style="47"/>
    <col min="13313" max="13313" width="6.7109375" style="47" customWidth="1"/>
    <col min="13314" max="13314" width="4.7109375" style="47" bestFit="1" customWidth="1"/>
    <col min="13315" max="13316" width="9.140625" style="47"/>
    <col min="13317" max="13317" width="5.140625" style="47" bestFit="1" customWidth="1"/>
    <col min="13318" max="13318" width="2" style="47" bestFit="1" customWidth="1"/>
    <col min="13319" max="13319" width="28.5703125" style="47" customWidth="1"/>
    <col min="13320" max="13324" width="0" style="47" hidden="1" customWidth="1"/>
    <col min="13325" max="13325" width="8.7109375" style="47" bestFit="1" customWidth="1"/>
    <col min="13326" max="13326" width="10.42578125" style="47" customWidth="1"/>
    <col min="13327" max="13330" width="8.7109375" style="47" bestFit="1" customWidth="1"/>
    <col min="13331" max="13568" width="9.140625" style="47"/>
    <col min="13569" max="13569" width="6.7109375" style="47" customWidth="1"/>
    <col min="13570" max="13570" width="4.7109375" style="47" bestFit="1" customWidth="1"/>
    <col min="13571" max="13572" width="9.140625" style="47"/>
    <col min="13573" max="13573" width="5.140625" style="47" bestFit="1" customWidth="1"/>
    <col min="13574" max="13574" width="2" style="47" bestFit="1" customWidth="1"/>
    <col min="13575" max="13575" width="28.5703125" style="47" customWidth="1"/>
    <col min="13576" max="13580" width="0" style="47" hidden="1" customWidth="1"/>
    <col min="13581" max="13581" width="8.7109375" style="47" bestFit="1" customWidth="1"/>
    <col min="13582" max="13582" width="10.42578125" style="47" customWidth="1"/>
    <col min="13583" max="13586" width="8.7109375" style="47" bestFit="1" customWidth="1"/>
    <col min="13587" max="13824" width="9.140625" style="47"/>
    <col min="13825" max="13825" width="6.7109375" style="47" customWidth="1"/>
    <col min="13826" max="13826" width="4.7109375" style="47" bestFit="1" customWidth="1"/>
    <col min="13827" max="13828" width="9.140625" style="47"/>
    <col min="13829" max="13829" width="5.140625" style="47" bestFit="1" customWidth="1"/>
    <col min="13830" max="13830" width="2" style="47" bestFit="1" customWidth="1"/>
    <col min="13831" max="13831" width="28.5703125" style="47" customWidth="1"/>
    <col min="13832" max="13836" width="0" style="47" hidden="1" customWidth="1"/>
    <col min="13837" max="13837" width="8.7109375" style="47" bestFit="1" customWidth="1"/>
    <col min="13838" max="13838" width="10.42578125" style="47" customWidth="1"/>
    <col min="13839" max="13842" width="8.7109375" style="47" bestFit="1" customWidth="1"/>
    <col min="13843" max="14080" width="9.140625" style="47"/>
    <col min="14081" max="14081" width="6.7109375" style="47" customWidth="1"/>
    <col min="14082" max="14082" width="4.7109375" style="47" bestFit="1" customWidth="1"/>
    <col min="14083" max="14084" width="9.140625" style="47"/>
    <col min="14085" max="14085" width="5.140625" style="47" bestFit="1" customWidth="1"/>
    <col min="14086" max="14086" width="2" style="47" bestFit="1" customWidth="1"/>
    <col min="14087" max="14087" width="28.5703125" style="47" customWidth="1"/>
    <col min="14088" max="14092" width="0" style="47" hidden="1" customWidth="1"/>
    <col min="14093" max="14093" width="8.7109375" style="47" bestFit="1" customWidth="1"/>
    <col min="14094" max="14094" width="10.42578125" style="47" customWidth="1"/>
    <col min="14095" max="14098" width="8.7109375" style="47" bestFit="1" customWidth="1"/>
    <col min="14099" max="14336" width="9.140625" style="47"/>
    <col min="14337" max="14337" width="6.7109375" style="47" customWidth="1"/>
    <col min="14338" max="14338" width="4.7109375" style="47" bestFit="1" customWidth="1"/>
    <col min="14339" max="14340" width="9.140625" style="47"/>
    <col min="14341" max="14341" width="5.140625" style="47" bestFit="1" customWidth="1"/>
    <col min="14342" max="14342" width="2" style="47" bestFit="1" customWidth="1"/>
    <col min="14343" max="14343" width="28.5703125" style="47" customWidth="1"/>
    <col min="14344" max="14348" width="0" style="47" hidden="1" customWidth="1"/>
    <col min="14349" max="14349" width="8.7109375" style="47" bestFit="1" customWidth="1"/>
    <col min="14350" max="14350" width="10.42578125" style="47" customWidth="1"/>
    <col min="14351" max="14354" width="8.7109375" style="47" bestFit="1" customWidth="1"/>
    <col min="14355" max="14592" width="9.140625" style="47"/>
    <col min="14593" max="14593" width="6.7109375" style="47" customWidth="1"/>
    <col min="14594" max="14594" width="4.7109375" style="47" bestFit="1" customWidth="1"/>
    <col min="14595" max="14596" width="9.140625" style="47"/>
    <col min="14597" max="14597" width="5.140625" style="47" bestFit="1" customWidth="1"/>
    <col min="14598" max="14598" width="2" style="47" bestFit="1" customWidth="1"/>
    <col min="14599" max="14599" width="28.5703125" style="47" customWidth="1"/>
    <col min="14600" max="14604" width="0" style="47" hidden="1" customWidth="1"/>
    <col min="14605" max="14605" width="8.7109375" style="47" bestFit="1" customWidth="1"/>
    <col min="14606" max="14606" width="10.42578125" style="47" customWidth="1"/>
    <col min="14607" max="14610" width="8.7109375" style="47" bestFit="1" customWidth="1"/>
    <col min="14611" max="14848" width="9.140625" style="47"/>
    <col min="14849" max="14849" width="6.7109375" style="47" customWidth="1"/>
    <col min="14850" max="14850" width="4.7109375" style="47" bestFit="1" customWidth="1"/>
    <col min="14851" max="14852" width="9.140625" style="47"/>
    <col min="14853" max="14853" width="5.140625" style="47" bestFit="1" customWidth="1"/>
    <col min="14854" max="14854" width="2" style="47" bestFit="1" customWidth="1"/>
    <col min="14855" max="14855" width="28.5703125" style="47" customWidth="1"/>
    <col min="14856" max="14860" width="0" style="47" hidden="1" customWidth="1"/>
    <col min="14861" max="14861" width="8.7109375" style="47" bestFit="1" customWidth="1"/>
    <col min="14862" max="14862" width="10.42578125" style="47" customWidth="1"/>
    <col min="14863" max="14866" width="8.7109375" style="47" bestFit="1" customWidth="1"/>
    <col min="14867" max="15104" width="9.140625" style="47"/>
    <col min="15105" max="15105" width="6.7109375" style="47" customWidth="1"/>
    <col min="15106" max="15106" width="4.7109375" style="47" bestFit="1" customWidth="1"/>
    <col min="15107" max="15108" width="9.140625" style="47"/>
    <col min="15109" max="15109" width="5.140625" style="47" bestFit="1" customWidth="1"/>
    <col min="15110" max="15110" width="2" style="47" bestFit="1" customWidth="1"/>
    <col min="15111" max="15111" width="28.5703125" style="47" customWidth="1"/>
    <col min="15112" max="15116" width="0" style="47" hidden="1" customWidth="1"/>
    <col min="15117" max="15117" width="8.7109375" style="47" bestFit="1" customWidth="1"/>
    <col min="15118" max="15118" width="10.42578125" style="47" customWidth="1"/>
    <col min="15119" max="15122" width="8.7109375" style="47" bestFit="1" customWidth="1"/>
    <col min="15123" max="15360" width="9.140625" style="47"/>
    <col min="15361" max="15361" width="6.7109375" style="47" customWidth="1"/>
    <col min="15362" max="15362" width="4.7109375" style="47" bestFit="1" customWidth="1"/>
    <col min="15363" max="15364" width="9.140625" style="47"/>
    <col min="15365" max="15365" width="5.140625" style="47" bestFit="1" customWidth="1"/>
    <col min="15366" max="15366" width="2" style="47" bestFit="1" customWidth="1"/>
    <col min="15367" max="15367" width="28.5703125" style="47" customWidth="1"/>
    <col min="15368" max="15372" width="0" style="47" hidden="1" customWidth="1"/>
    <col min="15373" max="15373" width="8.7109375" style="47" bestFit="1" customWidth="1"/>
    <col min="15374" max="15374" width="10.42578125" style="47" customWidth="1"/>
    <col min="15375" max="15378" width="8.7109375" style="47" bestFit="1" customWidth="1"/>
    <col min="15379" max="15616" width="9.140625" style="47"/>
    <col min="15617" max="15617" width="6.7109375" style="47" customWidth="1"/>
    <col min="15618" max="15618" width="4.7109375" style="47" bestFit="1" customWidth="1"/>
    <col min="15619" max="15620" width="9.140625" style="47"/>
    <col min="15621" max="15621" width="5.140625" style="47" bestFit="1" customWidth="1"/>
    <col min="15622" max="15622" width="2" style="47" bestFit="1" customWidth="1"/>
    <col min="15623" max="15623" width="28.5703125" style="47" customWidth="1"/>
    <col min="15624" max="15628" width="0" style="47" hidden="1" customWidth="1"/>
    <col min="15629" max="15629" width="8.7109375" style="47" bestFit="1" customWidth="1"/>
    <col min="15630" max="15630" width="10.42578125" style="47" customWidth="1"/>
    <col min="15631" max="15634" width="8.7109375" style="47" bestFit="1" customWidth="1"/>
    <col min="15635" max="15872" width="9.140625" style="47"/>
    <col min="15873" max="15873" width="6.7109375" style="47" customWidth="1"/>
    <col min="15874" max="15874" width="4.7109375" style="47" bestFit="1" customWidth="1"/>
    <col min="15875" max="15876" width="9.140625" style="47"/>
    <col min="15877" max="15877" width="5.140625" style="47" bestFit="1" customWidth="1"/>
    <col min="15878" max="15878" width="2" style="47" bestFit="1" customWidth="1"/>
    <col min="15879" max="15879" width="28.5703125" style="47" customWidth="1"/>
    <col min="15880" max="15884" width="0" style="47" hidden="1" customWidth="1"/>
    <col min="15885" max="15885" width="8.7109375" style="47" bestFit="1" customWidth="1"/>
    <col min="15886" max="15886" width="10.42578125" style="47" customWidth="1"/>
    <col min="15887" max="15890" width="8.7109375" style="47" bestFit="1" customWidth="1"/>
    <col min="15891" max="16128" width="9.140625" style="47"/>
    <col min="16129" max="16129" width="6.7109375" style="47" customWidth="1"/>
    <col min="16130" max="16130" width="4.7109375" style="47" bestFit="1" customWidth="1"/>
    <col min="16131" max="16132" width="9.140625" style="47"/>
    <col min="16133" max="16133" width="5.140625" style="47" bestFit="1" customWidth="1"/>
    <col min="16134" max="16134" width="2" style="47" bestFit="1" customWidth="1"/>
    <col min="16135" max="16135" width="28.5703125" style="47" customWidth="1"/>
    <col min="16136" max="16140" width="0" style="47" hidden="1" customWidth="1"/>
    <col min="16141" max="16141" width="8.7109375" style="47" bestFit="1" customWidth="1"/>
    <col min="16142" max="16142" width="10.42578125" style="47" customWidth="1"/>
    <col min="16143" max="16146" width="8.7109375" style="47" bestFit="1" customWidth="1"/>
    <col min="16147" max="16384" width="9.140625" style="47"/>
  </cols>
  <sheetData>
    <row r="1" spans="1:19" x14ac:dyDescent="0.2">
      <c r="A1" s="1"/>
      <c r="B1" s="2"/>
      <c r="C1" s="3"/>
      <c r="D1" s="3"/>
      <c r="E1" s="1"/>
      <c r="F1" s="1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</row>
    <row r="2" spans="1:19" x14ac:dyDescent="0.2">
      <c r="A2" s="3" t="s">
        <v>0</v>
      </c>
      <c r="B2" s="5" t="s">
        <v>1</v>
      </c>
      <c r="C2" s="3" t="s">
        <v>2</v>
      </c>
      <c r="D2" s="3"/>
      <c r="E2" s="1" t="s">
        <v>3</v>
      </c>
      <c r="F2" s="1"/>
      <c r="G2" s="49" t="s">
        <v>547</v>
      </c>
      <c r="H2" s="50"/>
      <c r="I2" s="51"/>
      <c r="J2" s="52"/>
      <c r="K2" s="50"/>
      <c r="L2" s="52"/>
      <c r="M2" s="71" t="s">
        <v>366</v>
      </c>
      <c r="N2" s="122" t="s">
        <v>548</v>
      </c>
      <c r="O2" s="72"/>
      <c r="P2" s="72"/>
      <c r="Q2" s="72"/>
      <c r="R2" s="73"/>
    </row>
    <row r="3" spans="1:19" x14ac:dyDescent="0.2">
      <c r="A3" s="1"/>
      <c r="B3" s="6"/>
      <c r="C3" s="3"/>
      <c r="D3" s="3"/>
      <c r="E3" s="1"/>
      <c r="F3" s="1"/>
      <c r="G3" s="53" t="s">
        <v>4</v>
      </c>
      <c r="H3" s="54">
        <v>40908</v>
      </c>
      <c r="I3" s="54">
        <v>41274</v>
      </c>
      <c r="J3" s="54">
        <v>41639</v>
      </c>
      <c r="K3" s="54">
        <v>42004</v>
      </c>
      <c r="L3" s="54">
        <v>42369</v>
      </c>
      <c r="M3" s="54">
        <v>42735</v>
      </c>
      <c r="N3" s="54">
        <v>43100</v>
      </c>
      <c r="O3" s="54">
        <v>43465</v>
      </c>
      <c r="P3" s="54">
        <v>43830</v>
      </c>
      <c r="Q3" s="54">
        <v>44196</v>
      </c>
      <c r="R3" s="54">
        <v>44561</v>
      </c>
      <c r="S3" s="54">
        <v>44926</v>
      </c>
    </row>
    <row r="4" spans="1:19" x14ac:dyDescent="0.2">
      <c r="A4" s="7"/>
      <c r="B4" s="2" t="s">
        <v>5</v>
      </c>
      <c r="C4" s="3">
        <v>1</v>
      </c>
      <c r="D4" s="3"/>
      <c r="E4" s="5"/>
      <c r="F4" s="7"/>
      <c r="G4" s="55" t="s">
        <v>6</v>
      </c>
      <c r="H4" s="56">
        <f t="shared" ref="H4:S4" si="0">H5+H10</f>
        <v>26.447000000000003</v>
      </c>
      <c r="I4" s="56">
        <f t="shared" si="0"/>
        <v>21.798999999999999</v>
      </c>
      <c r="J4" s="56">
        <f t="shared" si="0"/>
        <v>19.614000000000001</v>
      </c>
      <c r="K4" s="56">
        <f t="shared" si="0"/>
        <v>13.007</v>
      </c>
      <c r="L4" s="56">
        <f t="shared" si="0"/>
        <v>11.504</v>
      </c>
      <c r="M4" s="56">
        <f t="shared" si="0"/>
        <v>12.565</v>
      </c>
      <c r="N4" s="56">
        <f t="shared" si="0"/>
        <v>3.7990000000000004</v>
      </c>
      <c r="O4" s="56">
        <f t="shared" si="0"/>
        <v>3</v>
      </c>
      <c r="P4" s="56">
        <f t="shared" si="0"/>
        <v>3</v>
      </c>
      <c r="Q4" s="56">
        <f t="shared" si="0"/>
        <v>3</v>
      </c>
      <c r="R4" s="56">
        <f t="shared" si="0"/>
        <v>3</v>
      </c>
      <c r="S4" s="56">
        <f t="shared" si="0"/>
        <v>3</v>
      </c>
    </row>
    <row r="5" spans="1:19" x14ac:dyDescent="0.2">
      <c r="A5" s="8"/>
      <c r="B5" s="2" t="s">
        <v>7</v>
      </c>
      <c r="C5" s="3">
        <v>10</v>
      </c>
      <c r="D5" s="3"/>
      <c r="E5" s="9"/>
      <c r="G5" s="57" t="s">
        <v>8</v>
      </c>
      <c r="H5" s="56">
        <f t="shared" ref="H5:R5" si="1">SUM(H6:H9)</f>
        <v>26.447000000000003</v>
      </c>
      <c r="I5" s="56">
        <f t="shared" si="1"/>
        <v>21.798999999999999</v>
      </c>
      <c r="J5" s="56">
        <f t="shared" si="1"/>
        <v>19.614000000000001</v>
      </c>
      <c r="K5" s="56">
        <f t="shared" si="1"/>
        <v>13.007</v>
      </c>
      <c r="L5" s="56">
        <f t="shared" si="1"/>
        <v>11.504</v>
      </c>
      <c r="M5" s="56">
        <f t="shared" si="1"/>
        <v>12.565</v>
      </c>
      <c r="N5" s="56">
        <f t="shared" si="1"/>
        <v>3.7990000000000004</v>
      </c>
      <c r="O5" s="56">
        <f t="shared" si="1"/>
        <v>3</v>
      </c>
      <c r="P5" s="56">
        <f t="shared" si="1"/>
        <v>3</v>
      </c>
      <c r="Q5" s="56">
        <f t="shared" si="1"/>
        <v>3</v>
      </c>
      <c r="R5" s="56">
        <f t="shared" si="1"/>
        <v>3</v>
      </c>
      <c r="S5" s="56">
        <f>SUM(S6:S9)</f>
        <v>3</v>
      </c>
    </row>
    <row r="6" spans="1:19" ht="12" x14ac:dyDescent="0.2">
      <c r="A6" s="8"/>
      <c r="B6" s="2" t="s">
        <v>9</v>
      </c>
      <c r="C6" s="10" t="s">
        <v>10</v>
      </c>
      <c r="D6" s="10"/>
      <c r="E6" s="11" t="s">
        <v>11</v>
      </c>
      <c r="G6" s="57" t="s">
        <v>12</v>
      </c>
      <c r="H6" s="58">
        <v>23.228000000000002</v>
      </c>
      <c r="I6" s="58">
        <v>18.942</v>
      </c>
      <c r="J6" s="58">
        <v>17.236000000000001</v>
      </c>
      <c r="K6" s="58">
        <v>10.952999999999999</v>
      </c>
      <c r="L6" s="58">
        <v>6.5579999999999998</v>
      </c>
      <c r="M6" s="58">
        <v>9.5649999999999995</v>
      </c>
      <c r="N6" s="76">
        <v>0.39300000000000002</v>
      </c>
      <c r="O6" s="76">
        <v>1</v>
      </c>
      <c r="P6" s="76">
        <v>1</v>
      </c>
      <c r="Q6" s="76">
        <v>1</v>
      </c>
      <c r="R6" s="76">
        <v>1</v>
      </c>
      <c r="S6" s="58">
        <v>1</v>
      </c>
    </row>
    <row r="7" spans="1:19" ht="12" x14ac:dyDescent="0.2">
      <c r="A7" s="8"/>
      <c r="B7" s="2" t="s">
        <v>13</v>
      </c>
      <c r="C7" s="10" t="s">
        <v>14</v>
      </c>
      <c r="D7" s="10"/>
      <c r="E7" s="11" t="s">
        <v>11</v>
      </c>
      <c r="G7" s="57" t="s">
        <v>15</v>
      </c>
      <c r="H7" s="58">
        <v>3.2189999999999999</v>
      </c>
      <c r="I7" s="58">
        <v>2.8570000000000002</v>
      </c>
      <c r="J7" s="58">
        <v>2.3780000000000001</v>
      </c>
      <c r="K7" s="58">
        <v>2.0539999999999998</v>
      </c>
      <c r="L7" s="58">
        <v>4.9459999999999997</v>
      </c>
      <c r="M7" s="58">
        <v>3</v>
      </c>
      <c r="N7" s="76">
        <v>3.4060000000000001</v>
      </c>
      <c r="O7" s="76">
        <v>2</v>
      </c>
      <c r="P7" s="76">
        <v>2</v>
      </c>
      <c r="Q7" s="76">
        <v>2</v>
      </c>
      <c r="R7" s="76">
        <v>2</v>
      </c>
      <c r="S7" s="58">
        <v>2</v>
      </c>
    </row>
    <row r="8" spans="1:19" ht="12" x14ac:dyDescent="0.2">
      <c r="A8" s="8"/>
      <c r="B8" s="2" t="s">
        <v>16</v>
      </c>
      <c r="C8" s="10" t="s">
        <v>17</v>
      </c>
      <c r="D8" s="10"/>
      <c r="E8" s="11" t="s">
        <v>11</v>
      </c>
      <c r="G8" s="57" t="s">
        <v>18</v>
      </c>
      <c r="H8" s="58">
        <v>0</v>
      </c>
      <c r="I8" s="58">
        <v>0</v>
      </c>
      <c r="J8" s="58">
        <v>0</v>
      </c>
      <c r="K8" s="58">
        <v>0</v>
      </c>
      <c r="L8" s="58">
        <v>0</v>
      </c>
      <c r="M8" s="58">
        <v>0</v>
      </c>
      <c r="N8" s="76">
        <v>0</v>
      </c>
      <c r="O8" s="76">
        <v>0</v>
      </c>
      <c r="P8" s="76">
        <v>0</v>
      </c>
      <c r="Q8" s="76">
        <v>0</v>
      </c>
      <c r="R8" s="76">
        <v>0</v>
      </c>
      <c r="S8" s="58">
        <v>0</v>
      </c>
    </row>
    <row r="9" spans="1:19" x14ac:dyDescent="0.2">
      <c r="A9" s="8"/>
      <c r="B9" s="2" t="s">
        <v>19</v>
      </c>
      <c r="C9" s="10">
        <v>108</v>
      </c>
      <c r="D9" s="10"/>
      <c r="E9" s="12"/>
      <c r="G9" s="57" t="s">
        <v>20</v>
      </c>
      <c r="H9" s="58">
        <v>0</v>
      </c>
      <c r="I9" s="58">
        <v>0</v>
      </c>
      <c r="J9" s="58">
        <v>0</v>
      </c>
      <c r="K9" s="58">
        <v>0</v>
      </c>
      <c r="L9" s="58">
        <v>0</v>
      </c>
      <c r="M9" s="58">
        <v>0</v>
      </c>
      <c r="N9" s="76">
        <v>0</v>
      </c>
      <c r="O9" s="76">
        <v>0</v>
      </c>
      <c r="P9" s="76">
        <v>0</v>
      </c>
      <c r="Q9" s="76">
        <v>0</v>
      </c>
      <c r="R9" s="76">
        <v>0</v>
      </c>
      <c r="S9" s="58">
        <v>0</v>
      </c>
    </row>
    <row r="10" spans="1:19" x14ac:dyDescent="0.2">
      <c r="A10" s="13"/>
      <c r="B10" s="2" t="s">
        <v>21</v>
      </c>
      <c r="C10" s="14">
        <v>15</v>
      </c>
      <c r="D10" s="14"/>
      <c r="E10" s="12"/>
      <c r="F10" s="13"/>
      <c r="G10" s="57" t="s">
        <v>22</v>
      </c>
      <c r="H10" s="56">
        <f t="shared" ref="H10:S10" si="2">SUM(H11:H16)</f>
        <v>0</v>
      </c>
      <c r="I10" s="56">
        <f t="shared" si="2"/>
        <v>0</v>
      </c>
      <c r="J10" s="56">
        <f t="shared" si="2"/>
        <v>0</v>
      </c>
      <c r="K10" s="56">
        <f t="shared" si="2"/>
        <v>0</v>
      </c>
      <c r="L10" s="56">
        <f t="shared" si="2"/>
        <v>0</v>
      </c>
      <c r="M10" s="56">
        <f t="shared" si="2"/>
        <v>0</v>
      </c>
      <c r="N10" s="77">
        <f t="shared" si="2"/>
        <v>0</v>
      </c>
      <c r="O10" s="77">
        <f t="shared" si="2"/>
        <v>0</v>
      </c>
      <c r="P10" s="77">
        <f t="shared" si="2"/>
        <v>0</v>
      </c>
      <c r="Q10" s="77">
        <f t="shared" si="2"/>
        <v>0</v>
      </c>
      <c r="R10" s="77">
        <f t="shared" si="2"/>
        <v>0</v>
      </c>
      <c r="S10" s="56">
        <f t="shared" si="2"/>
        <v>0</v>
      </c>
    </row>
    <row r="11" spans="1:19" ht="12" x14ac:dyDescent="0.2">
      <c r="A11" s="13"/>
      <c r="B11" s="2" t="s">
        <v>23</v>
      </c>
      <c r="C11" s="14">
        <v>150</v>
      </c>
      <c r="D11" s="14"/>
      <c r="E11" s="11" t="s">
        <v>11</v>
      </c>
      <c r="F11" s="13"/>
      <c r="G11" s="57" t="s">
        <v>24</v>
      </c>
      <c r="H11" s="58">
        <v>0</v>
      </c>
      <c r="I11" s="58">
        <v>0</v>
      </c>
      <c r="J11" s="58">
        <v>0</v>
      </c>
      <c r="K11" s="58">
        <v>0</v>
      </c>
      <c r="L11" s="58">
        <v>0</v>
      </c>
      <c r="M11" s="58">
        <v>0</v>
      </c>
      <c r="N11" s="76">
        <v>0</v>
      </c>
      <c r="O11" s="76">
        <v>0</v>
      </c>
      <c r="P11" s="76">
        <v>0</v>
      </c>
      <c r="Q11" s="76">
        <v>0</v>
      </c>
      <c r="R11" s="76">
        <v>0</v>
      </c>
      <c r="S11" s="58">
        <v>0</v>
      </c>
    </row>
    <row r="12" spans="1:19" ht="12" x14ac:dyDescent="0.2">
      <c r="A12" s="13"/>
      <c r="B12" s="2" t="s">
        <v>25</v>
      </c>
      <c r="C12" s="14">
        <v>151</v>
      </c>
      <c r="D12" s="14"/>
      <c r="E12" s="11" t="s">
        <v>11</v>
      </c>
      <c r="F12" s="13"/>
      <c r="G12" s="57" t="s">
        <v>26</v>
      </c>
      <c r="H12" s="58">
        <v>0</v>
      </c>
      <c r="I12" s="58">
        <v>0</v>
      </c>
      <c r="J12" s="58">
        <v>0</v>
      </c>
      <c r="K12" s="58">
        <v>0</v>
      </c>
      <c r="L12" s="58">
        <v>0</v>
      </c>
      <c r="M12" s="58">
        <v>0</v>
      </c>
      <c r="N12" s="76">
        <v>0</v>
      </c>
      <c r="O12" s="76">
        <v>0</v>
      </c>
      <c r="P12" s="76">
        <v>0</v>
      </c>
      <c r="Q12" s="76">
        <v>0</v>
      </c>
      <c r="R12" s="76">
        <v>0</v>
      </c>
      <c r="S12" s="58">
        <v>0</v>
      </c>
    </row>
    <row r="13" spans="1:19" ht="12" x14ac:dyDescent="0.2">
      <c r="A13" s="8"/>
      <c r="B13" s="2" t="s">
        <v>27</v>
      </c>
      <c r="C13" s="10" t="s">
        <v>28</v>
      </c>
      <c r="D13" s="10"/>
      <c r="E13" s="11" t="s">
        <v>11</v>
      </c>
      <c r="G13" s="57" t="s">
        <v>29</v>
      </c>
      <c r="H13" s="58">
        <v>0</v>
      </c>
      <c r="I13" s="58">
        <v>0</v>
      </c>
      <c r="J13" s="58">
        <v>0</v>
      </c>
      <c r="K13" s="58">
        <v>0</v>
      </c>
      <c r="L13" s="58">
        <v>0</v>
      </c>
      <c r="M13" s="58">
        <v>0</v>
      </c>
      <c r="N13" s="76">
        <v>0</v>
      </c>
      <c r="O13" s="76">
        <v>0</v>
      </c>
      <c r="P13" s="76">
        <v>0</v>
      </c>
      <c r="Q13" s="76">
        <v>0</v>
      </c>
      <c r="R13" s="76">
        <v>0</v>
      </c>
      <c r="S13" s="58">
        <v>0</v>
      </c>
    </row>
    <row r="14" spans="1:19" ht="12" x14ac:dyDescent="0.2">
      <c r="A14" s="8"/>
      <c r="B14" s="2" t="s">
        <v>30</v>
      </c>
      <c r="C14" s="10">
        <v>154</v>
      </c>
      <c r="D14" s="10"/>
      <c r="E14" s="11" t="s">
        <v>11</v>
      </c>
      <c r="G14" s="57" t="s">
        <v>31</v>
      </c>
      <c r="H14" s="58">
        <v>0</v>
      </c>
      <c r="I14" s="58">
        <v>0</v>
      </c>
      <c r="J14" s="58">
        <v>0</v>
      </c>
      <c r="K14" s="58">
        <v>0</v>
      </c>
      <c r="L14" s="58">
        <v>0</v>
      </c>
      <c r="M14" s="58">
        <v>0</v>
      </c>
      <c r="N14" s="76">
        <v>0</v>
      </c>
      <c r="O14" s="76">
        <v>0</v>
      </c>
      <c r="P14" s="76">
        <v>0</v>
      </c>
      <c r="Q14" s="76">
        <v>0</v>
      </c>
      <c r="R14" s="76">
        <v>0</v>
      </c>
      <c r="S14" s="58">
        <v>0</v>
      </c>
    </row>
    <row r="15" spans="1:19" ht="12" x14ac:dyDescent="0.2">
      <c r="A15" s="8"/>
      <c r="B15" s="2" t="s">
        <v>32</v>
      </c>
      <c r="C15" s="10" t="s">
        <v>33</v>
      </c>
      <c r="D15" s="10"/>
      <c r="E15" s="11" t="s">
        <v>11</v>
      </c>
      <c r="G15" s="57" t="s">
        <v>34</v>
      </c>
      <c r="H15" s="58">
        <v>0</v>
      </c>
      <c r="I15" s="58">
        <v>0</v>
      </c>
      <c r="J15" s="58">
        <v>0</v>
      </c>
      <c r="K15" s="58">
        <v>0</v>
      </c>
      <c r="L15" s="58">
        <v>0</v>
      </c>
      <c r="M15" s="58">
        <v>0</v>
      </c>
      <c r="N15" s="76">
        <v>0</v>
      </c>
      <c r="O15" s="76">
        <v>0</v>
      </c>
      <c r="P15" s="76">
        <v>0</v>
      </c>
      <c r="Q15" s="76">
        <v>0</v>
      </c>
      <c r="R15" s="76">
        <v>0</v>
      </c>
      <c r="S15" s="58">
        <v>0</v>
      </c>
    </row>
    <row r="16" spans="1:19" ht="12" x14ac:dyDescent="0.2">
      <c r="A16" s="8"/>
      <c r="B16" s="2" t="s">
        <v>35</v>
      </c>
      <c r="C16" s="10">
        <v>157</v>
      </c>
      <c r="D16" s="10"/>
      <c r="E16" s="11" t="s">
        <v>11</v>
      </c>
      <c r="G16" s="57" t="s">
        <v>36</v>
      </c>
      <c r="H16" s="58">
        <v>0</v>
      </c>
      <c r="I16" s="58">
        <v>0</v>
      </c>
      <c r="J16" s="58">
        <v>0</v>
      </c>
      <c r="K16" s="58">
        <v>0</v>
      </c>
      <c r="L16" s="58">
        <v>0</v>
      </c>
      <c r="M16" s="58">
        <v>0</v>
      </c>
      <c r="N16" s="76">
        <v>0</v>
      </c>
      <c r="O16" s="76">
        <v>0</v>
      </c>
      <c r="P16" s="76">
        <v>0</v>
      </c>
      <c r="Q16" s="76">
        <v>0</v>
      </c>
      <c r="R16" s="76">
        <v>0</v>
      </c>
      <c r="S16" s="58">
        <v>0</v>
      </c>
    </row>
    <row r="17" spans="1:19" ht="12" x14ac:dyDescent="0.2">
      <c r="A17" s="15"/>
      <c r="B17" s="2" t="s">
        <v>37</v>
      </c>
      <c r="C17" s="78" t="s">
        <v>38</v>
      </c>
      <c r="D17" s="15"/>
      <c r="E17" s="11" t="s">
        <v>11</v>
      </c>
      <c r="F17" s="16"/>
      <c r="G17" s="59" t="s">
        <v>39</v>
      </c>
      <c r="H17" s="60">
        <v>0</v>
      </c>
      <c r="I17" s="60">
        <v>0</v>
      </c>
      <c r="J17" s="60">
        <v>0</v>
      </c>
      <c r="K17" s="60">
        <v>0</v>
      </c>
      <c r="L17" s="60">
        <v>0</v>
      </c>
      <c r="M17" s="60">
        <v>0</v>
      </c>
      <c r="N17" s="80">
        <v>0</v>
      </c>
      <c r="O17" s="80">
        <v>0</v>
      </c>
      <c r="P17" s="80">
        <v>0</v>
      </c>
      <c r="Q17" s="80">
        <v>0</v>
      </c>
      <c r="R17" s="80">
        <v>0</v>
      </c>
      <c r="S17" s="60">
        <v>0</v>
      </c>
    </row>
    <row r="18" spans="1:19" x14ac:dyDescent="0.2">
      <c r="A18" s="8"/>
      <c r="B18" s="2" t="s">
        <v>40</v>
      </c>
      <c r="C18" s="10">
        <v>2</v>
      </c>
      <c r="D18" s="10"/>
      <c r="E18" s="12"/>
      <c r="G18" s="57" t="s">
        <v>41</v>
      </c>
      <c r="H18" s="56">
        <f t="shared" ref="H18:S18" si="3">H19+H27</f>
        <v>26.446999999999999</v>
      </c>
      <c r="I18" s="56">
        <f t="shared" si="3"/>
        <v>21.798000000000002</v>
      </c>
      <c r="J18" s="56">
        <f t="shared" si="3"/>
        <v>19.613000000000003</v>
      </c>
      <c r="K18" s="56">
        <f t="shared" si="3"/>
        <v>13.006999999999998</v>
      </c>
      <c r="L18" s="56">
        <f t="shared" si="3"/>
        <v>11.504000000000001</v>
      </c>
      <c r="M18" s="56">
        <f t="shared" si="3"/>
        <v>12.208</v>
      </c>
      <c r="N18" s="77">
        <f t="shared" si="3"/>
        <v>3.8199999999999985</v>
      </c>
      <c r="O18" s="77">
        <f t="shared" si="3"/>
        <v>3</v>
      </c>
      <c r="P18" s="77">
        <f t="shared" si="3"/>
        <v>3</v>
      </c>
      <c r="Q18" s="77">
        <f t="shared" si="3"/>
        <v>3</v>
      </c>
      <c r="R18" s="77">
        <f t="shared" si="3"/>
        <v>3</v>
      </c>
      <c r="S18" s="56">
        <f t="shared" si="3"/>
        <v>3</v>
      </c>
    </row>
    <row r="19" spans="1:19" x14ac:dyDescent="0.2">
      <c r="A19" s="8"/>
      <c r="B19" s="2" t="s">
        <v>42</v>
      </c>
      <c r="C19" s="10" t="s">
        <v>43</v>
      </c>
      <c r="D19" s="10"/>
      <c r="E19" s="12"/>
      <c r="G19" s="57" t="s">
        <v>44</v>
      </c>
      <c r="H19" s="56">
        <f t="shared" ref="H19:S19" si="4">SUM(H21:H26)</f>
        <v>11.683</v>
      </c>
      <c r="I19" s="56">
        <f t="shared" si="4"/>
        <v>4.5880000000000001</v>
      </c>
      <c r="J19" s="56">
        <f t="shared" si="4"/>
        <v>3.8530000000000002</v>
      </c>
      <c r="K19" s="56">
        <f t="shared" si="4"/>
        <v>3.4470000000000001</v>
      </c>
      <c r="L19" s="56">
        <f t="shared" si="4"/>
        <v>5.4509999999999996</v>
      </c>
      <c r="M19" s="56">
        <f t="shared" si="4"/>
        <v>3.2490000000000001</v>
      </c>
      <c r="N19" s="77">
        <f t="shared" si="4"/>
        <v>4.2699999999999996</v>
      </c>
      <c r="O19" s="77">
        <f t="shared" si="4"/>
        <v>3</v>
      </c>
      <c r="P19" s="77">
        <f t="shared" si="4"/>
        <v>3</v>
      </c>
      <c r="Q19" s="77">
        <f t="shared" si="4"/>
        <v>3</v>
      </c>
      <c r="R19" s="77">
        <f t="shared" si="4"/>
        <v>3</v>
      </c>
      <c r="S19" s="56">
        <f t="shared" si="4"/>
        <v>3</v>
      </c>
    </row>
    <row r="20" spans="1:19" ht="12" x14ac:dyDescent="0.2">
      <c r="A20" s="17"/>
      <c r="B20" s="2" t="s">
        <v>45</v>
      </c>
      <c r="C20" s="78" t="s">
        <v>46</v>
      </c>
      <c r="D20" s="15"/>
      <c r="E20" s="11" t="s">
        <v>11</v>
      </c>
      <c r="F20" s="17"/>
      <c r="G20" s="59" t="s">
        <v>47</v>
      </c>
      <c r="H20" s="61">
        <v>11.683</v>
      </c>
      <c r="I20" s="61">
        <v>4.5880000000000001</v>
      </c>
      <c r="J20" s="61">
        <v>3.8530000000000002</v>
      </c>
      <c r="K20" s="61">
        <v>3.4470000000000001</v>
      </c>
      <c r="L20" s="61">
        <v>5.4509999999999996</v>
      </c>
      <c r="M20" s="61">
        <v>3.2490000000000001</v>
      </c>
      <c r="N20" s="82">
        <v>4.2699999999999996</v>
      </c>
      <c r="O20" s="82">
        <v>3</v>
      </c>
      <c r="P20" s="82">
        <v>3</v>
      </c>
      <c r="Q20" s="82">
        <v>3</v>
      </c>
      <c r="R20" s="82">
        <v>3</v>
      </c>
      <c r="S20" s="61">
        <v>3</v>
      </c>
    </row>
    <row r="21" spans="1:19" ht="12" x14ac:dyDescent="0.2">
      <c r="A21" s="8"/>
      <c r="B21" s="2" t="s">
        <v>48</v>
      </c>
      <c r="C21" s="18" t="s">
        <v>49</v>
      </c>
      <c r="D21" s="18"/>
      <c r="E21" s="11" t="s">
        <v>11</v>
      </c>
      <c r="G21" s="57" t="s">
        <v>50</v>
      </c>
      <c r="H21" s="58">
        <v>11.683</v>
      </c>
      <c r="I21" s="58">
        <v>4.5880000000000001</v>
      </c>
      <c r="J21" s="58">
        <v>3.8530000000000002</v>
      </c>
      <c r="K21" s="58">
        <v>3.4470000000000001</v>
      </c>
      <c r="L21" s="58">
        <v>5.4509999999999996</v>
      </c>
      <c r="M21" s="58">
        <v>3.2490000000000001</v>
      </c>
      <c r="N21" s="76">
        <v>4.2699999999999996</v>
      </c>
      <c r="O21" s="76">
        <v>3</v>
      </c>
      <c r="P21" s="76">
        <v>3</v>
      </c>
      <c r="Q21" s="76">
        <v>3</v>
      </c>
      <c r="R21" s="76">
        <v>3</v>
      </c>
      <c r="S21" s="58">
        <v>3</v>
      </c>
    </row>
    <row r="22" spans="1:19" ht="12" x14ac:dyDescent="0.2">
      <c r="A22" s="8"/>
      <c r="B22" s="2" t="s">
        <v>51</v>
      </c>
      <c r="C22" s="10" t="s">
        <v>52</v>
      </c>
      <c r="D22" s="10"/>
      <c r="E22" s="11" t="s">
        <v>11</v>
      </c>
      <c r="G22" s="57" t="s">
        <v>53</v>
      </c>
      <c r="H22" s="58">
        <v>0</v>
      </c>
      <c r="I22" s="58">
        <v>0</v>
      </c>
      <c r="J22" s="58">
        <v>0</v>
      </c>
      <c r="K22" s="58">
        <v>0</v>
      </c>
      <c r="L22" s="58">
        <v>0</v>
      </c>
      <c r="M22" s="58">
        <v>0</v>
      </c>
      <c r="N22" s="76">
        <v>0</v>
      </c>
      <c r="O22" s="76">
        <v>0</v>
      </c>
      <c r="P22" s="76">
        <v>0</v>
      </c>
      <c r="Q22" s="76">
        <v>0</v>
      </c>
      <c r="R22" s="76">
        <v>0</v>
      </c>
      <c r="S22" s="58">
        <v>0</v>
      </c>
    </row>
    <row r="23" spans="1:19" ht="12" x14ac:dyDescent="0.2">
      <c r="A23" s="8"/>
      <c r="B23" s="2" t="s">
        <v>54</v>
      </c>
      <c r="C23" s="10">
        <v>257</v>
      </c>
      <c r="D23" s="10"/>
      <c r="E23" s="11" t="s">
        <v>11</v>
      </c>
      <c r="G23" s="57" t="s">
        <v>55</v>
      </c>
      <c r="H23" s="58">
        <v>0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76">
        <v>0</v>
      </c>
      <c r="O23" s="76">
        <v>0</v>
      </c>
      <c r="P23" s="76">
        <v>0</v>
      </c>
      <c r="Q23" s="76">
        <v>0</v>
      </c>
      <c r="R23" s="76">
        <v>0</v>
      </c>
      <c r="S23" s="58">
        <v>0</v>
      </c>
    </row>
    <row r="24" spans="1:19" ht="12" x14ac:dyDescent="0.2">
      <c r="A24" s="19"/>
      <c r="B24" s="2" t="s">
        <v>56</v>
      </c>
      <c r="C24" s="10" t="s">
        <v>57</v>
      </c>
      <c r="D24" s="10"/>
      <c r="E24" s="11" t="s">
        <v>11</v>
      </c>
      <c r="F24" s="19"/>
      <c r="G24" s="57" t="s">
        <v>58</v>
      </c>
      <c r="H24" s="58">
        <v>0</v>
      </c>
      <c r="I24" s="58">
        <v>0</v>
      </c>
      <c r="J24" s="58">
        <v>0</v>
      </c>
      <c r="K24" s="58">
        <v>0</v>
      </c>
      <c r="L24" s="58">
        <v>0</v>
      </c>
      <c r="M24" s="58">
        <v>0</v>
      </c>
      <c r="N24" s="76">
        <v>0</v>
      </c>
      <c r="O24" s="76">
        <v>0</v>
      </c>
      <c r="P24" s="76">
        <v>0</v>
      </c>
      <c r="Q24" s="76">
        <v>0</v>
      </c>
      <c r="R24" s="76">
        <v>0</v>
      </c>
      <c r="S24" s="58">
        <v>0</v>
      </c>
    </row>
    <row r="25" spans="1:19" ht="12" x14ac:dyDescent="0.2">
      <c r="A25" s="19"/>
      <c r="B25" s="2" t="s">
        <v>59</v>
      </c>
      <c r="C25" s="10" t="s">
        <v>60</v>
      </c>
      <c r="D25" s="10"/>
      <c r="E25" s="11" t="s">
        <v>11</v>
      </c>
      <c r="F25" s="19"/>
      <c r="G25" s="57" t="s">
        <v>61</v>
      </c>
      <c r="H25" s="58">
        <v>0</v>
      </c>
      <c r="I25" s="58">
        <v>0</v>
      </c>
      <c r="J25" s="58">
        <v>0</v>
      </c>
      <c r="K25" s="58">
        <v>0</v>
      </c>
      <c r="L25" s="58">
        <v>0</v>
      </c>
      <c r="M25" s="58">
        <v>0</v>
      </c>
      <c r="N25" s="76">
        <v>0</v>
      </c>
      <c r="O25" s="76">
        <v>0</v>
      </c>
      <c r="P25" s="76">
        <v>0</v>
      </c>
      <c r="Q25" s="76">
        <v>0</v>
      </c>
      <c r="R25" s="76">
        <v>0</v>
      </c>
      <c r="S25" s="58">
        <v>0</v>
      </c>
    </row>
    <row r="26" spans="1:19" ht="12" x14ac:dyDescent="0.2">
      <c r="A26" s="8"/>
      <c r="B26" s="2" t="s">
        <v>62</v>
      </c>
      <c r="C26" s="10">
        <v>28</v>
      </c>
      <c r="D26" s="10"/>
      <c r="E26" s="11" t="s">
        <v>11</v>
      </c>
      <c r="G26" s="57" t="s">
        <v>63</v>
      </c>
      <c r="H26" s="58">
        <v>0</v>
      </c>
      <c r="I26" s="58">
        <v>0</v>
      </c>
      <c r="J26" s="58">
        <v>0</v>
      </c>
      <c r="K26" s="58">
        <v>0</v>
      </c>
      <c r="L26" s="58">
        <v>0</v>
      </c>
      <c r="M26" s="58">
        <v>0</v>
      </c>
      <c r="N26" s="76">
        <v>0</v>
      </c>
      <c r="O26" s="76">
        <v>0</v>
      </c>
      <c r="P26" s="76">
        <v>0</v>
      </c>
      <c r="Q26" s="76">
        <v>0</v>
      </c>
      <c r="R26" s="76">
        <v>0</v>
      </c>
      <c r="S26" s="58">
        <v>0</v>
      </c>
    </row>
    <row r="27" spans="1:19" x14ac:dyDescent="0.2">
      <c r="A27" s="8"/>
      <c r="B27" s="2" t="s">
        <v>64</v>
      </c>
      <c r="C27" s="10">
        <v>29</v>
      </c>
      <c r="D27" s="10"/>
      <c r="E27" s="12"/>
      <c r="G27" s="57" t="s">
        <v>65</v>
      </c>
      <c r="H27" s="56">
        <f t="shared" ref="H27:S27" si="5">SUM(H28:H30)</f>
        <v>14.763999999999999</v>
      </c>
      <c r="I27" s="56">
        <f t="shared" si="5"/>
        <v>17.21</v>
      </c>
      <c r="J27" s="56">
        <f t="shared" si="5"/>
        <v>15.760000000000002</v>
      </c>
      <c r="K27" s="56">
        <f t="shared" si="5"/>
        <v>9.5599999999999987</v>
      </c>
      <c r="L27" s="56">
        <f t="shared" si="5"/>
        <v>6.0530000000000008</v>
      </c>
      <c r="M27" s="56">
        <f t="shared" si="5"/>
        <v>8.9589999999999996</v>
      </c>
      <c r="N27" s="77">
        <f t="shared" si="5"/>
        <v>-0.45000000000000107</v>
      </c>
      <c r="O27" s="77">
        <f t="shared" si="5"/>
        <v>0</v>
      </c>
      <c r="P27" s="77">
        <f t="shared" si="5"/>
        <v>0</v>
      </c>
      <c r="Q27" s="77">
        <f t="shared" si="5"/>
        <v>0</v>
      </c>
      <c r="R27" s="77">
        <f t="shared" si="5"/>
        <v>0</v>
      </c>
      <c r="S27" s="56">
        <f t="shared" si="5"/>
        <v>0</v>
      </c>
    </row>
    <row r="28" spans="1:19" ht="12" x14ac:dyDescent="0.2">
      <c r="A28" s="8"/>
      <c r="B28" s="2" t="s">
        <v>66</v>
      </c>
      <c r="C28" s="8" t="s">
        <v>67</v>
      </c>
      <c r="D28" s="8"/>
      <c r="E28" s="11" t="s">
        <v>11</v>
      </c>
      <c r="G28" s="57" t="s">
        <v>68</v>
      </c>
      <c r="H28" s="58">
        <v>0</v>
      </c>
      <c r="I28" s="58">
        <v>0</v>
      </c>
      <c r="J28" s="58">
        <v>0</v>
      </c>
      <c r="K28" s="58">
        <v>0</v>
      </c>
      <c r="L28" s="58">
        <v>0</v>
      </c>
      <c r="M28" s="58">
        <v>0</v>
      </c>
      <c r="N28" s="76">
        <v>0</v>
      </c>
      <c r="O28" s="76">
        <v>0</v>
      </c>
      <c r="P28" s="76">
        <v>0</v>
      </c>
      <c r="Q28" s="76">
        <v>0</v>
      </c>
      <c r="R28" s="76">
        <v>0</v>
      </c>
      <c r="S28" s="58">
        <v>0</v>
      </c>
    </row>
    <row r="29" spans="1:19" ht="12" x14ac:dyDescent="0.2">
      <c r="A29" s="8"/>
      <c r="B29" s="2" t="s">
        <v>69</v>
      </c>
      <c r="C29" s="10">
        <v>298</v>
      </c>
      <c r="D29" s="10"/>
      <c r="E29" s="11" t="s">
        <v>11</v>
      </c>
      <c r="G29" s="57" t="s">
        <v>70</v>
      </c>
      <c r="H29" s="58">
        <v>4.0419999999999998</v>
      </c>
      <c r="I29" s="58">
        <v>14.763</v>
      </c>
      <c r="J29" s="58">
        <v>17.21</v>
      </c>
      <c r="K29" s="58">
        <v>15.76</v>
      </c>
      <c r="L29" s="58">
        <v>9.56</v>
      </c>
      <c r="M29" s="58">
        <v>6.0529999999999999</v>
      </c>
      <c r="N29" s="76">
        <v>8.9499999999999993</v>
      </c>
      <c r="O29" s="76">
        <v>0</v>
      </c>
      <c r="P29" s="76">
        <v>0</v>
      </c>
      <c r="Q29" s="76">
        <v>0</v>
      </c>
      <c r="R29" s="76">
        <v>0</v>
      </c>
      <c r="S29" s="58">
        <v>0</v>
      </c>
    </row>
    <row r="30" spans="1:19" ht="12" x14ac:dyDescent="0.2">
      <c r="A30" s="8"/>
      <c r="B30" s="2" t="s">
        <v>71</v>
      </c>
      <c r="C30" s="10">
        <v>299</v>
      </c>
      <c r="D30" s="10"/>
      <c r="E30" s="11" t="s">
        <v>72</v>
      </c>
      <c r="G30" s="57" t="s">
        <v>73</v>
      </c>
      <c r="H30" s="58">
        <v>10.722</v>
      </c>
      <c r="I30" s="58">
        <v>2.4470000000000001</v>
      </c>
      <c r="J30" s="58">
        <v>-1.45</v>
      </c>
      <c r="K30" s="58">
        <v>-6.2</v>
      </c>
      <c r="L30" s="58">
        <v>-3.5070000000000001</v>
      </c>
      <c r="M30" s="58">
        <v>2.9060000000000001</v>
      </c>
      <c r="N30" s="76">
        <v>-9.4</v>
      </c>
      <c r="O30" s="76">
        <v>0</v>
      </c>
      <c r="P30" s="76">
        <v>0</v>
      </c>
      <c r="Q30" s="76">
        <v>0</v>
      </c>
      <c r="R30" s="76">
        <v>0</v>
      </c>
      <c r="S30" s="58">
        <v>0</v>
      </c>
    </row>
    <row r="31" spans="1:19" x14ac:dyDescent="0.2">
      <c r="A31" s="20"/>
      <c r="B31" s="2" t="s">
        <v>368</v>
      </c>
      <c r="C31" s="83" t="s">
        <v>369</v>
      </c>
      <c r="D31" s="21"/>
      <c r="E31" s="22"/>
      <c r="F31" s="20"/>
      <c r="G31" s="62" t="s">
        <v>74</v>
      </c>
      <c r="H31" s="63">
        <f t="shared" ref="H31:S31" si="6">H4-H18</f>
        <v>0</v>
      </c>
      <c r="I31" s="63">
        <f t="shared" si="6"/>
        <v>9.9999999999766942E-4</v>
      </c>
      <c r="J31" s="63">
        <f t="shared" si="6"/>
        <v>9.9999999999766942E-4</v>
      </c>
      <c r="K31" s="63">
        <f t="shared" si="6"/>
        <v>0</v>
      </c>
      <c r="L31" s="63">
        <f t="shared" si="6"/>
        <v>0</v>
      </c>
      <c r="M31" s="63">
        <f t="shared" si="6"/>
        <v>0.35699999999999932</v>
      </c>
      <c r="N31" s="85">
        <f t="shared" si="6"/>
        <v>-2.0999999999998131E-2</v>
      </c>
      <c r="O31" s="85">
        <f t="shared" si="6"/>
        <v>0</v>
      </c>
      <c r="P31" s="85">
        <f t="shared" si="6"/>
        <v>0</v>
      </c>
      <c r="Q31" s="85">
        <f t="shared" si="6"/>
        <v>0</v>
      </c>
      <c r="R31" s="85">
        <f t="shared" si="6"/>
        <v>0</v>
      </c>
      <c r="S31" s="63">
        <f t="shared" si="6"/>
        <v>0</v>
      </c>
    </row>
    <row r="32" spans="1:19" x14ac:dyDescent="0.2">
      <c r="A32" s="8"/>
      <c r="B32" s="2"/>
      <c r="C32" s="10"/>
      <c r="D32" s="10"/>
      <c r="E32" s="9"/>
      <c r="G32" s="53" t="s">
        <v>75</v>
      </c>
      <c r="H32" s="64">
        <v>2011</v>
      </c>
      <c r="I32" s="64">
        <f t="shared" ref="I32:S32" si="7">H32+1</f>
        <v>2012</v>
      </c>
      <c r="J32" s="64">
        <f t="shared" si="7"/>
        <v>2013</v>
      </c>
      <c r="K32" s="64">
        <f t="shared" si="7"/>
        <v>2014</v>
      </c>
      <c r="L32" s="64">
        <f t="shared" si="7"/>
        <v>2015</v>
      </c>
      <c r="M32" s="64">
        <f t="shared" si="7"/>
        <v>2016</v>
      </c>
      <c r="N32" s="87">
        <f t="shared" si="7"/>
        <v>2017</v>
      </c>
      <c r="O32" s="87">
        <f t="shared" si="7"/>
        <v>2018</v>
      </c>
      <c r="P32" s="87">
        <f t="shared" si="7"/>
        <v>2019</v>
      </c>
      <c r="Q32" s="87">
        <f t="shared" si="7"/>
        <v>2020</v>
      </c>
      <c r="R32" s="87">
        <f t="shared" si="7"/>
        <v>2021</v>
      </c>
      <c r="S32" s="64">
        <f t="shared" si="7"/>
        <v>2022</v>
      </c>
    </row>
    <row r="33" spans="1:19" x14ac:dyDescent="0.2">
      <c r="A33" s="8"/>
      <c r="B33" s="2" t="s">
        <v>76</v>
      </c>
      <c r="C33" s="10">
        <v>3</v>
      </c>
      <c r="D33" s="10"/>
      <c r="E33" s="9"/>
      <c r="G33" s="55" t="s">
        <v>77</v>
      </c>
      <c r="H33" s="56">
        <f t="shared" ref="H33:S33" si="8">SUM(H34:H37)</f>
        <v>114.542</v>
      </c>
      <c r="I33" s="56">
        <f t="shared" si="8"/>
        <v>126.794</v>
      </c>
      <c r="J33" s="56">
        <f t="shared" si="8"/>
        <v>126.211</v>
      </c>
      <c r="K33" s="56">
        <f t="shared" si="8"/>
        <v>110.572</v>
      </c>
      <c r="L33" s="56">
        <f t="shared" si="8"/>
        <v>126.845</v>
      </c>
      <c r="M33" s="56">
        <f t="shared" si="8"/>
        <v>119.91</v>
      </c>
      <c r="N33" s="77">
        <f t="shared" si="8"/>
        <v>121.1</v>
      </c>
      <c r="O33" s="77">
        <f t="shared" si="8"/>
        <v>128.68</v>
      </c>
      <c r="P33" s="77">
        <f t="shared" si="8"/>
        <v>132.5</v>
      </c>
      <c r="Q33" s="77">
        <f t="shared" si="8"/>
        <v>132.5</v>
      </c>
      <c r="R33" s="77">
        <f t="shared" si="8"/>
        <v>132.5</v>
      </c>
      <c r="S33" s="56">
        <f t="shared" si="8"/>
        <v>149.5</v>
      </c>
    </row>
    <row r="34" spans="1:19" ht="12" x14ac:dyDescent="0.2">
      <c r="A34" s="8"/>
      <c r="B34" s="2" t="s">
        <v>78</v>
      </c>
      <c r="C34" s="10">
        <v>30</v>
      </c>
      <c r="D34" s="10"/>
      <c r="E34" s="11" t="s">
        <v>11</v>
      </c>
      <c r="G34" s="57" t="s">
        <v>79</v>
      </c>
      <c r="H34" s="58">
        <v>0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76">
        <v>0</v>
      </c>
      <c r="O34" s="76">
        <v>0</v>
      </c>
      <c r="P34" s="76">
        <v>0</v>
      </c>
      <c r="Q34" s="76">
        <v>0</v>
      </c>
      <c r="R34" s="76">
        <v>0</v>
      </c>
      <c r="S34" s="58">
        <v>0</v>
      </c>
    </row>
    <row r="35" spans="1:19" ht="12" x14ac:dyDescent="0.2">
      <c r="A35" s="8"/>
      <c r="B35" s="2" t="s">
        <v>80</v>
      </c>
      <c r="C35" s="10">
        <v>32</v>
      </c>
      <c r="D35" s="10"/>
      <c r="E35" s="11" t="s">
        <v>11</v>
      </c>
      <c r="G35" s="57" t="s">
        <v>81</v>
      </c>
      <c r="H35" s="58">
        <v>0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76">
        <v>0</v>
      </c>
      <c r="O35" s="76">
        <v>0</v>
      </c>
      <c r="P35" s="76">
        <v>0</v>
      </c>
      <c r="Q35" s="76">
        <v>0</v>
      </c>
      <c r="R35" s="76">
        <v>0</v>
      </c>
      <c r="S35" s="58">
        <v>0</v>
      </c>
    </row>
    <row r="36" spans="1:19" ht="12" x14ac:dyDescent="0.2">
      <c r="A36" s="13"/>
      <c r="B36" s="2" t="s">
        <v>82</v>
      </c>
      <c r="C36" s="10">
        <v>35</v>
      </c>
      <c r="D36" s="10"/>
      <c r="E36" s="11" t="s">
        <v>11</v>
      </c>
      <c r="F36" s="13"/>
      <c r="G36" s="57" t="s">
        <v>83</v>
      </c>
      <c r="H36" s="58">
        <v>114.542</v>
      </c>
      <c r="I36" s="58">
        <v>126.794</v>
      </c>
      <c r="J36" s="58">
        <v>126.211</v>
      </c>
      <c r="K36" s="58">
        <v>110.572</v>
      </c>
      <c r="L36" s="58">
        <v>126.845</v>
      </c>
      <c r="M36" s="58">
        <v>119.91</v>
      </c>
      <c r="N36" s="76">
        <v>121.1</v>
      </c>
      <c r="O36" s="76">
        <v>128.68</v>
      </c>
      <c r="P36" s="76">
        <v>132.5</v>
      </c>
      <c r="Q36" s="76">
        <v>132.5</v>
      </c>
      <c r="R36" s="76">
        <v>132.5</v>
      </c>
      <c r="S36" s="58">
        <v>149.5</v>
      </c>
    </row>
    <row r="37" spans="1:19" ht="12" x14ac:dyDescent="0.2">
      <c r="A37" s="8"/>
      <c r="B37" s="2" t="s">
        <v>84</v>
      </c>
      <c r="C37" s="10">
        <v>38</v>
      </c>
      <c r="D37" s="10"/>
      <c r="E37" s="11" t="s">
        <v>72</v>
      </c>
      <c r="G37" s="57" t="s">
        <v>85</v>
      </c>
      <c r="H37" s="58">
        <v>0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76">
        <v>0</v>
      </c>
      <c r="O37" s="76">
        <v>0</v>
      </c>
      <c r="P37" s="76">
        <v>0</v>
      </c>
      <c r="Q37" s="76">
        <v>0</v>
      </c>
      <c r="R37" s="76">
        <v>0</v>
      </c>
      <c r="S37" s="58">
        <v>0</v>
      </c>
    </row>
    <row r="38" spans="1:19" x14ac:dyDescent="0.2">
      <c r="A38" s="8"/>
      <c r="B38" s="2" t="s">
        <v>86</v>
      </c>
      <c r="C38" s="10">
        <v>4</v>
      </c>
      <c r="D38" s="10"/>
      <c r="E38" s="23"/>
      <c r="G38" s="57" t="s">
        <v>87</v>
      </c>
      <c r="H38" s="56">
        <f t="shared" ref="H38:S38" si="9">H39+H40</f>
        <v>0</v>
      </c>
      <c r="I38" s="56">
        <f t="shared" si="9"/>
        <v>0</v>
      </c>
      <c r="J38" s="56">
        <f t="shared" si="9"/>
        <v>0</v>
      </c>
      <c r="K38" s="56">
        <f t="shared" si="9"/>
        <v>0</v>
      </c>
      <c r="L38" s="56">
        <f t="shared" si="9"/>
        <v>0</v>
      </c>
      <c r="M38" s="56">
        <f t="shared" si="9"/>
        <v>0</v>
      </c>
      <c r="N38" s="77">
        <f t="shared" si="9"/>
        <v>0</v>
      </c>
      <c r="O38" s="77">
        <f t="shared" si="9"/>
        <v>0</v>
      </c>
      <c r="P38" s="77">
        <f t="shared" si="9"/>
        <v>0</v>
      </c>
      <c r="Q38" s="77">
        <f t="shared" si="9"/>
        <v>0</v>
      </c>
      <c r="R38" s="77">
        <f t="shared" si="9"/>
        <v>0</v>
      </c>
      <c r="S38" s="56">
        <f t="shared" si="9"/>
        <v>0</v>
      </c>
    </row>
    <row r="39" spans="1:19" ht="12" x14ac:dyDescent="0.2">
      <c r="A39" s="8"/>
      <c r="B39" s="2" t="s">
        <v>88</v>
      </c>
      <c r="C39" s="10">
        <v>41</v>
      </c>
      <c r="D39" s="10"/>
      <c r="E39" s="11" t="s">
        <v>89</v>
      </c>
      <c r="G39" s="57" t="s">
        <v>90</v>
      </c>
      <c r="H39" s="58">
        <v>0</v>
      </c>
      <c r="I39" s="58">
        <v>0</v>
      </c>
      <c r="J39" s="58">
        <v>0</v>
      </c>
      <c r="K39" s="58">
        <v>0</v>
      </c>
      <c r="L39" s="58">
        <v>0</v>
      </c>
      <c r="M39" s="58">
        <v>0</v>
      </c>
      <c r="N39" s="76">
        <v>0</v>
      </c>
      <c r="O39" s="76">
        <v>0</v>
      </c>
      <c r="P39" s="76">
        <v>0</v>
      </c>
      <c r="Q39" s="76">
        <v>0</v>
      </c>
      <c r="R39" s="76">
        <v>0</v>
      </c>
      <c r="S39" s="58">
        <v>0</v>
      </c>
    </row>
    <row r="40" spans="1:19" ht="12" x14ac:dyDescent="0.2">
      <c r="A40" s="8"/>
      <c r="B40" s="2" t="s">
        <v>91</v>
      </c>
      <c r="C40" s="10">
        <v>45</v>
      </c>
      <c r="D40" s="10"/>
      <c r="E40" s="11" t="s">
        <v>89</v>
      </c>
      <c r="G40" s="57" t="s">
        <v>92</v>
      </c>
      <c r="H40" s="58">
        <v>0</v>
      </c>
      <c r="I40" s="58">
        <v>0</v>
      </c>
      <c r="J40" s="58">
        <v>0</v>
      </c>
      <c r="K40" s="58">
        <v>0</v>
      </c>
      <c r="L40" s="58">
        <v>0</v>
      </c>
      <c r="M40" s="58">
        <v>0</v>
      </c>
      <c r="N40" s="76">
        <v>0</v>
      </c>
      <c r="O40" s="76">
        <v>0</v>
      </c>
      <c r="P40" s="76">
        <v>0</v>
      </c>
      <c r="Q40" s="76">
        <v>0</v>
      </c>
      <c r="R40" s="76">
        <v>0</v>
      </c>
      <c r="S40" s="58">
        <v>0</v>
      </c>
    </row>
    <row r="41" spans="1:19" x14ac:dyDescent="0.2">
      <c r="A41" s="13"/>
      <c r="B41" s="2" t="s">
        <v>93</v>
      </c>
      <c r="C41" s="10" t="s">
        <v>94</v>
      </c>
      <c r="D41" s="10"/>
      <c r="E41" s="23"/>
      <c r="F41" s="13"/>
      <c r="G41" s="57" t="s">
        <v>95</v>
      </c>
      <c r="H41" s="56">
        <f t="shared" ref="H41:S41" si="10">SUM(H42:H45)</f>
        <v>-103.88500000000001</v>
      </c>
      <c r="I41" s="56">
        <f t="shared" si="10"/>
        <v>-124.404</v>
      </c>
      <c r="J41" s="56">
        <f t="shared" si="10"/>
        <v>-127.661</v>
      </c>
      <c r="K41" s="56">
        <f t="shared" si="10"/>
        <v>-116.771</v>
      </c>
      <c r="L41" s="56">
        <f t="shared" si="10"/>
        <v>-130.41900000000001</v>
      </c>
      <c r="M41" s="56">
        <f t="shared" si="10"/>
        <v>-117.053</v>
      </c>
      <c r="N41" s="77">
        <f t="shared" si="10"/>
        <v>-130.52000000000001</v>
      </c>
      <c r="O41" s="77">
        <f t="shared" si="10"/>
        <v>-128.79999999999998</v>
      </c>
      <c r="P41" s="77">
        <f t="shared" si="10"/>
        <v>-132.5</v>
      </c>
      <c r="Q41" s="77">
        <f t="shared" si="10"/>
        <v>-132.5</v>
      </c>
      <c r="R41" s="77">
        <f t="shared" si="10"/>
        <v>-132.5</v>
      </c>
      <c r="S41" s="56">
        <f t="shared" si="10"/>
        <v>-149.5</v>
      </c>
    </row>
    <row r="42" spans="1:19" ht="12" x14ac:dyDescent="0.2">
      <c r="A42" s="8"/>
      <c r="B42" s="2" t="s">
        <v>96</v>
      </c>
      <c r="C42" s="10">
        <v>50</v>
      </c>
      <c r="D42" s="10"/>
      <c r="E42" s="11" t="s">
        <v>89</v>
      </c>
      <c r="G42" s="57" t="s">
        <v>97</v>
      </c>
      <c r="H42" s="58">
        <v>-61.642000000000003</v>
      </c>
      <c r="I42" s="58">
        <v>-58.91</v>
      </c>
      <c r="J42" s="58">
        <v>-63.688000000000002</v>
      </c>
      <c r="K42" s="58">
        <v>-58.69</v>
      </c>
      <c r="L42" s="58">
        <v>-59.844999999999999</v>
      </c>
      <c r="M42" s="58">
        <v>-57.438000000000002</v>
      </c>
      <c r="N42" s="76">
        <v>-59.57</v>
      </c>
      <c r="O42" s="76">
        <v>-75.8</v>
      </c>
      <c r="P42" s="76">
        <v>-76</v>
      </c>
      <c r="Q42" s="76">
        <v>-76</v>
      </c>
      <c r="R42" s="76">
        <v>-76</v>
      </c>
      <c r="S42" s="58">
        <v>-77</v>
      </c>
    </row>
    <row r="43" spans="1:19" ht="12" x14ac:dyDescent="0.2">
      <c r="A43" s="8"/>
      <c r="B43" s="2" t="s">
        <v>98</v>
      </c>
      <c r="C43" s="10">
        <v>55</v>
      </c>
      <c r="D43" s="10"/>
      <c r="E43" s="11" t="s">
        <v>89</v>
      </c>
      <c r="G43" s="57" t="s">
        <v>99</v>
      </c>
      <c r="H43" s="58">
        <v>-39.618000000000002</v>
      </c>
      <c r="I43" s="58">
        <v>-61.131</v>
      </c>
      <c r="J43" s="58">
        <v>-60.734999999999999</v>
      </c>
      <c r="K43" s="58">
        <v>-54.832999999999998</v>
      </c>
      <c r="L43" s="58">
        <v>-66.093000000000004</v>
      </c>
      <c r="M43" s="58">
        <f>-59.615-M44</f>
        <v>-54.615000000000002</v>
      </c>
      <c r="N43" s="76">
        <v>-66.8</v>
      </c>
      <c r="O43" s="76">
        <v>-50.4</v>
      </c>
      <c r="P43" s="76">
        <v>-53.5</v>
      </c>
      <c r="Q43" s="76">
        <v>-53.5</v>
      </c>
      <c r="R43" s="76">
        <v>-53.5</v>
      </c>
      <c r="S43" s="58">
        <v>-69.5</v>
      </c>
    </row>
    <row r="44" spans="1:19" ht="12" x14ac:dyDescent="0.2">
      <c r="A44" s="13"/>
      <c r="B44" s="2" t="s">
        <v>100</v>
      </c>
      <c r="C44" s="10">
        <v>60</v>
      </c>
      <c r="D44" s="10"/>
      <c r="E44" s="11" t="s">
        <v>89</v>
      </c>
      <c r="F44" s="13"/>
      <c r="G44" s="57" t="s">
        <v>101</v>
      </c>
      <c r="H44" s="58">
        <v>-2.625</v>
      </c>
      <c r="I44" s="58">
        <v>-4.3630000000000004</v>
      </c>
      <c r="J44" s="58">
        <v>-3.238</v>
      </c>
      <c r="K44" s="58">
        <v>-3.2480000000000002</v>
      </c>
      <c r="L44" s="58">
        <v>-4.4809999999999999</v>
      </c>
      <c r="M44" s="58">
        <v>-5</v>
      </c>
      <c r="N44" s="76">
        <v>-4.1500000000000004</v>
      </c>
      <c r="O44" s="76">
        <v>-2.6</v>
      </c>
      <c r="P44" s="76">
        <v>-3</v>
      </c>
      <c r="Q44" s="76">
        <v>-3</v>
      </c>
      <c r="R44" s="76">
        <v>-3</v>
      </c>
      <c r="S44" s="58">
        <v>-3</v>
      </c>
    </row>
    <row r="45" spans="1:19" ht="12" x14ac:dyDescent="0.2">
      <c r="A45" s="8"/>
      <c r="B45" s="2" t="s">
        <v>102</v>
      </c>
      <c r="C45" s="10">
        <v>61</v>
      </c>
      <c r="D45" s="10"/>
      <c r="E45" s="11" t="s">
        <v>89</v>
      </c>
      <c r="G45" s="57" t="s">
        <v>103</v>
      </c>
      <c r="H45" s="58">
        <v>0</v>
      </c>
      <c r="I45" s="58">
        <v>0</v>
      </c>
      <c r="J45" s="58">
        <v>0</v>
      </c>
      <c r="K45" s="58">
        <v>0</v>
      </c>
      <c r="L45" s="58">
        <v>0</v>
      </c>
      <c r="M45" s="58">
        <v>0</v>
      </c>
      <c r="N45" s="76">
        <v>0</v>
      </c>
      <c r="O45" s="76">
        <v>0</v>
      </c>
      <c r="P45" s="76">
        <v>0</v>
      </c>
      <c r="Q45" s="76">
        <v>0</v>
      </c>
      <c r="R45" s="76">
        <v>0</v>
      </c>
      <c r="S45" s="58">
        <v>0</v>
      </c>
    </row>
    <row r="46" spans="1:19" x14ac:dyDescent="0.2">
      <c r="A46" s="8"/>
      <c r="B46" s="2" t="s">
        <v>104</v>
      </c>
      <c r="C46" s="10"/>
      <c r="D46" s="10"/>
      <c r="E46" s="9"/>
      <c r="G46" s="57" t="s">
        <v>105</v>
      </c>
      <c r="H46" s="56">
        <f t="shared" ref="H46:S46" si="11">H33+H38+H41</f>
        <v>10.656999999999996</v>
      </c>
      <c r="I46" s="56">
        <f t="shared" si="11"/>
        <v>2.3900000000000006</v>
      </c>
      <c r="J46" s="56">
        <f t="shared" si="11"/>
        <v>-1.4500000000000028</v>
      </c>
      <c r="K46" s="56">
        <f t="shared" si="11"/>
        <v>-6.1989999999999981</v>
      </c>
      <c r="L46" s="56">
        <f t="shared" si="11"/>
        <v>-3.5740000000000123</v>
      </c>
      <c r="M46" s="56">
        <f t="shared" si="11"/>
        <v>2.8569999999999993</v>
      </c>
      <c r="N46" s="77">
        <f t="shared" si="11"/>
        <v>-9.4200000000000159</v>
      </c>
      <c r="O46" s="77">
        <f t="shared" si="11"/>
        <v>-0.11999999999997613</v>
      </c>
      <c r="P46" s="77">
        <f t="shared" si="11"/>
        <v>0</v>
      </c>
      <c r="Q46" s="77">
        <f t="shared" si="11"/>
        <v>0</v>
      </c>
      <c r="R46" s="77">
        <f t="shared" si="11"/>
        <v>0</v>
      </c>
      <c r="S46" s="56">
        <f t="shared" si="11"/>
        <v>0</v>
      </c>
    </row>
    <row r="47" spans="1:19" ht="12" x14ac:dyDescent="0.2">
      <c r="A47" s="8"/>
      <c r="B47" s="2" t="s">
        <v>106</v>
      </c>
      <c r="C47" s="10">
        <v>65</v>
      </c>
      <c r="D47" s="10"/>
      <c r="E47" s="11" t="s">
        <v>72</v>
      </c>
      <c r="G47" s="57" t="s">
        <v>107</v>
      </c>
      <c r="H47" s="58">
        <v>6.5000000000000002E-2</v>
      </c>
      <c r="I47" s="58">
        <v>0.191</v>
      </c>
      <c r="J47" s="58">
        <v>0</v>
      </c>
      <c r="K47" s="58">
        <v>0</v>
      </c>
      <c r="L47" s="58">
        <v>6.6000000000000003E-2</v>
      </c>
      <c r="M47" s="58">
        <v>4.9000000000000002E-2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</row>
    <row r="48" spans="1:19" x14ac:dyDescent="0.2">
      <c r="A48" s="8"/>
      <c r="B48" s="2" t="s">
        <v>108</v>
      </c>
      <c r="C48" s="10"/>
      <c r="D48" s="10"/>
      <c r="E48" s="9"/>
      <c r="G48" s="57" t="s">
        <v>109</v>
      </c>
      <c r="H48" s="56">
        <f t="shared" ref="H48:S48" si="12">H46+H47</f>
        <v>10.721999999999996</v>
      </c>
      <c r="I48" s="56">
        <f t="shared" si="12"/>
        <v>2.5810000000000004</v>
      </c>
      <c r="J48" s="56">
        <f t="shared" si="12"/>
        <v>-1.4500000000000028</v>
      </c>
      <c r="K48" s="56">
        <f t="shared" si="12"/>
        <v>-6.1989999999999981</v>
      </c>
      <c r="L48" s="56">
        <f t="shared" si="12"/>
        <v>-3.5080000000000124</v>
      </c>
      <c r="M48" s="56">
        <f t="shared" si="12"/>
        <v>2.9059999999999993</v>
      </c>
      <c r="N48" s="77">
        <f t="shared" si="12"/>
        <v>-9.4200000000000159</v>
      </c>
      <c r="O48" s="77">
        <f t="shared" si="12"/>
        <v>-0.11999999999997613</v>
      </c>
      <c r="P48" s="77">
        <f t="shared" si="12"/>
        <v>0</v>
      </c>
      <c r="Q48" s="77">
        <f t="shared" si="12"/>
        <v>0</v>
      </c>
      <c r="R48" s="77">
        <f t="shared" si="12"/>
        <v>0</v>
      </c>
      <c r="S48" s="56">
        <f t="shared" si="12"/>
        <v>0</v>
      </c>
    </row>
    <row r="49" spans="1:19" ht="12" x14ac:dyDescent="0.2">
      <c r="A49" s="8"/>
      <c r="B49" s="2" t="s">
        <v>110</v>
      </c>
      <c r="C49" s="10">
        <v>68</v>
      </c>
      <c r="D49" s="10"/>
      <c r="E49" s="11" t="s">
        <v>89</v>
      </c>
      <c r="G49" s="57" t="s">
        <v>111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76">
        <v>0</v>
      </c>
      <c r="O49" s="76">
        <v>0</v>
      </c>
      <c r="P49" s="76">
        <v>0</v>
      </c>
      <c r="Q49" s="76">
        <v>0</v>
      </c>
      <c r="R49" s="76">
        <v>0</v>
      </c>
      <c r="S49" s="58">
        <v>0</v>
      </c>
    </row>
    <row r="50" spans="1:19" ht="12" x14ac:dyDescent="0.2">
      <c r="A50" s="8"/>
      <c r="B50" s="2" t="s">
        <v>112</v>
      </c>
      <c r="C50" s="10">
        <v>69</v>
      </c>
      <c r="D50" s="10"/>
      <c r="E50" s="11" t="s">
        <v>11</v>
      </c>
      <c r="G50" s="57" t="s">
        <v>113</v>
      </c>
      <c r="H50" s="58">
        <v>0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76">
        <v>0</v>
      </c>
      <c r="O50" s="76">
        <v>0</v>
      </c>
      <c r="P50" s="76">
        <v>0</v>
      </c>
      <c r="Q50" s="76">
        <v>0</v>
      </c>
      <c r="R50" s="76">
        <v>0</v>
      </c>
      <c r="S50" s="58">
        <v>0</v>
      </c>
    </row>
    <row r="51" spans="1:19" x14ac:dyDescent="0.2">
      <c r="A51" s="8"/>
      <c r="B51" s="2" t="s">
        <v>114</v>
      </c>
      <c r="C51" s="10"/>
      <c r="D51" s="10"/>
      <c r="E51" s="9"/>
      <c r="G51" s="57" t="s">
        <v>115</v>
      </c>
      <c r="H51" s="56">
        <f t="shared" ref="H51:S51" si="13">H48+H49+H50</f>
        <v>10.721999999999996</v>
      </c>
      <c r="I51" s="56">
        <f t="shared" si="13"/>
        <v>2.5810000000000004</v>
      </c>
      <c r="J51" s="56">
        <f t="shared" si="13"/>
        <v>-1.4500000000000028</v>
      </c>
      <c r="K51" s="56">
        <f t="shared" si="13"/>
        <v>-6.1989999999999981</v>
      </c>
      <c r="L51" s="56">
        <f t="shared" si="13"/>
        <v>-3.5080000000000124</v>
      </c>
      <c r="M51" s="56">
        <f t="shared" si="13"/>
        <v>2.9059999999999993</v>
      </c>
      <c r="N51" s="77">
        <f t="shared" si="13"/>
        <v>-9.4200000000000159</v>
      </c>
      <c r="O51" s="77">
        <f t="shared" si="13"/>
        <v>-0.11999999999997613</v>
      </c>
      <c r="P51" s="77">
        <f t="shared" si="13"/>
        <v>0</v>
      </c>
      <c r="Q51" s="77">
        <f t="shared" si="13"/>
        <v>0</v>
      </c>
      <c r="R51" s="77">
        <f t="shared" si="13"/>
        <v>0</v>
      </c>
      <c r="S51" s="56">
        <f t="shared" si="13"/>
        <v>0</v>
      </c>
    </row>
    <row r="52" spans="1:19" x14ac:dyDescent="0.2">
      <c r="A52" s="24"/>
      <c r="B52" s="2" t="s">
        <v>370</v>
      </c>
      <c r="C52" s="83" t="s">
        <v>371</v>
      </c>
      <c r="D52" s="25"/>
      <c r="E52" s="26"/>
      <c r="F52" s="24"/>
      <c r="G52" s="62" t="s">
        <v>116</v>
      </c>
      <c r="H52" s="63">
        <f t="shared" ref="H52:S52" si="14">H30-H51</f>
        <v>0</v>
      </c>
      <c r="I52" s="63">
        <f t="shared" si="14"/>
        <v>-0.13400000000000034</v>
      </c>
      <c r="J52" s="63">
        <f t="shared" si="14"/>
        <v>2.886579864025407E-15</v>
      </c>
      <c r="K52" s="63">
        <f t="shared" si="14"/>
        <v>-1.0000000000021103E-3</v>
      </c>
      <c r="L52" s="63">
        <f t="shared" si="14"/>
        <v>1.0000000000123244E-3</v>
      </c>
      <c r="M52" s="63">
        <f t="shared" si="14"/>
        <v>0</v>
      </c>
      <c r="N52" s="85">
        <f t="shared" si="14"/>
        <v>2.0000000000015561E-2</v>
      </c>
      <c r="O52" s="85">
        <f t="shared" si="14"/>
        <v>0.11999999999997613</v>
      </c>
      <c r="P52" s="85">
        <f t="shared" si="14"/>
        <v>0</v>
      </c>
      <c r="Q52" s="85">
        <f t="shared" si="14"/>
        <v>0</v>
      </c>
      <c r="R52" s="85">
        <f t="shared" si="14"/>
        <v>0</v>
      </c>
      <c r="S52" s="63">
        <f t="shared" si="14"/>
        <v>0</v>
      </c>
    </row>
    <row r="53" spans="1:19" x14ac:dyDescent="0.2">
      <c r="A53" s="8"/>
      <c r="B53" s="2"/>
      <c r="C53" s="10"/>
      <c r="D53" s="10"/>
      <c r="E53" s="9"/>
      <c r="G53" s="65" t="s">
        <v>117</v>
      </c>
      <c r="H53" s="48"/>
      <c r="I53" s="48"/>
      <c r="J53" s="48"/>
      <c r="K53" s="48"/>
      <c r="L53" s="48"/>
      <c r="M53" s="48"/>
      <c r="N53" s="4"/>
      <c r="O53" s="4"/>
      <c r="P53" s="4"/>
      <c r="Q53" s="4"/>
      <c r="R53" s="4"/>
      <c r="S53" s="48"/>
    </row>
    <row r="54" spans="1:19" ht="12" x14ac:dyDescent="0.2">
      <c r="A54" s="8"/>
      <c r="B54" s="2"/>
      <c r="C54" s="10">
        <v>90</v>
      </c>
      <c r="D54" s="10"/>
      <c r="E54" s="11" t="s">
        <v>11</v>
      </c>
      <c r="G54" s="65" t="s">
        <v>118</v>
      </c>
      <c r="H54" s="58">
        <v>3</v>
      </c>
      <c r="I54" s="58">
        <v>3</v>
      </c>
      <c r="J54" s="58">
        <v>3</v>
      </c>
      <c r="K54" s="58">
        <v>3</v>
      </c>
      <c r="L54" s="58">
        <v>3</v>
      </c>
      <c r="M54" s="58">
        <v>3</v>
      </c>
      <c r="N54" s="76">
        <v>3</v>
      </c>
      <c r="O54" s="76">
        <v>3</v>
      </c>
      <c r="P54" s="76">
        <v>3</v>
      </c>
      <c r="Q54" s="76">
        <v>3</v>
      </c>
      <c r="R54" s="76">
        <v>3</v>
      </c>
      <c r="S54" s="58">
        <v>3</v>
      </c>
    </row>
    <row r="55" spans="1:19" ht="12" x14ac:dyDescent="0.2">
      <c r="A55" s="8"/>
      <c r="B55" s="2"/>
      <c r="C55" s="10"/>
      <c r="D55" s="10"/>
      <c r="E55" s="11" t="s">
        <v>11</v>
      </c>
      <c r="G55" s="65" t="s">
        <v>119</v>
      </c>
      <c r="H55" s="58"/>
      <c r="I55" s="58"/>
      <c r="J55" s="58"/>
      <c r="K55" s="58"/>
      <c r="L55" s="66"/>
      <c r="M55" s="66"/>
      <c r="N55" s="88"/>
      <c r="O55" s="88"/>
      <c r="P55" s="88"/>
      <c r="Q55" s="88"/>
      <c r="R55" s="88"/>
      <c r="S55" s="66"/>
    </row>
    <row r="56" spans="1:19" x14ac:dyDescent="0.2">
      <c r="A56" s="8"/>
      <c r="B56" s="2"/>
      <c r="C56" s="10"/>
      <c r="D56" s="10"/>
      <c r="E56" s="9"/>
      <c r="G56" s="67"/>
      <c r="H56" s="48"/>
      <c r="I56" s="48"/>
      <c r="J56" s="48"/>
      <c r="K56" s="48"/>
      <c r="L56" s="48"/>
      <c r="M56" s="48"/>
      <c r="N56" s="4"/>
      <c r="O56" s="4"/>
      <c r="P56" s="4"/>
      <c r="Q56" s="4"/>
      <c r="R56" s="4"/>
      <c r="S56" s="48"/>
    </row>
    <row r="57" spans="1:19" x14ac:dyDescent="0.2">
      <c r="A57" s="8"/>
      <c r="B57" s="2"/>
      <c r="C57" s="10"/>
      <c r="D57" s="29" t="s">
        <v>120</v>
      </c>
      <c r="E57" s="30" t="s">
        <v>3</v>
      </c>
      <c r="F57" s="9"/>
      <c r="G57" s="53" t="s">
        <v>121</v>
      </c>
      <c r="H57" s="64">
        <f t="shared" ref="H57:S57" si="15">H32</f>
        <v>2011</v>
      </c>
      <c r="I57" s="64">
        <f t="shared" si="15"/>
        <v>2012</v>
      </c>
      <c r="J57" s="64">
        <f t="shared" si="15"/>
        <v>2013</v>
      </c>
      <c r="K57" s="64">
        <f t="shared" si="15"/>
        <v>2014</v>
      </c>
      <c r="L57" s="64">
        <f t="shared" si="15"/>
        <v>2015</v>
      </c>
      <c r="M57" s="64">
        <f t="shared" si="15"/>
        <v>2016</v>
      </c>
      <c r="N57" s="87">
        <f t="shared" si="15"/>
        <v>2017</v>
      </c>
      <c r="O57" s="87">
        <f t="shared" si="15"/>
        <v>2018</v>
      </c>
      <c r="P57" s="87">
        <f t="shared" si="15"/>
        <v>2019</v>
      </c>
      <c r="Q57" s="87">
        <f t="shared" si="15"/>
        <v>2020</v>
      </c>
      <c r="R57" s="87">
        <f t="shared" si="15"/>
        <v>2021</v>
      </c>
      <c r="S57" s="64">
        <f t="shared" si="15"/>
        <v>2022</v>
      </c>
    </row>
    <row r="58" spans="1:19" ht="12" x14ac:dyDescent="0.2">
      <c r="A58" s="8"/>
      <c r="B58" s="31" t="s">
        <v>122</v>
      </c>
      <c r="C58" s="8" t="s">
        <v>123</v>
      </c>
      <c r="D58" s="32" t="s">
        <v>124</v>
      </c>
      <c r="E58" s="11" t="s">
        <v>89</v>
      </c>
      <c r="F58" s="12"/>
      <c r="G58" s="55" t="s">
        <v>125</v>
      </c>
      <c r="H58" s="58">
        <v>0</v>
      </c>
      <c r="I58" s="58">
        <v>0</v>
      </c>
      <c r="J58" s="58">
        <v>0</v>
      </c>
      <c r="K58" s="58">
        <v>0</v>
      </c>
      <c r="L58" s="58">
        <v>0</v>
      </c>
      <c r="M58" s="58">
        <v>0</v>
      </c>
      <c r="N58" s="76">
        <v>0</v>
      </c>
      <c r="O58" s="76">
        <v>0</v>
      </c>
      <c r="P58" s="76">
        <v>0</v>
      </c>
      <c r="Q58" s="76">
        <v>0</v>
      </c>
      <c r="R58" s="76">
        <v>0</v>
      </c>
      <c r="S58" s="58">
        <v>0</v>
      </c>
    </row>
    <row r="59" spans="1:19" ht="12" x14ac:dyDescent="0.2">
      <c r="A59" s="8"/>
      <c r="B59" s="31" t="s">
        <v>126</v>
      </c>
      <c r="C59" s="33" t="s">
        <v>127</v>
      </c>
      <c r="D59" s="32" t="s">
        <v>128</v>
      </c>
      <c r="E59" s="11" t="s">
        <v>11</v>
      </c>
      <c r="F59" s="12"/>
      <c r="G59" s="68" t="s">
        <v>129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76">
        <v>0</v>
      </c>
      <c r="O59" s="76">
        <v>0</v>
      </c>
      <c r="P59" s="76">
        <v>0</v>
      </c>
      <c r="Q59" s="76">
        <v>0</v>
      </c>
      <c r="R59" s="76">
        <v>0</v>
      </c>
      <c r="S59" s="58">
        <v>0</v>
      </c>
    </row>
    <row r="60" spans="1:19" ht="12" x14ac:dyDescent="0.2">
      <c r="A60" s="8"/>
      <c r="B60" s="31" t="s">
        <v>130</v>
      </c>
      <c r="C60" s="34" t="s">
        <v>372</v>
      </c>
      <c r="D60" s="32" t="s">
        <v>131</v>
      </c>
      <c r="E60" s="11" t="s">
        <v>11</v>
      </c>
      <c r="F60" s="12"/>
      <c r="G60" s="57" t="s">
        <v>132</v>
      </c>
      <c r="H60" s="58">
        <v>0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76">
        <v>0</v>
      </c>
      <c r="O60" s="76">
        <v>0</v>
      </c>
      <c r="P60" s="76">
        <v>0</v>
      </c>
      <c r="Q60" s="76">
        <v>0</v>
      </c>
      <c r="R60" s="76">
        <v>0</v>
      </c>
      <c r="S60" s="58">
        <v>0</v>
      </c>
    </row>
    <row r="61" spans="1:19" ht="12" x14ac:dyDescent="0.2">
      <c r="A61" s="8"/>
      <c r="B61" s="31" t="s">
        <v>133</v>
      </c>
      <c r="C61" s="34" t="s">
        <v>134</v>
      </c>
      <c r="D61" s="34" t="s">
        <v>135</v>
      </c>
      <c r="E61" s="11" t="s">
        <v>89</v>
      </c>
      <c r="F61" s="12"/>
      <c r="G61" s="57" t="s">
        <v>136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76">
        <v>0</v>
      </c>
      <c r="O61" s="76">
        <v>0</v>
      </c>
      <c r="P61" s="76">
        <v>0</v>
      </c>
      <c r="Q61" s="76">
        <v>0</v>
      </c>
      <c r="R61" s="76">
        <v>0</v>
      </c>
      <c r="S61" s="58">
        <v>0</v>
      </c>
    </row>
    <row r="62" spans="1:19" ht="12" x14ac:dyDescent="0.2">
      <c r="A62" s="8"/>
      <c r="B62" s="31" t="s">
        <v>137</v>
      </c>
      <c r="C62" s="10">
        <v>253800</v>
      </c>
      <c r="D62" s="34" t="s">
        <v>131</v>
      </c>
      <c r="E62" s="11" t="s">
        <v>11</v>
      </c>
      <c r="F62" s="12"/>
      <c r="G62" s="57" t="s">
        <v>138</v>
      </c>
      <c r="H62" s="58">
        <v>0</v>
      </c>
      <c r="I62" s="58">
        <v>0</v>
      </c>
      <c r="J62" s="58">
        <v>0</v>
      </c>
      <c r="K62" s="58">
        <v>0</v>
      </c>
      <c r="L62" s="58">
        <v>0</v>
      </c>
      <c r="M62" s="58">
        <v>0</v>
      </c>
      <c r="N62" s="76">
        <v>0</v>
      </c>
      <c r="O62" s="76">
        <v>0</v>
      </c>
      <c r="P62" s="76">
        <v>0</v>
      </c>
      <c r="Q62" s="76">
        <v>0</v>
      </c>
      <c r="R62" s="76">
        <v>0</v>
      </c>
      <c r="S62" s="58">
        <v>0</v>
      </c>
    </row>
    <row r="63" spans="1:19" ht="12" x14ac:dyDescent="0.2">
      <c r="A63" s="8"/>
      <c r="B63" s="31" t="s">
        <v>139</v>
      </c>
      <c r="C63" s="10">
        <v>150</v>
      </c>
      <c r="D63" s="34" t="s">
        <v>135</v>
      </c>
      <c r="E63" s="11" t="s">
        <v>89</v>
      </c>
      <c r="F63" s="12"/>
      <c r="G63" s="57" t="s">
        <v>140</v>
      </c>
      <c r="H63" s="58">
        <v>0</v>
      </c>
      <c r="I63" s="58">
        <v>0</v>
      </c>
      <c r="J63" s="58">
        <v>0</v>
      </c>
      <c r="K63" s="58">
        <v>0</v>
      </c>
      <c r="L63" s="58">
        <v>0</v>
      </c>
      <c r="M63" s="58">
        <v>0</v>
      </c>
      <c r="N63" s="76">
        <v>0</v>
      </c>
      <c r="O63" s="76">
        <v>0</v>
      </c>
      <c r="P63" s="76">
        <v>0</v>
      </c>
      <c r="Q63" s="76">
        <v>0</v>
      </c>
      <c r="R63" s="76">
        <v>0</v>
      </c>
      <c r="S63" s="58">
        <v>0</v>
      </c>
    </row>
    <row r="64" spans="1:19" ht="12" x14ac:dyDescent="0.2">
      <c r="A64" s="8"/>
      <c r="B64" s="31" t="s">
        <v>141</v>
      </c>
      <c r="C64" s="34" t="s">
        <v>142</v>
      </c>
      <c r="D64" s="34" t="s">
        <v>131</v>
      </c>
      <c r="E64" s="11" t="s">
        <v>11</v>
      </c>
      <c r="F64" s="12"/>
      <c r="G64" s="57" t="s">
        <v>143</v>
      </c>
      <c r="H64" s="58">
        <v>0</v>
      </c>
      <c r="I64" s="58">
        <v>0</v>
      </c>
      <c r="J64" s="58">
        <v>0</v>
      </c>
      <c r="K64" s="58">
        <v>0</v>
      </c>
      <c r="L64" s="58">
        <v>0</v>
      </c>
      <c r="M64" s="58">
        <v>0</v>
      </c>
      <c r="N64" s="76">
        <v>0</v>
      </c>
      <c r="O64" s="76">
        <v>0</v>
      </c>
      <c r="P64" s="76">
        <v>0</v>
      </c>
      <c r="Q64" s="76">
        <v>0</v>
      </c>
      <c r="R64" s="76">
        <v>0</v>
      </c>
      <c r="S64" s="58">
        <v>0</v>
      </c>
    </row>
    <row r="65" spans="1:19" ht="12" x14ac:dyDescent="0.2">
      <c r="A65" s="8"/>
      <c r="B65" s="31" t="s">
        <v>144</v>
      </c>
      <c r="C65" s="8" t="s">
        <v>373</v>
      </c>
      <c r="D65" s="34" t="s">
        <v>135</v>
      </c>
      <c r="E65" s="11" t="s">
        <v>89</v>
      </c>
      <c r="F65" s="12"/>
      <c r="G65" s="57" t="s">
        <v>145</v>
      </c>
      <c r="H65" s="58">
        <v>0</v>
      </c>
      <c r="I65" s="58">
        <v>0</v>
      </c>
      <c r="J65" s="58">
        <v>0</v>
      </c>
      <c r="K65" s="58">
        <v>0</v>
      </c>
      <c r="L65" s="58">
        <v>0</v>
      </c>
      <c r="M65" s="58">
        <v>0</v>
      </c>
      <c r="N65" s="76">
        <v>0</v>
      </c>
      <c r="O65" s="76">
        <v>0</v>
      </c>
      <c r="P65" s="76">
        <v>0</v>
      </c>
      <c r="Q65" s="76">
        <v>0</v>
      </c>
      <c r="R65" s="76">
        <v>0</v>
      </c>
      <c r="S65" s="58">
        <v>0</v>
      </c>
    </row>
    <row r="66" spans="1:19" ht="12" x14ac:dyDescent="0.2">
      <c r="A66" s="8"/>
      <c r="B66" s="31" t="s">
        <v>146</v>
      </c>
      <c r="C66" s="8" t="s">
        <v>373</v>
      </c>
      <c r="D66" s="34" t="s">
        <v>131</v>
      </c>
      <c r="E66" s="11" t="s">
        <v>11</v>
      </c>
      <c r="F66" s="12"/>
      <c r="G66" s="57" t="s">
        <v>147</v>
      </c>
      <c r="H66" s="58">
        <v>0</v>
      </c>
      <c r="I66" s="58">
        <v>0</v>
      </c>
      <c r="J66" s="58">
        <v>0</v>
      </c>
      <c r="K66" s="58">
        <v>0</v>
      </c>
      <c r="L66" s="58">
        <v>0</v>
      </c>
      <c r="M66" s="58">
        <v>0</v>
      </c>
      <c r="N66" s="76">
        <v>0</v>
      </c>
      <c r="O66" s="76">
        <v>0</v>
      </c>
      <c r="P66" s="76">
        <v>0</v>
      </c>
      <c r="Q66" s="76">
        <v>0</v>
      </c>
      <c r="R66" s="76">
        <v>0</v>
      </c>
      <c r="S66" s="58">
        <v>0</v>
      </c>
    </row>
    <row r="67" spans="1:19" ht="12" x14ac:dyDescent="0.2">
      <c r="A67" s="8"/>
      <c r="B67" s="31" t="s">
        <v>148</v>
      </c>
      <c r="C67" s="8" t="s">
        <v>149</v>
      </c>
      <c r="D67" s="34" t="s">
        <v>135</v>
      </c>
      <c r="E67" s="11" t="s">
        <v>89</v>
      </c>
      <c r="F67" s="12"/>
      <c r="G67" s="57" t="s">
        <v>150</v>
      </c>
      <c r="H67" s="58">
        <v>0</v>
      </c>
      <c r="I67" s="58">
        <v>0</v>
      </c>
      <c r="J67" s="58">
        <v>0</v>
      </c>
      <c r="K67" s="58">
        <v>0</v>
      </c>
      <c r="L67" s="58">
        <v>0</v>
      </c>
      <c r="M67" s="58">
        <v>0</v>
      </c>
      <c r="N67" s="76">
        <v>0</v>
      </c>
      <c r="O67" s="76">
        <v>0</v>
      </c>
      <c r="P67" s="76">
        <v>0</v>
      </c>
      <c r="Q67" s="76">
        <v>0</v>
      </c>
      <c r="R67" s="76">
        <v>0</v>
      </c>
      <c r="S67" s="58">
        <v>0</v>
      </c>
    </row>
    <row r="68" spans="1:19" ht="12" x14ac:dyDescent="0.2">
      <c r="A68" s="8"/>
      <c r="B68" s="31" t="s">
        <v>151</v>
      </c>
      <c r="C68" s="8" t="s">
        <v>149</v>
      </c>
      <c r="D68" s="34" t="s">
        <v>131</v>
      </c>
      <c r="E68" s="11" t="s">
        <v>11</v>
      </c>
      <c r="F68" s="12"/>
      <c r="G68" s="57" t="s">
        <v>152</v>
      </c>
      <c r="H68" s="58">
        <v>0</v>
      </c>
      <c r="I68" s="58">
        <v>0</v>
      </c>
      <c r="J68" s="58">
        <v>0</v>
      </c>
      <c r="K68" s="58">
        <v>0</v>
      </c>
      <c r="L68" s="58">
        <v>0</v>
      </c>
      <c r="M68" s="58">
        <v>0</v>
      </c>
      <c r="N68" s="76">
        <v>0</v>
      </c>
      <c r="O68" s="76">
        <v>0</v>
      </c>
      <c r="P68" s="76">
        <v>0</v>
      </c>
      <c r="Q68" s="76">
        <v>0</v>
      </c>
      <c r="R68" s="76">
        <v>0</v>
      </c>
      <c r="S68" s="58">
        <v>0</v>
      </c>
    </row>
    <row r="69" spans="1:19" ht="12" x14ac:dyDescent="0.2">
      <c r="A69" s="8"/>
      <c r="B69" s="31" t="s">
        <v>153</v>
      </c>
      <c r="C69" s="34" t="s">
        <v>142</v>
      </c>
      <c r="D69" s="34" t="s">
        <v>131</v>
      </c>
      <c r="E69" s="11" t="s">
        <v>11</v>
      </c>
      <c r="F69" s="12"/>
      <c r="G69" s="57" t="s">
        <v>154</v>
      </c>
      <c r="H69" s="58">
        <v>0</v>
      </c>
      <c r="I69" s="58">
        <v>0</v>
      </c>
      <c r="J69" s="58">
        <v>0</v>
      </c>
      <c r="K69" s="58">
        <v>0</v>
      </c>
      <c r="L69" s="58">
        <v>0</v>
      </c>
      <c r="M69" s="58">
        <v>0</v>
      </c>
      <c r="N69" s="76">
        <v>0</v>
      </c>
      <c r="O69" s="76">
        <v>0</v>
      </c>
      <c r="P69" s="76">
        <v>0</v>
      </c>
      <c r="Q69" s="76">
        <v>0</v>
      </c>
      <c r="R69" s="76">
        <v>0</v>
      </c>
      <c r="S69" s="58">
        <v>0</v>
      </c>
    </row>
    <row r="70" spans="1:19" ht="12" x14ac:dyDescent="0.2">
      <c r="A70" s="8"/>
      <c r="B70" s="31" t="s">
        <v>155</v>
      </c>
      <c r="C70" s="35" t="s">
        <v>156</v>
      </c>
      <c r="D70" s="8"/>
      <c r="E70" s="11" t="s">
        <v>72</v>
      </c>
      <c r="F70" s="12"/>
      <c r="G70" s="57" t="s">
        <v>107</v>
      </c>
      <c r="H70" s="58">
        <v>-3.2000000000000001E-2</v>
      </c>
      <c r="I70" s="58">
        <v>0.14799999999999999</v>
      </c>
      <c r="J70" s="58">
        <v>8.0000000000000002E-3</v>
      </c>
      <c r="K70" s="58">
        <v>0</v>
      </c>
      <c r="L70" s="58">
        <v>3.5000000000000003E-2</v>
      </c>
      <c r="M70" s="58">
        <v>4.9000000000000002E-2</v>
      </c>
      <c r="N70" s="76">
        <v>0</v>
      </c>
      <c r="O70" s="76">
        <v>0</v>
      </c>
      <c r="P70" s="76">
        <v>0</v>
      </c>
      <c r="Q70" s="76">
        <v>0</v>
      </c>
      <c r="R70" s="76">
        <v>0</v>
      </c>
      <c r="S70" s="58">
        <v>0</v>
      </c>
    </row>
    <row r="71" spans="1:19" x14ac:dyDescent="0.2">
      <c r="A71" s="8"/>
      <c r="B71" s="31" t="s">
        <v>157</v>
      </c>
      <c r="C71" s="10"/>
      <c r="D71" s="8"/>
      <c r="E71" s="12"/>
      <c r="F71" s="12"/>
      <c r="G71" s="69" t="s">
        <v>158</v>
      </c>
      <c r="H71" s="56">
        <f t="shared" ref="H71:S71" si="16">SUM(H58:H70)</f>
        <v>-3.2000000000000001E-2</v>
      </c>
      <c r="I71" s="56">
        <f t="shared" si="16"/>
        <v>0.14799999999999999</v>
      </c>
      <c r="J71" s="56">
        <f t="shared" si="16"/>
        <v>8.0000000000000002E-3</v>
      </c>
      <c r="K71" s="56">
        <f t="shared" si="16"/>
        <v>0</v>
      </c>
      <c r="L71" s="56">
        <f t="shared" si="16"/>
        <v>3.5000000000000003E-2</v>
      </c>
      <c r="M71" s="56">
        <f t="shared" si="16"/>
        <v>4.9000000000000002E-2</v>
      </c>
      <c r="N71" s="77">
        <f t="shared" si="16"/>
        <v>0</v>
      </c>
      <c r="O71" s="77">
        <f t="shared" si="16"/>
        <v>0</v>
      </c>
      <c r="P71" s="77">
        <f t="shared" si="16"/>
        <v>0</v>
      </c>
      <c r="Q71" s="77">
        <f t="shared" si="16"/>
        <v>0</v>
      </c>
      <c r="R71" s="77">
        <f t="shared" si="16"/>
        <v>0</v>
      </c>
      <c r="S71" s="56">
        <f t="shared" si="16"/>
        <v>0</v>
      </c>
    </row>
    <row r="72" spans="1:19" x14ac:dyDescent="0.2">
      <c r="A72" s="8"/>
      <c r="B72" s="2"/>
      <c r="C72" s="10"/>
      <c r="D72" s="8"/>
      <c r="E72" s="9"/>
      <c r="G72" s="67"/>
      <c r="H72" s="48"/>
      <c r="I72" s="48"/>
      <c r="J72" s="48"/>
      <c r="K72" s="48"/>
      <c r="L72" s="48"/>
      <c r="M72" s="48"/>
      <c r="N72" s="4"/>
      <c r="O72" s="4"/>
      <c r="P72" s="4"/>
      <c r="Q72" s="4"/>
      <c r="R72" s="4"/>
      <c r="S72" s="48"/>
    </row>
    <row r="73" spans="1:19" x14ac:dyDescent="0.2">
      <c r="A73" s="8"/>
      <c r="B73" s="2"/>
      <c r="C73" s="10"/>
      <c r="D73" s="29" t="s">
        <v>120</v>
      </c>
      <c r="E73" s="30" t="s">
        <v>3</v>
      </c>
      <c r="F73" s="9"/>
      <c r="G73" s="53" t="s">
        <v>159</v>
      </c>
      <c r="H73" s="64">
        <f t="shared" ref="H73:S73" si="17">H57</f>
        <v>2011</v>
      </c>
      <c r="I73" s="64">
        <f t="shared" si="17"/>
        <v>2012</v>
      </c>
      <c r="J73" s="64">
        <f t="shared" si="17"/>
        <v>2013</v>
      </c>
      <c r="K73" s="64">
        <f t="shared" si="17"/>
        <v>2014</v>
      </c>
      <c r="L73" s="64">
        <f t="shared" si="17"/>
        <v>2015</v>
      </c>
      <c r="M73" s="64">
        <f t="shared" si="17"/>
        <v>2016</v>
      </c>
      <c r="N73" s="87">
        <f t="shared" si="17"/>
        <v>2017</v>
      </c>
      <c r="O73" s="87">
        <f t="shared" si="17"/>
        <v>2018</v>
      </c>
      <c r="P73" s="87">
        <f t="shared" si="17"/>
        <v>2019</v>
      </c>
      <c r="Q73" s="87">
        <f t="shared" si="17"/>
        <v>2020</v>
      </c>
      <c r="R73" s="87">
        <f t="shared" si="17"/>
        <v>2021</v>
      </c>
      <c r="S73" s="64">
        <f t="shared" si="17"/>
        <v>2022</v>
      </c>
    </row>
    <row r="74" spans="1:19" ht="12" x14ac:dyDescent="0.2">
      <c r="A74" s="8"/>
      <c r="B74" s="2" t="s">
        <v>160</v>
      </c>
      <c r="C74" s="34" t="s">
        <v>161</v>
      </c>
      <c r="D74" s="34" t="s">
        <v>128</v>
      </c>
      <c r="E74" s="11" t="s">
        <v>11</v>
      </c>
      <c r="G74" s="55" t="s">
        <v>162</v>
      </c>
      <c r="H74" s="58">
        <v>0</v>
      </c>
      <c r="I74" s="58">
        <v>0</v>
      </c>
      <c r="J74" s="58">
        <v>0</v>
      </c>
      <c r="K74" s="58">
        <v>0</v>
      </c>
      <c r="L74" s="58">
        <v>0</v>
      </c>
      <c r="M74" s="58">
        <v>0</v>
      </c>
      <c r="N74" s="76">
        <v>0</v>
      </c>
      <c r="O74" s="76">
        <v>0</v>
      </c>
      <c r="P74" s="76">
        <v>0</v>
      </c>
      <c r="Q74" s="76">
        <v>0</v>
      </c>
      <c r="R74" s="76">
        <v>0</v>
      </c>
      <c r="S74" s="58">
        <v>0</v>
      </c>
    </row>
    <row r="75" spans="1:19" ht="12" x14ac:dyDescent="0.2">
      <c r="A75" s="8"/>
      <c r="B75" s="2" t="s">
        <v>163</v>
      </c>
      <c r="C75" s="34" t="s">
        <v>161</v>
      </c>
      <c r="D75" s="34" t="s">
        <v>124</v>
      </c>
      <c r="E75" s="11" t="s">
        <v>89</v>
      </c>
      <c r="F75" s="12"/>
      <c r="G75" s="57" t="s">
        <v>164</v>
      </c>
      <c r="H75" s="58">
        <v>0</v>
      </c>
      <c r="I75" s="58">
        <v>0</v>
      </c>
      <c r="J75" s="58">
        <v>0</v>
      </c>
      <c r="K75" s="58">
        <v>0</v>
      </c>
      <c r="L75" s="58">
        <v>0</v>
      </c>
      <c r="M75" s="58">
        <v>0</v>
      </c>
      <c r="N75" s="76">
        <v>0</v>
      </c>
      <c r="O75" s="76">
        <v>0</v>
      </c>
      <c r="P75" s="76">
        <v>0</v>
      </c>
      <c r="Q75" s="76">
        <v>0</v>
      </c>
      <c r="R75" s="76">
        <v>0</v>
      </c>
      <c r="S75" s="58">
        <v>0</v>
      </c>
    </row>
    <row r="76" spans="1:19" ht="12" x14ac:dyDescent="0.2">
      <c r="A76" s="8"/>
      <c r="B76" s="2" t="s">
        <v>165</v>
      </c>
      <c r="C76" s="34" t="s">
        <v>166</v>
      </c>
      <c r="D76" s="34" t="s">
        <v>131</v>
      </c>
      <c r="E76" s="11" t="s">
        <v>11</v>
      </c>
      <c r="G76" s="57" t="s">
        <v>167</v>
      </c>
      <c r="H76" s="58">
        <v>0</v>
      </c>
      <c r="I76" s="58">
        <v>0</v>
      </c>
      <c r="J76" s="58">
        <v>0</v>
      </c>
      <c r="K76" s="58">
        <v>0</v>
      </c>
      <c r="L76" s="58">
        <v>0</v>
      </c>
      <c r="M76" s="58">
        <v>0</v>
      </c>
      <c r="N76" s="76">
        <v>0</v>
      </c>
      <c r="O76" s="76">
        <v>0</v>
      </c>
      <c r="P76" s="76">
        <v>0</v>
      </c>
      <c r="Q76" s="76">
        <v>0</v>
      </c>
      <c r="R76" s="76">
        <v>0</v>
      </c>
      <c r="S76" s="58">
        <v>0</v>
      </c>
    </row>
    <row r="77" spans="1:19" ht="12" x14ac:dyDescent="0.2">
      <c r="A77" s="8"/>
      <c r="B77" s="2" t="s">
        <v>168</v>
      </c>
      <c r="C77" s="34" t="s">
        <v>166</v>
      </c>
      <c r="D77" s="34" t="s">
        <v>135</v>
      </c>
      <c r="E77" s="11" t="s">
        <v>89</v>
      </c>
      <c r="F77" s="12"/>
      <c r="G77" s="57" t="s">
        <v>169</v>
      </c>
      <c r="H77" s="58">
        <v>0</v>
      </c>
      <c r="I77" s="58">
        <v>0</v>
      </c>
      <c r="J77" s="58">
        <v>0</v>
      </c>
      <c r="K77" s="58">
        <v>0</v>
      </c>
      <c r="L77" s="58">
        <v>0</v>
      </c>
      <c r="M77" s="58">
        <v>0</v>
      </c>
      <c r="N77" s="76">
        <v>0</v>
      </c>
      <c r="O77" s="76">
        <v>0</v>
      </c>
      <c r="P77" s="76">
        <v>0</v>
      </c>
      <c r="Q77" s="76">
        <v>0</v>
      </c>
      <c r="R77" s="76">
        <v>0</v>
      </c>
      <c r="S77" s="58">
        <v>0</v>
      </c>
    </row>
    <row r="78" spans="1:19" ht="12" x14ac:dyDescent="0.2">
      <c r="A78" s="8"/>
      <c r="B78" s="2" t="s">
        <v>170</v>
      </c>
      <c r="C78" s="34" t="s">
        <v>171</v>
      </c>
      <c r="D78" s="34" t="s">
        <v>135</v>
      </c>
      <c r="E78" s="11" t="s">
        <v>89</v>
      </c>
      <c r="F78" s="12"/>
      <c r="G78" s="57" t="s">
        <v>172</v>
      </c>
      <c r="H78" s="58">
        <v>0</v>
      </c>
      <c r="I78" s="58">
        <v>0</v>
      </c>
      <c r="J78" s="58">
        <v>0</v>
      </c>
      <c r="K78" s="58">
        <v>0</v>
      </c>
      <c r="L78" s="58">
        <v>0</v>
      </c>
      <c r="M78" s="58">
        <v>0</v>
      </c>
      <c r="N78" s="76">
        <v>0</v>
      </c>
      <c r="O78" s="76">
        <v>0</v>
      </c>
      <c r="P78" s="76">
        <v>0</v>
      </c>
      <c r="Q78" s="76">
        <v>0</v>
      </c>
      <c r="R78" s="76">
        <v>0</v>
      </c>
      <c r="S78" s="58">
        <v>0</v>
      </c>
    </row>
    <row r="79" spans="1:19" ht="12" x14ac:dyDescent="0.2">
      <c r="A79" s="8"/>
      <c r="B79" s="2" t="s">
        <v>173</v>
      </c>
      <c r="C79" s="34" t="s">
        <v>174</v>
      </c>
      <c r="D79" s="34" t="s">
        <v>135</v>
      </c>
      <c r="E79" s="11" t="s">
        <v>89</v>
      </c>
      <c r="F79" s="12"/>
      <c r="G79" s="57" t="s">
        <v>175</v>
      </c>
      <c r="H79" s="58">
        <v>0</v>
      </c>
      <c r="I79" s="58">
        <v>-3.9E-2</v>
      </c>
      <c r="J79" s="58">
        <v>0</v>
      </c>
      <c r="K79" s="58">
        <v>0</v>
      </c>
      <c r="L79" s="58">
        <v>0</v>
      </c>
      <c r="M79" s="58">
        <v>0</v>
      </c>
      <c r="N79" s="76">
        <v>0</v>
      </c>
      <c r="O79" s="76">
        <v>0</v>
      </c>
      <c r="P79" s="76">
        <v>0</v>
      </c>
      <c r="Q79" s="76">
        <v>0</v>
      </c>
      <c r="R79" s="76">
        <v>0</v>
      </c>
      <c r="S79" s="58">
        <v>0</v>
      </c>
    </row>
    <row r="80" spans="1:19" ht="12" x14ac:dyDescent="0.2">
      <c r="A80" s="8"/>
      <c r="B80" s="2" t="s">
        <v>176</v>
      </c>
      <c r="C80" s="34" t="s">
        <v>177</v>
      </c>
      <c r="D80" s="34" t="s">
        <v>135</v>
      </c>
      <c r="E80" s="11" t="s">
        <v>89</v>
      </c>
      <c r="F80" s="12"/>
      <c r="G80" s="57" t="s">
        <v>178</v>
      </c>
      <c r="H80" s="58">
        <v>0</v>
      </c>
      <c r="I80" s="58">
        <v>0</v>
      </c>
      <c r="J80" s="58">
        <v>0</v>
      </c>
      <c r="K80" s="58">
        <v>0</v>
      </c>
      <c r="L80" s="58">
        <v>0</v>
      </c>
      <c r="M80" s="58">
        <v>0</v>
      </c>
      <c r="N80" s="76">
        <v>0</v>
      </c>
      <c r="O80" s="76">
        <v>0</v>
      </c>
      <c r="P80" s="76">
        <v>0</v>
      </c>
      <c r="Q80" s="76">
        <v>0</v>
      </c>
      <c r="R80" s="76">
        <v>0</v>
      </c>
      <c r="S80" s="58">
        <v>0</v>
      </c>
    </row>
    <row r="81" spans="1:19" ht="12" x14ac:dyDescent="0.2">
      <c r="A81" s="8"/>
      <c r="B81" s="2" t="s">
        <v>179</v>
      </c>
      <c r="C81" s="34" t="s">
        <v>52</v>
      </c>
      <c r="D81" s="34" t="s">
        <v>135</v>
      </c>
      <c r="E81" s="11" t="s">
        <v>89</v>
      </c>
      <c r="F81" s="12"/>
      <c r="G81" s="57" t="s">
        <v>180</v>
      </c>
      <c r="H81" s="58">
        <v>0</v>
      </c>
      <c r="I81" s="58">
        <v>0</v>
      </c>
      <c r="J81" s="58">
        <v>0</v>
      </c>
      <c r="K81" s="58">
        <v>0</v>
      </c>
      <c r="L81" s="58">
        <v>0</v>
      </c>
      <c r="M81" s="58">
        <v>0</v>
      </c>
      <c r="N81" s="76">
        <v>0</v>
      </c>
      <c r="O81" s="76">
        <v>0</v>
      </c>
      <c r="P81" s="76">
        <v>0</v>
      </c>
      <c r="Q81" s="76">
        <v>0</v>
      </c>
      <c r="R81" s="76">
        <v>0</v>
      </c>
      <c r="S81" s="58">
        <v>0</v>
      </c>
    </row>
    <row r="82" spans="1:19" ht="12" x14ac:dyDescent="0.2">
      <c r="A82" s="8"/>
      <c r="B82" s="2" t="s">
        <v>181</v>
      </c>
      <c r="C82" s="34" t="s">
        <v>182</v>
      </c>
      <c r="D82" s="34" t="s">
        <v>131</v>
      </c>
      <c r="E82" s="11" t="s">
        <v>11</v>
      </c>
      <c r="G82" s="57" t="s">
        <v>183</v>
      </c>
      <c r="H82" s="58">
        <v>0</v>
      </c>
      <c r="I82" s="58">
        <v>0</v>
      </c>
      <c r="J82" s="58">
        <v>0</v>
      </c>
      <c r="K82" s="58">
        <v>0</v>
      </c>
      <c r="L82" s="58">
        <v>0</v>
      </c>
      <c r="M82" s="58">
        <v>0</v>
      </c>
      <c r="N82" s="76">
        <v>0</v>
      </c>
      <c r="O82" s="76">
        <v>0</v>
      </c>
      <c r="P82" s="76">
        <v>0</v>
      </c>
      <c r="Q82" s="76">
        <v>0</v>
      </c>
      <c r="R82" s="76">
        <v>0</v>
      </c>
      <c r="S82" s="58">
        <v>0</v>
      </c>
    </row>
    <row r="83" spans="1:19" ht="12" x14ac:dyDescent="0.2">
      <c r="A83" s="8"/>
      <c r="B83" s="2" t="s">
        <v>184</v>
      </c>
      <c r="C83" s="34" t="s">
        <v>182</v>
      </c>
      <c r="D83" s="34" t="s">
        <v>135</v>
      </c>
      <c r="E83" s="11" t="s">
        <v>89</v>
      </c>
      <c r="F83" s="12"/>
      <c r="G83" s="57" t="s">
        <v>374</v>
      </c>
      <c r="H83" s="58">
        <v>0</v>
      </c>
      <c r="I83" s="58">
        <v>0</v>
      </c>
      <c r="J83" s="58">
        <v>0</v>
      </c>
      <c r="K83" s="58">
        <v>0</v>
      </c>
      <c r="L83" s="58">
        <v>0</v>
      </c>
      <c r="M83" s="58">
        <v>0</v>
      </c>
      <c r="N83" s="76">
        <v>0</v>
      </c>
      <c r="O83" s="76">
        <v>0</v>
      </c>
      <c r="P83" s="76">
        <v>0</v>
      </c>
      <c r="Q83" s="76">
        <v>0</v>
      </c>
      <c r="R83" s="76">
        <v>0</v>
      </c>
      <c r="S83" s="58">
        <v>0</v>
      </c>
    </row>
    <row r="84" spans="1:19" ht="12" x14ac:dyDescent="0.2">
      <c r="A84" s="8"/>
      <c r="B84" s="2" t="s">
        <v>185</v>
      </c>
      <c r="C84" s="34" t="s">
        <v>375</v>
      </c>
      <c r="D84" s="34" t="s">
        <v>135</v>
      </c>
      <c r="E84" s="11" t="s">
        <v>89</v>
      </c>
      <c r="F84" s="12"/>
      <c r="G84" s="57" t="s">
        <v>376</v>
      </c>
      <c r="H84" s="58">
        <v>0</v>
      </c>
      <c r="I84" s="58">
        <v>0</v>
      </c>
      <c r="J84" s="58">
        <v>0</v>
      </c>
      <c r="K84" s="58">
        <v>0</v>
      </c>
      <c r="L84" s="58">
        <v>0</v>
      </c>
      <c r="M84" s="58">
        <v>0</v>
      </c>
      <c r="N84" s="76">
        <v>0</v>
      </c>
      <c r="O84" s="76">
        <v>0</v>
      </c>
      <c r="P84" s="76">
        <v>0</v>
      </c>
      <c r="Q84" s="76">
        <v>0</v>
      </c>
      <c r="R84" s="76">
        <v>0</v>
      </c>
      <c r="S84" s="58">
        <v>0</v>
      </c>
    </row>
    <row r="85" spans="1:19" ht="12" x14ac:dyDescent="0.2">
      <c r="A85" s="8"/>
      <c r="B85" s="2" t="s">
        <v>186</v>
      </c>
      <c r="C85" s="36">
        <v>68</v>
      </c>
      <c r="D85" s="34" t="s">
        <v>135</v>
      </c>
      <c r="E85" s="11" t="s">
        <v>89</v>
      </c>
      <c r="F85" s="12"/>
      <c r="G85" s="70" t="s">
        <v>111</v>
      </c>
      <c r="H85" s="58">
        <v>0</v>
      </c>
      <c r="I85" s="58">
        <v>0</v>
      </c>
      <c r="J85" s="58">
        <v>0</v>
      </c>
      <c r="K85" s="58">
        <v>0</v>
      </c>
      <c r="L85" s="58">
        <v>0</v>
      </c>
      <c r="M85" s="58">
        <v>0</v>
      </c>
      <c r="N85" s="76">
        <v>0</v>
      </c>
      <c r="O85" s="76">
        <v>0</v>
      </c>
      <c r="P85" s="76">
        <v>0</v>
      </c>
      <c r="Q85" s="76">
        <v>0</v>
      </c>
      <c r="R85" s="76">
        <v>0</v>
      </c>
      <c r="S85" s="58">
        <v>0</v>
      </c>
    </row>
    <row r="86" spans="1:19" x14ac:dyDescent="0.2">
      <c r="A86" s="8"/>
      <c r="B86" s="2" t="s">
        <v>377</v>
      </c>
      <c r="C86" s="10"/>
      <c r="D86" s="10"/>
      <c r="E86" s="9"/>
      <c r="G86" s="70" t="s">
        <v>158</v>
      </c>
      <c r="H86" s="56">
        <f t="shared" ref="H86:S86" si="18">SUM(H74:H85)</f>
        <v>0</v>
      </c>
      <c r="I86" s="56">
        <f t="shared" si="18"/>
        <v>-3.9E-2</v>
      </c>
      <c r="J86" s="56">
        <f t="shared" si="18"/>
        <v>0</v>
      </c>
      <c r="K86" s="56">
        <f t="shared" si="18"/>
        <v>0</v>
      </c>
      <c r="L86" s="56">
        <f t="shared" si="18"/>
        <v>0</v>
      </c>
      <c r="M86" s="56">
        <f t="shared" si="18"/>
        <v>0</v>
      </c>
      <c r="N86" s="56">
        <f t="shared" si="18"/>
        <v>0</v>
      </c>
      <c r="O86" s="56">
        <f t="shared" si="18"/>
        <v>0</v>
      </c>
      <c r="P86" s="56">
        <f t="shared" si="18"/>
        <v>0</v>
      </c>
      <c r="Q86" s="56">
        <f t="shared" si="18"/>
        <v>0</v>
      </c>
      <c r="R86" s="56">
        <f t="shared" si="18"/>
        <v>0</v>
      </c>
      <c r="S86" s="56">
        <f t="shared" si="18"/>
        <v>0</v>
      </c>
    </row>
    <row r="87" spans="1:19" s="4" customFormat="1" x14ac:dyDescent="0.2">
      <c r="A87" s="8"/>
      <c r="B87" s="2" t="s">
        <v>378</v>
      </c>
      <c r="C87" s="10"/>
      <c r="D87" s="10"/>
      <c r="E87" s="9"/>
      <c r="F87" s="8"/>
      <c r="G87" s="89" t="s">
        <v>379</v>
      </c>
      <c r="H87" s="98"/>
      <c r="I87" s="85">
        <f t="shared" ref="I87:S87" si="19">(I14+I15)-(H14+H15-I58-I59+I45)</f>
        <v>0</v>
      </c>
      <c r="J87" s="85">
        <f t="shared" si="19"/>
        <v>0</v>
      </c>
      <c r="K87" s="85">
        <f t="shared" si="19"/>
        <v>0</v>
      </c>
      <c r="L87" s="85">
        <f t="shared" si="19"/>
        <v>0</v>
      </c>
      <c r="M87" s="85">
        <f t="shared" si="19"/>
        <v>0</v>
      </c>
      <c r="N87" s="85">
        <f t="shared" si="19"/>
        <v>0</v>
      </c>
      <c r="O87" s="85">
        <f t="shared" si="19"/>
        <v>0</v>
      </c>
      <c r="P87" s="85">
        <f t="shared" si="19"/>
        <v>0</v>
      </c>
      <c r="Q87" s="85">
        <f t="shared" si="19"/>
        <v>0</v>
      </c>
      <c r="R87" s="85">
        <f t="shared" si="19"/>
        <v>0</v>
      </c>
      <c r="S87" s="85">
        <f t="shared" si="19"/>
        <v>0</v>
      </c>
    </row>
    <row r="88" spans="1:19" s="4" customFormat="1" x14ac:dyDescent="0.2">
      <c r="A88" s="8"/>
      <c r="B88" s="2" t="s">
        <v>380</v>
      </c>
      <c r="C88" s="10"/>
      <c r="D88" s="10"/>
      <c r="E88" s="9"/>
      <c r="F88" s="8"/>
      <c r="G88" s="89" t="s">
        <v>381</v>
      </c>
      <c r="H88" s="98"/>
      <c r="I88" s="85">
        <f>I24-(H24+(I74+I76)+(I75+I77)+(I78))</f>
        <v>0</v>
      </c>
      <c r="J88" s="85">
        <f>J24-(I24+(J74+J76)+(J75+J77)+(J78))</f>
        <v>0</v>
      </c>
      <c r="K88" s="85">
        <f>K24-(J24+(K74+K76)+(K75+K77)+(K78))</f>
        <v>0</v>
      </c>
      <c r="L88" s="85">
        <f>L24-(K24+(L74+L76)+(L75+L77)+(L78))</f>
        <v>0</v>
      </c>
      <c r="M88" s="85">
        <f>M24-(L24+(M74+M76)+(M75+M77)+(M78))</f>
        <v>0</v>
      </c>
      <c r="N88" s="85">
        <f t="shared" ref="N88:S88" si="20">N24-(M24+(N74+N76)+(N75+N77)+(N78))</f>
        <v>0</v>
      </c>
      <c r="O88" s="85">
        <f t="shared" si="20"/>
        <v>0</v>
      </c>
      <c r="P88" s="85">
        <f t="shared" si="20"/>
        <v>0</v>
      </c>
      <c r="Q88" s="85">
        <f t="shared" si="20"/>
        <v>0</v>
      </c>
      <c r="R88" s="85">
        <f t="shared" si="20"/>
        <v>0</v>
      </c>
      <c r="S88" s="85">
        <f t="shared" si="20"/>
        <v>0</v>
      </c>
    </row>
    <row r="89" spans="1:19" s="4" customFormat="1" x14ac:dyDescent="0.2">
      <c r="A89" s="8"/>
      <c r="B89" s="2" t="s">
        <v>382</v>
      </c>
      <c r="C89" s="10"/>
      <c r="D89" s="10"/>
      <c r="E89" s="9"/>
      <c r="F89" s="8"/>
      <c r="G89" s="89" t="s">
        <v>383</v>
      </c>
      <c r="H89" s="98"/>
      <c r="I89" s="85">
        <f t="shared" ref="I89:S89" si="21">I28-(H28+(I82+I83))</f>
        <v>0</v>
      </c>
      <c r="J89" s="85">
        <f t="shared" si="21"/>
        <v>0</v>
      </c>
      <c r="K89" s="85">
        <f t="shared" si="21"/>
        <v>0</v>
      </c>
      <c r="L89" s="85">
        <f t="shared" si="21"/>
        <v>0</v>
      </c>
      <c r="M89" s="85">
        <f t="shared" si="21"/>
        <v>0</v>
      </c>
      <c r="N89" s="85">
        <f t="shared" si="21"/>
        <v>0</v>
      </c>
      <c r="O89" s="85">
        <f t="shared" si="21"/>
        <v>0</v>
      </c>
      <c r="P89" s="85">
        <f t="shared" si="21"/>
        <v>0</v>
      </c>
      <c r="Q89" s="85">
        <f t="shared" si="21"/>
        <v>0</v>
      </c>
      <c r="R89" s="85">
        <f t="shared" si="21"/>
        <v>0</v>
      </c>
      <c r="S89" s="85">
        <f t="shared" si="21"/>
        <v>0</v>
      </c>
    </row>
    <row r="90" spans="1:19" s="4" customFormat="1" x14ac:dyDescent="0.2">
      <c r="A90" s="8"/>
      <c r="B90" s="2" t="s">
        <v>384</v>
      </c>
      <c r="C90" s="10"/>
      <c r="D90" s="10"/>
      <c r="E90" s="9"/>
      <c r="F90" s="8"/>
      <c r="G90" s="89" t="s">
        <v>385</v>
      </c>
      <c r="H90" s="98"/>
      <c r="I90" s="85">
        <f t="shared" ref="I90:S90" si="22">I29-(H29+H30)-I84</f>
        <v>-9.9999999999944578E-4</v>
      </c>
      <c r="J90" s="85">
        <f t="shared" si="22"/>
        <v>0</v>
      </c>
      <c r="K90" s="85">
        <f t="shared" si="22"/>
        <v>-1.7763568394002505E-15</v>
      </c>
      <c r="L90" s="85">
        <f t="shared" si="22"/>
        <v>1.7763568394002505E-15</v>
      </c>
      <c r="M90" s="85">
        <f t="shared" si="22"/>
        <v>-8.8817841970012523E-16</v>
      </c>
      <c r="N90" s="85">
        <f t="shared" si="22"/>
        <v>-9.0000000000003411E-3</v>
      </c>
      <c r="O90" s="85">
        <f t="shared" si="22"/>
        <v>0.45000000000000107</v>
      </c>
      <c r="P90" s="85">
        <f t="shared" si="22"/>
        <v>0</v>
      </c>
      <c r="Q90" s="85">
        <f t="shared" si="22"/>
        <v>0</v>
      </c>
      <c r="R90" s="85">
        <f t="shared" si="22"/>
        <v>0</v>
      </c>
      <c r="S90" s="85">
        <f t="shared" si="22"/>
        <v>0</v>
      </c>
    </row>
    <row r="91" spans="1:19" s="4" customFormat="1" x14ac:dyDescent="0.2">
      <c r="A91" s="8"/>
      <c r="B91" s="2"/>
      <c r="C91" s="10"/>
      <c r="D91" s="10"/>
      <c r="E91" s="9"/>
      <c r="F91" s="8"/>
      <c r="G91" s="28"/>
      <c r="L91" s="93">
        <f>L90-L87</f>
        <v>1.7763568394002505E-15</v>
      </c>
    </row>
    <row r="92" spans="1:19" s="4" customFormat="1" x14ac:dyDescent="0.2">
      <c r="A92" s="13" t="s">
        <v>0</v>
      </c>
      <c r="B92" s="2"/>
      <c r="C92" s="10"/>
      <c r="D92" s="753" t="s">
        <v>187</v>
      </c>
      <c r="E92" s="754"/>
      <c r="F92" s="8"/>
      <c r="G92" s="94" t="s">
        <v>386</v>
      </c>
      <c r="H92" s="87">
        <f>H73</f>
        <v>2011</v>
      </c>
      <c r="I92" s="87">
        <f t="shared" ref="I92:S92" si="23">I73</f>
        <v>2012</v>
      </c>
      <c r="J92" s="87">
        <f t="shared" si="23"/>
        <v>2013</v>
      </c>
      <c r="K92" s="87">
        <f t="shared" si="23"/>
        <v>2014</v>
      </c>
      <c r="L92" s="87">
        <f t="shared" si="23"/>
        <v>2015</v>
      </c>
      <c r="M92" s="87">
        <f t="shared" si="23"/>
        <v>2016</v>
      </c>
      <c r="N92" s="87">
        <f t="shared" si="23"/>
        <v>2017</v>
      </c>
      <c r="O92" s="87">
        <f t="shared" si="23"/>
        <v>2018</v>
      </c>
      <c r="P92" s="87">
        <f t="shared" si="23"/>
        <v>2019</v>
      </c>
      <c r="Q92" s="87">
        <f t="shared" si="23"/>
        <v>2020</v>
      </c>
      <c r="R92" s="87">
        <f t="shared" si="23"/>
        <v>2021</v>
      </c>
      <c r="S92" s="87">
        <f t="shared" si="23"/>
        <v>2022</v>
      </c>
    </row>
    <row r="93" spans="1:19" s="4" customFormat="1" x14ac:dyDescent="0.2">
      <c r="A93" s="8"/>
      <c r="B93" s="2" t="s">
        <v>387</v>
      </c>
      <c r="C93" s="10" t="s">
        <v>388</v>
      </c>
      <c r="D93" s="10"/>
      <c r="E93" s="9"/>
      <c r="F93" s="8"/>
      <c r="G93" s="95" t="s">
        <v>389</v>
      </c>
      <c r="H93" s="96">
        <f>H5+H11+H12+H13</f>
        <v>26.447000000000003</v>
      </c>
      <c r="I93" s="96">
        <f>I5+I11+I12+I13</f>
        <v>21.798999999999999</v>
      </c>
      <c r="J93" s="96">
        <f t="shared" ref="J93:S93" si="24">J5+J11+J12+J13</f>
        <v>19.614000000000001</v>
      </c>
      <c r="K93" s="96">
        <f t="shared" si="24"/>
        <v>13.007</v>
      </c>
      <c r="L93" s="96">
        <f t="shared" si="24"/>
        <v>11.504</v>
      </c>
      <c r="M93" s="96">
        <f t="shared" si="24"/>
        <v>12.565</v>
      </c>
      <c r="N93" s="96">
        <f t="shared" si="24"/>
        <v>3.7990000000000004</v>
      </c>
      <c r="O93" s="96">
        <f t="shared" si="24"/>
        <v>3</v>
      </c>
      <c r="P93" s="96">
        <f t="shared" si="24"/>
        <v>3</v>
      </c>
      <c r="Q93" s="96">
        <f t="shared" si="24"/>
        <v>3</v>
      </c>
      <c r="R93" s="96">
        <f t="shared" si="24"/>
        <v>3</v>
      </c>
      <c r="S93" s="96">
        <f t="shared" si="24"/>
        <v>3</v>
      </c>
    </row>
    <row r="94" spans="1:19" s="4" customFormat="1" x14ac:dyDescent="0.2">
      <c r="A94" s="8"/>
      <c r="B94" s="2" t="s">
        <v>390</v>
      </c>
      <c r="C94" s="10"/>
      <c r="D94" s="10"/>
      <c r="E94" s="9"/>
      <c r="F94" s="8"/>
      <c r="G94" s="97" t="s">
        <v>391</v>
      </c>
      <c r="H94" s="98"/>
      <c r="I94" s="96">
        <f>I93-H93</f>
        <v>-4.6480000000000032</v>
      </c>
      <c r="J94" s="96">
        <f t="shared" ref="J94:S94" si="25">J93-I93</f>
        <v>-2.1849999999999987</v>
      </c>
      <c r="K94" s="96">
        <f t="shared" si="25"/>
        <v>-6.6070000000000011</v>
      </c>
      <c r="L94" s="96">
        <f t="shared" si="25"/>
        <v>-1.5030000000000001</v>
      </c>
      <c r="M94" s="96">
        <f t="shared" si="25"/>
        <v>1.0609999999999999</v>
      </c>
      <c r="N94" s="96">
        <f t="shared" si="25"/>
        <v>-8.7659999999999982</v>
      </c>
      <c r="O94" s="96">
        <f t="shared" si="25"/>
        <v>-0.79900000000000038</v>
      </c>
      <c r="P94" s="96">
        <f t="shared" si="25"/>
        <v>0</v>
      </c>
      <c r="Q94" s="96">
        <f t="shared" si="25"/>
        <v>0</v>
      </c>
      <c r="R94" s="96">
        <f t="shared" si="25"/>
        <v>0</v>
      </c>
      <c r="S94" s="96">
        <f t="shared" si="25"/>
        <v>0</v>
      </c>
    </row>
    <row r="95" spans="1:19" s="4" customFormat="1" x14ac:dyDescent="0.2">
      <c r="A95" s="8"/>
      <c r="B95" s="2" t="s">
        <v>392</v>
      </c>
      <c r="C95" s="10" t="s">
        <v>42</v>
      </c>
      <c r="D95" s="10"/>
      <c r="E95" s="9"/>
      <c r="F95" s="8"/>
      <c r="G95" s="95" t="s">
        <v>393</v>
      </c>
      <c r="H95" s="96">
        <f>H19</f>
        <v>11.683</v>
      </c>
      <c r="I95" s="96">
        <f t="shared" ref="I95:S95" si="26">I19</f>
        <v>4.5880000000000001</v>
      </c>
      <c r="J95" s="96">
        <f t="shared" si="26"/>
        <v>3.8530000000000002</v>
      </c>
      <c r="K95" s="96">
        <f t="shared" si="26"/>
        <v>3.4470000000000001</v>
      </c>
      <c r="L95" s="96">
        <f t="shared" si="26"/>
        <v>5.4509999999999996</v>
      </c>
      <c r="M95" s="96">
        <f t="shared" si="26"/>
        <v>3.2490000000000001</v>
      </c>
      <c r="N95" s="96">
        <f>N19</f>
        <v>4.2699999999999996</v>
      </c>
      <c r="O95" s="96">
        <f t="shared" si="26"/>
        <v>3</v>
      </c>
      <c r="P95" s="96">
        <f t="shared" si="26"/>
        <v>3</v>
      </c>
      <c r="Q95" s="96">
        <f t="shared" si="26"/>
        <v>3</v>
      </c>
      <c r="R95" s="96">
        <f t="shared" si="26"/>
        <v>3</v>
      </c>
      <c r="S95" s="96">
        <f t="shared" si="26"/>
        <v>3</v>
      </c>
    </row>
    <row r="96" spans="1:19" s="4" customFormat="1" x14ac:dyDescent="0.2">
      <c r="A96" s="8"/>
      <c r="B96" s="2" t="s">
        <v>394</v>
      </c>
      <c r="C96" s="10"/>
      <c r="D96" s="10"/>
      <c r="E96" s="9"/>
      <c r="F96" s="8"/>
      <c r="G96" s="97" t="s">
        <v>391</v>
      </c>
      <c r="H96" s="98"/>
      <c r="I96" s="96">
        <f>I95-H95</f>
        <v>-7.0949999999999998</v>
      </c>
      <c r="J96" s="96">
        <f t="shared" ref="J96:S96" si="27">J95-I95</f>
        <v>-0.73499999999999988</v>
      </c>
      <c r="K96" s="96">
        <f t="shared" si="27"/>
        <v>-0.40600000000000014</v>
      </c>
      <c r="L96" s="96">
        <f t="shared" si="27"/>
        <v>2.0039999999999996</v>
      </c>
      <c r="M96" s="96">
        <f t="shared" si="27"/>
        <v>-2.2019999999999995</v>
      </c>
      <c r="N96" s="96">
        <f t="shared" si="27"/>
        <v>1.0209999999999995</v>
      </c>
      <c r="O96" s="96">
        <f t="shared" si="27"/>
        <v>-1.2699999999999996</v>
      </c>
      <c r="P96" s="96">
        <f t="shared" si="27"/>
        <v>0</v>
      </c>
      <c r="Q96" s="96">
        <f t="shared" si="27"/>
        <v>0</v>
      </c>
      <c r="R96" s="96">
        <f t="shared" si="27"/>
        <v>0</v>
      </c>
      <c r="S96" s="96">
        <f t="shared" si="27"/>
        <v>0</v>
      </c>
    </row>
    <row r="97" spans="1:20" s="40" customFormat="1" x14ac:dyDescent="0.2">
      <c r="A97" s="29" t="s">
        <v>395</v>
      </c>
      <c r="B97" s="2" t="s">
        <v>188</v>
      </c>
      <c r="C97" s="10" t="s">
        <v>396</v>
      </c>
      <c r="D97" s="99"/>
      <c r="E97" s="30"/>
      <c r="F97" s="29"/>
      <c r="G97" s="100" t="s">
        <v>386</v>
      </c>
      <c r="H97" s="101"/>
      <c r="I97" s="102">
        <f>I94-I96</f>
        <v>2.4469999999999965</v>
      </c>
      <c r="J97" s="102">
        <f t="shared" ref="J97:S97" si="28">J94-J96</f>
        <v>-1.4499999999999988</v>
      </c>
      <c r="K97" s="102">
        <f t="shared" si="28"/>
        <v>-6.2010000000000005</v>
      </c>
      <c r="L97" s="102">
        <f t="shared" si="28"/>
        <v>-3.5069999999999997</v>
      </c>
      <c r="M97" s="102">
        <f t="shared" si="28"/>
        <v>3.2629999999999995</v>
      </c>
      <c r="N97" s="102">
        <f t="shared" si="28"/>
        <v>-9.7869999999999973</v>
      </c>
      <c r="O97" s="102">
        <f t="shared" si="28"/>
        <v>0.4709999999999992</v>
      </c>
      <c r="P97" s="102">
        <f t="shared" si="28"/>
        <v>0</v>
      </c>
      <c r="Q97" s="102">
        <f t="shared" si="28"/>
        <v>0</v>
      </c>
      <c r="R97" s="102">
        <f t="shared" si="28"/>
        <v>0</v>
      </c>
      <c r="S97" s="102">
        <f t="shared" si="28"/>
        <v>0</v>
      </c>
    </row>
    <row r="98" spans="1:20" s="4" customFormat="1" x14ac:dyDescent="0.2">
      <c r="A98" s="8"/>
      <c r="B98" s="2"/>
      <c r="C98" s="10"/>
      <c r="D98" s="10"/>
      <c r="E98" s="9"/>
      <c r="F98" s="8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</row>
    <row r="99" spans="1:20" s="4" customFormat="1" x14ac:dyDescent="0.2">
      <c r="A99" s="8"/>
      <c r="B99" s="2" t="s">
        <v>397</v>
      </c>
      <c r="C99" s="10" t="s">
        <v>398</v>
      </c>
      <c r="D99" s="10"/>
      <c r="E99" s="9"/>
      <c r="F99" s="8"/>
      <c r="G99" s="95" t="s">
        <v>399</v>
      </c>
      <c r="H99" s="96">
        <f>H4-H93</f>
        <v>0</v>
      </c>
      <c r="I99" s="96">
        <f t="shared" ref="I99:S99" si="29">I4-I93</f>
        <v>0</v>
      </c>
      <c r="J99" s="96">
        <f t="shared" si="29"/>
        <v>0</v>
      </c>
      <c r="K99" s="96">
        <f t="shared" si="29"/>
        <v>0</v>
      </c>
      <c r="L99" s="96">
        <f t="shared" si="29"/>
        <v>0</v>
      </c>
      <c r="M99" s="96">
        <f t="shared" si="29"/>
        <v>0</v>
      </c>
      <c r="N99" s="96">
        <f t="shared" si="29"/>
        <v>0</v>
      </c>
      <c r="O99" s="96">
        <f t="shared" si="29"/>
        <v>0</v>
      </c>
      <c r="P99" s="96">
        <f t="shared" si="29"/>
        <v>0</v>
      </c>
      <c r="Q99" s="96">
        <f t="shared" si="29"/>
        <v>0</v>
      </c>
      <c r="R99" s="96">
        <f t="shared" si="29"/>
        <v>0</v>
      </c>
      <c r="S99" s="96">
        <f t="shared" si="29"/>
        <v>0</v>
      </c>
    </row>
    <row r="100" spans="1:20" s="4" customFormat="1" x14ac:dyDescent="0.2">
      <c r="A100" s="8"/>
      <c r="B100" s="2" t="s">
        <v>400</v>
      </c>
      <c r="C100" s="10"/>
      <c r="D100" s="10"/>
      <c r="E100" s="9"/>
      <c r="F100" s="8"/>
      <c r="G100" s="97" t="s">
        <v>391</v>
      </c>
      <c r="H100" s="98"/>
      <c r="I100" s="96">
        <f>I99-H99</f>
        <v>0</v>
      </c>
      <c r="J100" s="96">
        <f t="shared" ref="J100:S100" si="30">J99-I99</f>
        <v>0</v>
      </c>
      <c r="K100" s="96">
        <f t="shared" si="30"/>
        <v>0</v>
      </c>
      <c r="L100" s="96">
        <f t="shared" si="30"/>
        <v>0</v>
      </c>
      <c r="M100" s="96">
        <f t="shared" si="30"/>
        <v>0</v>
      </c>
      <c r="N100" s="96">
        <f t="shared" si="30"/>
        <v>0</v>
      </c>
      <c r="O100" s="96">
        <f t="shared" si="30"/>
        <v>0</v>
      </c>
      <c r="P100" s="96">
        <f t="shared" si="30"/>
        <v>0</v>
      </c>
      <c r="Q100" s="96">
        <f t="shared" si="30"/>
        <v>0</v>
      </c>
      <c r="R100" s="96">
        <f t="shared" si="30"/>
        <v>0</v>
      </c>
      <c r="S100" s="96">
        <f t="shared" si="30"/>
        <v>0</v>
      </c>
    </row>
    <row r="101" spans="1:20" s="4" customFormat="1" x14ac:dyDescent="0.2">
      <c r="A101" s="8"/>
      <c r="B101" s="2" t="s">
        <v>401</v>
      </c>
      <c r="C101" s="10" t="s">
        <v>64</v>
      </c>
      <c r="D101" s="10"/>
      <c r="E101" s="9"/>
      <c r="F101" s="8"/>
      <c r="G101" s="95" t="s">
        <v>402</v>
      </c>
      <c r="H101" s="96">
        <f>H27</f>
        <v>14.763999999999999</v>
      </c>
      <c r="I101" s="96">
        <f t="shared" ref="I101:S101" si="31">I27</f>
        <v>17.21</v>
      </c>
      <c r="J101" s="96">
        <f t="shared" si="31"/>
        <v>15.760000000000002</v>
      </c>
      <c r="K101" s="96">
        <f t="shared" si="31"/>
        <v>9.5599999999999987</v>
      </c>
      <c r="L101" s="96">
        <f t="shared" si="31"/>
        <v>6.0530000000000008</v>
      </c>
      <c r="M101" s="96">
        <f t="shared" si="31"/>
        <v>8.9589999999999996</v>
      </c>
      <c r="N101" s="96">
        <f t="shared" si="31"/>
        <v>-0.45000000000000107</v>
      </c>
      <c r="O101" s="96">
        <f t="shared" si="31"/>
        <v>0</v>
      </c>
      <c r="P101" s="96">
        <f t="shared" si="31"/>
        <v>0</v>
      </c>
      <c r="Q101" s="96">
        <f t="shared" si="31"/>
        <v>0</v>
      </c>
      <c r="R101" s="96">
        <f t="shared" si="31"/>
        <v>0</v>
      </c>
      <c r="S101" s="96">
        <f t="shared" si="31"/>
        <v>0</v>
      </c>
    </row>
    <row r="102" spans="1:20" s="4" customFormat="1" x14ac:dyDescent="0.2">
      <c r="A102" s="8"/>
      <c r="B102" s="2" t="s">
        <v>403</v>
      </c>
      <c r="C102" s="10"/>
      <c r="D102" s="10"/>
      <c r="E102" s="9"/>
      <c r="F102" s="8"/>
      <c r="G102" s="97" t="s">
        <v>391</v>
      </c>
      <c r="H102" s="98"/>
      <c r="I102" s="96">
        <f>I101-H101</f>
        <v>2.4460000000000015</v>
      </c>
      <c r="J102" s="96">
        <f t="shared" ref="J102:S102" si="32">J101-I101</f>
        <v>-1.4499999999999993</v>
      </c>
      <c r="K102" s="96">
        <f t="shared" si="32"/>
        <v>-6.2000000000000028</v>
      </c>
      <c r="L102" s="96">
        <f t="shared" si="32"/>
        <v>-3.5069999999999979</v>
      </c>
      <c r="M102" s="96">
        <f t="shared" si="32"/>
        <v>2.9059999999999988</v>
      </c>
      <c r="N102" s="96">
        <f t="shared" si="32"/>
        <v>-9.4090000000000007</v>
      </c>
      <c r="O102" s="96">
        <f t="shared" si="32"/>
        <v>0.45000000000000107</v>
      </c>
      <c r="P102" s="96">
        <f t="shared" si="32"/>
        <v>0</v>
      </c>
      <c r="Q102" s="96">
        <f t="shared" si="32"/>
        <v>0</v>
      </c>
      <c r="R102" s="96">
        <f t="shared" si="32"/>
        <v>0</v>
      </c>
      <c r="S102" s="96">
        <f t="shared" si="32"/>
        <v>0</v>
      </c>
    </row>
    <row r="103" spans="1:20" s="40" customFormat="1" x14ac:dyDescent="0.2">
      <c r="A103" s="29" t="s">
        <v>404</v>
      </c>
      <c r="B103" s="2" t="s">
        <v>189</v>
      </c>
      <c r="C103" s="10" t="s">
        <v>405</v>
      </c>
      <c r="D103" s="10"/>
      <c r="E103" s="9"/>
      <c r="F103" s="8"/>
      <c r="G103" s="100" t="s">
        <v>406</v>
      </c>
      <c r="H103" s="101"/>
      <c r="I103" s="102">
        <f>I102-I100</f>
        <v>2.4460000000000015</v>
      </c>
      <c r="J103" s="102">
        <f t="shared" ref="J103:S103" si="33">J102-J100</f>
        <v>-1.4499999999999993</v>
      </c>
      <c r="K103" s="102">
        <f t="shared" si="33"/>
        <v>-6.2000000000000028</v>
      </c>
      <c r="L103" s="102">
        <f t="shared" si="33"/>
        <v>-3.5069999999999979</v>
      </c>
      <c r="M103" s="102">
        <f t="shared" si="33"/>
        <v>2.9059999999999988</v>
      </c>
      <c r="N103" s="102">
        <f t="shared" si="33"/>
        <v>-9.4090000000000007</v>
      </c>
      <c r="O103" s="102">
        <f t="shared" si="33"/>
        <v>0.45000000000000107</v>
      </c>
      <c r="P103" s="102">
        <f t="shared" si="33"/>
        <v>0</v>
      </c>
      <c r="Q103" s="102">
        <f t="shared" si="33"/>
        <v>0</v>
      </c>
      <c r="R103" s="102">
        <f t="shared" si="33"/>
        <v>0</v>
      </c>
      <c r="S103" s="102">
        <f t="shared" si="33"/>
        <v>0</v>
      </c>
    </row>
    <row r="104" spans="1:20" s="4" customFormat="1" x14ac:dyDescent="0.2">
      <c r="A104" s="8"/>
      <c r="B104" s="2"/>
      <c r="C104" s="10"/>
      <c r="D104" s="10"/>
      <c r="E104" s="9"/>
      <c r="F104" s="8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</row>
    <row r="105" spans="1:20" s="4" customFormat="1" x14ac:dyDescent="0.2">
      <c r="A105" s="13"/>
      <c r="B105" s="2"/>
      <c r="C105" s="10"/>
      <c r="D105" s="10"/>
      <c r="E105" s="9"/>
      <c r="F105" s="8"/>
      <c r="G105" s="94" t="s">
        <v>407</v>
      </c>
      <c r="H105" s="87">
        <f t="shared" ref="H105:S105" si="34">H32</f>
        <v>2011</v>
      </c>
      <c r="I105" s="87">
        <f t="shared" si="34"/>
        <v>2012</v>
      </c>
      <c r="J105" s="87">
        <f t="shared" si="34"/>
        <v>2013</v>
      </c>
      <c r="K105" s="87">
        <f t="shared" si="34"/>
        <v>2014</v>
      </c>
      <c r="L105" s="87">
        <f t="shared" si="34"/>
        <v>2015</v>
      </c>
      <c r="M105" s="87">
        <f t="shared" si="34"/>
        <v>2016</v>
      </c>
      <c r="N105" s="87">
        <f t="shared" si="34"/>
        <v>2017</v>
      </c>
      <c r="O105" s="87">
        <f t="shared" si="34"/>
        <v>2018</v>
      </c>
      <c r="P105" s="87">
        <f t="shared" si="34"/>
        <v>2019</v>
      </c>
      <c r="Q105" s="87">
        <f t="shared" si="34"/>
        <v>2020</v>
      </c>
      <c r="R105" s="87">
        <f t="shared" si="34"/>
        <v>2021</v>
      </c>
      <c r="S105" s="87">
        <f t="shared" si="34"/>
        <v>2022</v>
      </c>
    </row>
    <row r="106" spans="1:20" s="40" customFormat="1" x14ac:dyDescent="0.2">
      <c r="A106" s="29" t="s">
        <v>408</v>
      </c>
      <c r="B106" s="2" t="s">
        <v>192</v>
      </c>
      <c r="C106" s="29" t="s">
        <v>409</v>
      </c>
      <c r="D106" s="10"/>
      <c r="E106" s="9"/>
      <c r="F106" s="8"/>
      <c r="G106" s="103" t="s">
        <v>407</v>
      </c>
      <c r="H106" s="101" t="s">
        <v>358</v>
      </c>
      <c r="I106" s="104">
        <f t="shared" ref="I106:N106" si="35">(I48-I45+I50)+(I58+I59)+(I82+I83+I84+I85)-(I85-I49)</f>
        <v>2.5810000000000004</v>
      </c>
      <c r="J106" s="104">
        <f t="shared" si="35"/>
        <v>-1.4500000000000028</v>
      </c>
      <c r="K106" s="104">
        <f t="shared" si="35"/>
        <v>-6.1989999999999981</v>
      </c>
      <c r="L106" s="104">
        <f t="shared" si="35"/>
        <v>-3.5080000000000124</v>
      </c>
      <c r="M106" s="104">
        <f t="shared" si="35"/>
        <v>2.9059999999999993</v>
      </c>
      <c r="N106" s="104">
        <f t="shared" si="35"/>
        <v>-9.4200000000000159</v>
      </c>
      <c r="O106" s="104">
        <f>(O48-O45+O50)+(O58+O59)+(O82+O83+O84+O85)-(O85-O49)</f>
        <v>-0.11999999999997613</v>
      </c>
      <c r="P106" s="104">
        <f>(P48-P45+P50)+(P58+P59)+(P82+P83+P84+P85)-(P85-P49)</f>
        <v>0</v>
      </c>
      <c r="Q106" s="104">
        <f>(Q48-Q45+Q50)+(Q58+Q59)+(Q82+Q83+Q84+Q85)-(Q85-Q49)</f>
        <v>0</v>
      </c>
      <c r="R106" s="104">
        <f>(R48-R45+R50)+(R58+R59)+(R82+R83+R84+R85)-(R85-R49)</f>
        <v>0</v>
      </c>
      <c r="S106" s="104">
        <f>(S48-S45+S50)+(S58+S59)+(S82+S83+S84+S85)-(S85-S49)</f>
        <v>0</v>
      </c>
    </row>
    <row r="107" spans="1:20" s="40" customFormat="1" x14ac:dyDescent="0.2">
      <c r="A107" s="29" t="s">
        <v>410</v>
      </c>
      <c r="B107" s="2" t="s">
        <v>194</v>
      </c>
      <c r="C107" s="29" t="s">
        <v>411</v>
      </c>
      <c r="D107" s="10"/>
      <c r="E107" s="9"/>
      <c r="F107" s="8"/>
      <c r="G107" s="89" t="s">
        <v>412</v>
      </c>
      <c r="H107" s="101" t="s">
        <v>358</v>
      </c>
      <c r="I107" s="85">
        <f>I97-I106</f>
        <v>-0.13400000000000389</v>
      </c>
      <c r="J107" s="85">
        <f t="shared" ref="J107:S107" si="36">J97-J106</f>
        <v>3.9968028886505635E-15</v>
      </c>
      <c r="K107" s="85">
        <f t="shared" si="36"/>
        <v>-2.0000000000024443E-3</v>
      </c>
      <c r="L107" s="85">
        <f t="shared" si="36"/>
        <v>1.0000000000127685E-3</v>
      </c>
      <c r="M107" s="85">
        <f t="shared" si="36"/>
        <v>0.35700000000000021</v>
      </c>
      <c r="N107" s="85">
        <f t="shared" si="36"/>
        <v>-0.36699999999998134</v>
      </c>
      <c r="O107" s="85">
        <f t="shared" si="36"/>
        <v>0.59099999999997532</v>
      </c>
      <c r="P107" s="85">
        <f t="shared" si="36"/>
        <v>0</v>
      </c>
      <c r="Q107" s="85">
        <f t="shared" si="36"/>
        <v>0</v>
      </c>
      <c r="R107" s="85">
        <f t="shared" si="36"/>
        <v>0</v>
      </c>
      <c r="S107" s="85">
        <f t="shared" si="36"/>
        <v>0</v>
      </c>
    </row>
    <row r="108" spans="1:20" s="40" customFormat="1" x14ac:dyDescent="0.2">
      <c r="A108" s="29"/>
      <c r="B108" s="2"/>
      <c r="C108" s="29"/>
      <c r="D108" s="10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</row>
    <row r="109" spans="1:20" s="40" customFormat="1" x14ac:dyDescent="0.2">
      <c r="A109" s="29"/>
      <c r="B109" s="2"/>
      <c r="C109" s="29"/>
      <c r="D109" s="10"/>
      <c r="E109" s="9"/>
      <c r="F109" s="8"/>
      <c r="G109" s="94" t="s">
        <v>413</v>
      </c>
      <c r="H109" s="87">
        <f>H105</f>
        <v>2011</v>
      </c>
      <c r="I109" s="87">
        <f t="shared" ref="I109:S109" si="37">I105</f>
        <v>2012</v>
      </c>
      <c r="J109" s="87">
        <f t="shared" si="37"/>
        <v>2013</v>
      </c>
      <c r="K109" s="87">
        <f t="shared" si="37"/>
        <v>2014</v>
      </c>
      <c r="L109" s="87">
        <f t="shared" si="37"/>
        <v>2015</v>
      </c>
      <c r="M109" s="87">
        <f t="shared" si="37"/>
        <v>2016</v>
      </c>
      <c r="N109" s="87">
        <f t="shared" si="37"/>
        <v>2017</v>
      </c>
      <c r="O109" s="87">
        <f t="shared" si="37"/>
        <v>2018</v>
      </c>
      <c r="P109" s="87">
        <f t="shared" si="37"/>
        <v>2019</v>
      </c>
      <c r="Q109" s="87">
        <f t="shared" si="37"/>
        <v>2020</v>
      </c>
      <c r="R109" s="87">
        <f t="shared" si="37"/>
        <v>2021</v>
      </c>
      <c r="S109" s="87">
        <f t="shared" si="37"/>
        <v>2022</v>
      </c>
    </row>
    <row r="110" spans="1:20" s="4" customFormat="1" x14ac:dyDescent="0.2">
      <c r="A110" s="8" t="s">
        <v>414</v>
      </c>
      <c r="B110" s="2" t="s">
        <v>415</v>
      </c>
      <c r="C110" s="34" t="s">
        <v>190</v>
      </c>
      <c r="D110" s="10"/>
      <c r="E110" s="9"/>
      <c r="F110" s="8"/>
      <c r="G110" s="103" t="s">
        <v>191</v>
      </c>
      <c r="H110" s="105">
        <f t="shared" ref="H110:S110" si="38">H33+H38+H41-H45</f>
        <v>10.656999999999996</v>
      </c>
      <c r="I110" s="77">
        <f t="shared" si="38"/>
        <v>2.3900000000000006</v>
      </c>
      <c r="J110" s="77">
        <f t="shared" si="38"/>
        <v>-1.4500000000000028</v>
      </c>
      <c r="K110" s="77">
        <f t="shared" si="38"/>
        <v>-6.1989999999999981</v>
      </c>
      <c r="L110" s="77">
        <f t="shared" si="38"/>
        <v>-3.5740000000000123</v>
      </c>
      <c r="M110" s="77">
        <f t="shared" si="38"/>
        <v>2.8569999999999993</v>
      </c>
      <c r="N110" s="77">
        <f t="shared" si="38"/>
        <v>-9.4200000000000159</v>
      </c>
      <c r="O110" s="77">
        <f t="shared" si="38"/>
        <v>-0.11999999999997613</v>
      </c>
      <c r="P110" s="77">
        <f t="shared" si="38"/>
        <v>0</v>
      </c>
      <c r="Q110" s="77">
        <f t="shared" si="38"/>
        <v>0</v>
      </c>
      <c r="R110" s="77">
        <f t="shared" si="38"/>
        <v>0</v>
      </c>
      <c r="S110" s="77">
        <f t="shared" si="38"/>
        <v>0</v>
      </c>
    </row>
    <row r="111" spans="1:20" s="4" customFormat="1" x14ac:dyDescent="0.2">
      <c r="A111" s="8" t="s">
        <v>416</v>
      </c>
      <c r="B111" s="2" t="s">
        <v>197</v>
      </c>
      <c r="C111" s="8" t="s">
        <v>417</v>
      </c>
      <c r="D111" s="10"/>
      <c r="E111" s="106">
        <v>0</v>
      </c>
      <c r="F111" s="8"/>
      <c r="G111" s="46" t="s">
        <v>193</v>
      </c>
      <c r="H111" s="107">
        <f t="shared" ref="H111:S111" si="39">H110/H33</f>
        <v>9.3040107558799365E-2</v>
      </c>
      <c r="I111" s="108">
        <f t="shared" si="39"/>
        <v>1.8849472372509744E-2</v>
      </c>
      <c r="J111" s="108">
        <f t="shared" si="39"/>
        <v>-1.1488697498633264E-2</v>
      </c>
      <c r="K111" s="108">
        <f t="shared" si="39"/>
        <v>-5.6063017762182088E-2</v>
      </c>
      <c r="L111" s="108">
        <f t="shared" si="39"/>
        <v>-2.8176120461981254E-2</v>
      </c>
      <c r="M111" s="108">
        <f t="shared" si="39"/>
        <v>2.3826202985572507E-2</v>
      </c>
      <c r="N111" s="108">
        <f t="shared" si="39"/>
        <v>-7.7786952931461734E-2</v>
      </c>
      <c r="O111" s="108">
        <f t="shared" si="39"/>
        <v>-9.3254585017078112E-4</v>
      </c>
      <c r="P111" s="108">
        <f t="shared" si="39"/>
        <v>0</v>
      </c>
      <c r="Q111" s="108">
        <f t="shared" si="39"/>
        <v>0</v>
      </c>
      <c r="R111" s="108">
        <f t="shared" si="39"/>
        <v>0</v>
      </c>
      <c r="S111" s="108">
        <f t="shared" si="39"/>
        <v>0</v>
      </c>
    </row>
    <row r="112" spans="1:20" s="4" customFormat="1" x14ac:dyDescent="0.2">
      <c r="A112" s="8" t="s">
        <v>418</v>
      </c>
      <c r="B112" s="2" t="s">
        <v>200</v>
      </c>
      <c r="C112" s="34" t="s">
        <v>195</v>
      </c>
      <c r="D112" s="10"/>
      <c r="E112" s="109"/>
      <c r="F112" s="8"/>
      <c r="G112" s="110" t="s">
        <v>196</v>
      </c>
      <c r="H112" s="111">
        <f t="shared" ref="H112:S112" si="40">-H33/(H38+H41)</f>
        <v>1.1025845887279202</v>
      </c>
      <c r="I112" s="111">
        <f t="shared" si="40"/>
        <v>1.019211600913154</v>
      </c>
      <c r="J112" s="111">
        <f t="shared" si="40"/>
        <v>0.98864179349997261</v>
      </c>
      <c r="K112" s="111">
        <f t="shared" si="40"/>
        <v>0.94691318906235278</v>
      </c>
      <c r="L112" s="111">
        <f t="shared" si="40"/>
        <v>0.97259601745144486</v>
      </c>
      <c r="M112" s="111">
        <f t="shared" si="40"/>
        <v>1.0244077469180628</v>
      </c>
      <c r="N112" s="111">
        <f t="shared" si="40"/>
        <v>0.92782715292675444</v>
      </c>
      <c r="O112" s="111">
        <f t="shared" si="40"/>
        <v>0.99906832298136661</v>
      </c>
      <c r="P112" s="111">
        <f t="shared" si="40"/>
        <v>1</v>
      </c>
      <c r="Q112" s="111">
        <f t="shared" si="40"/>
        <v>1</v>
      </c>
      <c r="R112" s="111">
        <f t="shared" si="40"/>
        <v>1</v>
      </c>
      <c r="S112" s="111">
        <f t="shared" si="40"/>
        <v>1</v>
      </c>
    </row>
    <row r="113" spans="1:20" s="4" customFormat="1" x14ac:dyDescent="0.2">
      <c r="A113" s="8" t="s">
        <v>419</v>
      </c>
      <c r="B113" s="2" t="s">
        <v>420</v>
      </c>
      <c r="C113" s="8" t="s">
        <v>198</v>
      </c>
      <c r="D113" s="10"/>
      <c r="E113" s="109"/>
      <c r="F113" s="8"/>
      <c r="G113" s="103" t="s">
        <v>199</v>
      </c>
      <c r="H113" s="105">
        <f t="shared" ref="H113:S113" si="41">H46</f>
        <v>10.656999999999996</v>
      </c>
      <c r="I113" s="105">
        <f t="shared" si="41"/>
        <v>2.3900000000000006</v>
      </c>
      <c r="J113" s="105">
        <f t="shared" si="41"/>
        <v>-1.4500000000000028</v>
      </c>
      <c r="K113" s="105">
        <f t="shared" si="41"/>
        <v>-6.1989999999999981</v>
      </c>
      <c r="L113" s="105">
        <f t="shared" si="41"/>
        <v>-3.5740000000000123</v>
      </c>
      <c r="M113" s="105">
        <f t="shared" si="41"/>
        <v>2.8569999999999993</v>
      </c>
      <c r="N113" s="105">
        <f t="shared" si="41"/>
        <v>-9.4200000000000159</v>
      </c>
      <c r="O113" s="105">
        <f t="shared" si="41"/>
        <v>-0.11999999999997613</v>
      </c>
      <c r="P113" s="105">
        <f t="shared" si="41"/>
        <v>0</v>
      </c>
      <c r="Q113" s="105">
        <f t="shared" si="41"/>
        <v>0</v>
      </c>
      <c r="R113" s="105">
        <f t="shared" si="41"/>
        <v>0</v>
      </c>
      <c r="S113" s="105">
        <f t="shared" si="41"/>
        <v>0</v>
      </c>
    </row>
    <row r="114" spans="1:20" s="4" customFormat="1" x14ac:dyDescent="0.2">
      <c r="A114" s="8" t="s">
        <v>421</v>
      </c>
      <c r="B114" s="2" t="s">
        <v>422</v>
      </c>
      <c r="C114" s="8" t="s">
        <v>201</v>
      </c>
      <c r="D114" s="106">
        <v>-0.3</v>
      </c>
      <c r="E114" s="106">
        <v>0</v>
      </c>
      <c r="F114" s="8"/>
      <c r="G114" s="110" t="s">
        <v>202</v>
      </c>
      <c r="H114" s="112">
        <f t="shared" ref="H114:S114" si="42">H46/H33</f>
        <v>9.3040107558799365E-2</v>
      </c>
      <c r="I114" s="113">
        <f t="shared" si="42"/>
        <v>1.8849472372509744E-2</v>
      </c>
      <c r="J114" s="113">
        <f t="shared" si="42"/>
        <v>-1.1488697498633264E-2</v>
      </c>
      <c r="K114" s="113">
        <f t="shared" si="42"/>
        <v>-5.6063017762182088E-2</v>
      </c>
      <c r="L114" s="113">
        <f t="shared" si="42"/>
        <v>-2.8176120461981254E-2</v>
      </c>
      <c r="M114" s="113">
        <f t="shared" si="42"/>
        <v>2.3826202985572507E-2</v>
      </c>
      <c r="N114" s="113">
        <f t="shared" si="42"/>
        <v>-7.7786952931461734E-2</v>
      </c>
      <c r="O114" s="113">
        <f t="shared" si="42"/>
        <v>-9.3254585017078112E-4</v>
      </c>
      <c r="P114" s="113">
        <f t="shared" si="42"/>
        <v>0</v>
      </c>
      <c r="Q114" s="113">
        <f t="shared" si="42"/>
        <v>0</v>
      </c>
      <c r="R114" s="113">
        <f t="shared" si="42"/>
        <v>0</v>
      </c>
      <c r="S114" s="113">
        <f t="shared" si="42"/>
        <v>0</v>
      </c>
    </row>
    <row r="115" spans="1:20" s="4" customFormat="1" x14ac:dyDescent="0.2">
      <c r="A115" s="8" t="s">
        <v>423</v>
      </c>
      <c r="B115" s="2" t="s">
        <v>424</v>
      </c>
      <c r="C115" s="8" t="s">
        <v>204</v>
      </c>
      <c r="D115" s="10"/>
      <c r="E115" s="109"/>
      <c r="F115" s="8"/>
      <c r="G115" s="46" t="s">
        <v>205</v>
      </c>
      <c r="H115" s="105">
        <f t="shared" ref="H115:S115" si="43">H29+H30</f>
        <v>14.763999999999999</v>
      </c>
      <c r="I115" s="105">
        <f t="shared" si="43"/>
        <v>17.21</v>
      </c>
      <c r="J115" s="105">
        <f t="shared" si="43"/>
        <v>15.760000000000002</v>
      </c>
      <c r="K115" s="105">
        <f t="shared" si="43"/>
        <v>9.5599999999999987</v>
      </c>
      <c r="L115" s="105">
        <f t="shared" si="43"/>
        <v>6.0530000000000008</v>
      </c>
      <c r="M115" s="105">
        <f t="shared" si="43"/>
        <v>8.9589999999999996</v>
      </c>
      <c r="N115" s="105">
        <f t="shared" si="43"/>
        <v>-0.45000000000000107</v>
      </c>
      <c r="O115" s="105">
        <f t="shared" si="43"/>
        <v>0</v>
      </c>
      <c r="P115" s="105">
        <f t="shared" si="43"/>
        <v>0</v>
      </c>
      <c r="Q115" s="105">
        <f t="shared" si="43"/>
        <v>0</v>
      </c>
      <c r="R115" s="105">
        <f t="shared" si="43"/>
        <v>0</v>
      </c>
      <c r="S115" s="105">
        <f t="shared" si="43"/>
        <v>0</v>
      </c>
    </row>
    <row r="116" spans="1:20" s="4" customFormat="1" x14ac:dyDescent="0.2">
      <c r="A116" s="8"/>
      <c r="B116" s="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</row>
    <row r="117" spans="1:20" s="4" customFormat="1" x14ac:dyDescent="0.2">
      <c r="A117" s="8"/>
      <c r="B117" s="2"/>
      <c r="C117" s="10"/>
      <c r="D117" s="10"/>
      <c r="E117" s="8"/>
      <c r="F117" s="8"/>
      <c r="G117" s="94" t="s">
        <v>206</v>
      </c>
      <c r="H117" s="87">
        <f t="shared" ref="H117:S117" si="44">H105</f>
        <v>2011</v>
      </c>
      <c r="I117" s="87">
        <f t="shared" si="44"/>
        <v>2012</v>
      </c>
      <c r="J117" s="87">
        <f t="shared" si="44"/>
        <v>2013</v>
      </c>
      <c r="K117" s="87">
        <f t="shared" si="44"/>
        <v>2014</v>
      </c>
      <c r="L117" s="87">
        <f t="shared" si="44"/>
        <v>2015</v>
      </c>
      <c r="M117" s="87">
        <f t="shared" si="44"/>
        <v>2016</v>
      </c>
      <c r="N117" s="87">
        <f t="shared" si="44"/>
        <v>2017</v>
      </c>
      <c r="O117" s="87">
        <f t="shared" si="44"/>
        <v>2018</v>
      </c>
      <c r="P117" s="87">
        <f t="shared" si="44"/>
        <v>2019</v>
      </c>
      <c r="Q117" s="87">
        <f t="shared" si="44"/>
        <v>2020</v>
      </c>
      <c r="R117" s="87">
        <f t="shared" si="44"/>
        <v>2021</v>
      </c>
      <c r="S117" s="87">
        <f t="shared" si="44"/>
        <v>2022</v>
      </c>
    </row>
    <row r="118" spans="1:20" s="4" customFormat="1" x14ac:dyDescent="0.2">
      <c r="A118" s="34" t="s">
        <v>425</v>
      </c>
      <c r="B118" s="2" t="s">
        <v>426</v>
      </c>
      <c r="C118" s="10" t="s">
        <v>208</v>
      </c>
      <c r="D118" s="10"/>
      <c r="E118" s="109"/>
      <c r="F118" s="37"/>
      <c r="G118" s="103" t="s">
        <v>209</v>
      </c>
      <c r="H118" s="105">
        <f t="shared" ref="H118:S118" si="45">H6+H12</f>
        <v>23.228000000000002</v>
      </c>
      <c r="I118" s="77">
        <f t="shared" si="45"/>
        <v>18.942</v>
      </c>
      <c r="J118" s="77">
        <f t="shared" si="45"/>
        <v>17.236000000000001</v>
      </c>
      <c r="K118" s="77">
        <f t="shared" si="45"/>
        <v>10.952999999999999</v>
      </c>
      <c r="L118" s="77">
        <f t="shared" si="45"/>
        <v>6.5579999999999998</v>
      </c>
      <c r="M118" s="77">
        <f t="shared" si="45"/>
        <v>9.5649999999999995</v>
      </c>
      <c r="N118" s="77">
        <f t="shared" si="45"/>
        <v>0.39300000000000002</v>
      </c>
      <c r="O118" s="77">
        <f t="shared" si="45"/>
        <v>1</v>
      </c>
      <c r="P118" s="77">
        <f t="shared" si="45"/>
        <v>1</v>
      </c>
      <c r="Q118" s="77">
        <f t="shared" si="45"/>
        <v>1</v>
      </c>
      <c r="R118" s="77">
        <f t="shared" si="45"/>
        <v>1</v>
      </c>
      <c r="S118" s="77">
        <f t="shared" si="45"/>
        <v>1</v>
      </c>
    </row>
    <row r="119" spans="1:20" s="4" customFormat="1" x14ac:dyDescent="0.2">
      <c r="A119" s="8" t="s">
        <v>427</v>
      </c>
      <c r="B119" s="2" t="s">
        <v>428</v>
      </c>
      <c r="C119" s="8" t="s">
        <v>42</v>
      </c>
      <c r="D119" s="10"/>
      <c r="E119" s="109"/>
      <c r="F119" s="37"/>
      <c r="G119" s="110" t="s">
        <v>211</v>
      </c>
      <c r="H119" s="105">
        <f t="shared" ref="H119:S119" si="46">H19</f>
        <v>11.683</v>
      </c>
      <c r="I119" s="105">
        <f t="shared" si="46"/>
        <v>4.5880000000000001</v>
      </c>
      <c r="J119" s="105">
        <f t="shared" si="46"/>
        <v>3.8530000000000002</v>
      </c>
      <c r="K119" s="105">
        <f t="shared" si="46"/>
        <v>3.4470000000000001</v>
      </c>
      <c r="L119" s="105">
        <f t="shared" si="46"/>
        <v>5.4509999999999996</v>
      </c>
      <c r="M119" s="105">
        <f t="shared" si="46"/>
        <v>3.2490000000000001</v>
      </c>
      <c r="N119" s="105">
        <f t="shared" si="46"/>
        <v>4.2699999999999996</v>
      </c>
      <c r="O119" s="105">
        <f t="shared" si="46"/>
        <v>3</v>
      </c>
      <c r="P119" s="105">
        <f t="shared" si="46"/>
        <v>3</v>
      </c>
      <c r="Q119" s="105">
        <f t="shared" si="46"/>
        <v>3</v>
      </c>
      <c r="R119" s="105">
        <f t="shared" si="46"/>
        <v>3</v>
      </c>
      <c r="S119" s="105">
        <f t="shared" si="46"/>
        <v>3</v>
      </c>
    </row>
    <row r="120" spans="1:20" s="4" customFormat="1" x14ac:dyDescent="0.2">
      <c r="A120" s="8" t="s">
        <v>429</v>
      </c>
      <c r="B120" s="2" t="s">
        <v>203</v>
      </c>
      <c r="C120" s="8" t="s">
        <v>430</v>
      </c>
      <c r="D120" s="10"/>
      <c r="E120" s="109"/>
      <c r="F120" s="37"/>
      <c r="G120" s="110" t="s">
        <v>212</v>
      </c>
      <c r="H120" s="105">
        <f t="shared" ref="H120:S120" si="47">H119-H118</f>
        <v>-11.545000000000002</v>
      </c>
      <c r="I120" s="77">
        <f t="shared" si="47"/>
        <v>-14.353999999999999</v>
      </c>
      <c r="J120" s="77">
        <f t="shared" si="47"/>
        <v>-13.383000000000001</v>
      </c>
      <c r="K120" s="77">
        <f t="shared" si="47"/>
        <v>-7.5059999999999993</v>
      </c>
      <c r="L120" s="77">
        <f t="shared" si="47"/>
        <v>-1.1070000000000002</v>
      </c>
      <c r="M120" s="77">
        <f>M119-M118</f>
        <v>-6.3159999999999989</v>
      </c>
      <c r="N120" s="77">
        <f t="shared" si="47"/>
        <v>3.8769999999999998</v>
      </c>
      <c r="O120" s="77">
        <f t="shared" si="47"/>
        <v>2</v>
      </c>
      <c r="P120" s="77">
        <f t="shared" si="47"/>
        <v>2</v>
      </c>
      <c r="Q120" s="77">
        <f t="shared" si="47"/>
        <v>2</v>
      </c>
      <c r="R120" s="77">
        <f t="shared" si="47"/>
        <v>2</v>
      </c>
      <c r="S120" s="77">
        <f t="shared" si="47"/>
        <v>2</v>
      </c>
    </row>
    <row r="121" spans="1:20" s="4" customFormat="1" x14ac:dyDescent="0.2">
      <c r="A121" s="34" t="s">
        <v>431</v>
      </c>
      <c r="B121" s="2" t="s">
        <v>207</v>
      </c>
      <c r="C121" s="8" t="s">
        <v>432</v>
      </c>
      <c r="D121" s="10"/>
      <c r="E121" s="106">
        <v>0.4</v>
      </c>
      <c r="F121" s="114" t="s">
        <v>433</v>
      </c>
      <c r="G121" s="46" t="s">
        <v>213</v>
      </c>
      <c r="H121" s="115">
        <f t="shared" ref="H121:S121" si="48">H120/H33</f>
        <v>-0.10079272232019697</v>
      </c>
      <c r="I121" s="108">
        <f t="shared" si="48"/>
        <v>-0.11320724955439532</v>
      </c>
      <c r="J121" s="108">
        <f t="shared" si="48"/>
        <v>-0.1060367162925577</v>
      </c>
      <c r="K121" s="108">
        <f t="shared" si="48"/>
        <v>-6.788337011178236E-2</v>
      </c>
      <c r="L121" s="108">
        <f t="shared" si="48"/>
        <v>-8.7271867239544342E-3</v>
      </c>
      <c r="M121" s="108">
        <f t="shared" si="48"/>
        <v>-5.2672837961804678E-2</v>
      </c>
      <c r="N121" s="108">
        <f t="shared" si="48"/>
        <v>3.2014863748967795E-2</v>
      </c>
      <c r="O121" s="108">
        <f t="shared" si="48"/>
        <v>1.5542430836182779E-2</v>
      </c>
      <c r="P121" s="108">
        <f t="shared" si="48"/>
        <v>1.509433962264151E-2</v>
      </c>
      <c r="Q121" s="108">
        <f t="shared" si="48"/>
        <v>1.509433962264151E-2</v>
      </c>
      <c r="R121" s="108">
        <f t="shared" si="48"/>
        <v>1.509433962264151E-2</v>
      </c>
      <c r="S121" s="108">
        <f t="shared" si="48"/>
        <v>1.3377926421404682E-2</v>
      </c>
    </row>
    <row r="122" spans="1:20" s="4" customFormat="1" x14ac:dyDescent="0.2">
      <c r="A122" s="8" t="s">
        <v>434</v>
      </c>
      <c r="B122" s="2" t="s">
        <v>210</v>
      </c>
      <c r="C122" s="8" t="s">
        <v>435</v>
      </c>
      <c r="D122" s="116">
        <v>0</v>
      </c>
      <c r="E122" s="116">
        <v>5</v>
      </c>
      <c r="F122" s="37"/>
      <c r="G122" s="100" t="s">
        <v>215</v>
      </c>
      <c r="H122" s="111">
        <f t="shared" ref="H122:S122" si="49">H120/H110</f>
        <v>-1.0833255137468336</v>
      </c>
      <c r="I122" s="111">
        <f t="shared" si="49"/>
        <v>-6.005857740585772</v>
      </c>
      <c r="J122" s="111">
        <f t="shared" si="49"/>
        <v>9.229655172413775</v>
      </c>
      <c r="K122" s="111">
        <f t="shared" si="49"/>
        <v>1.2108404581384098</v>
      </c>
      <c r="L122" s="111">
        <f t="shared" si="49"/>
        <v>0.30973698936765426</v>
      </c>
      <c r="M122" s="111">
        <f>M120/M110</f>
        <v>-2.2107105355267764</v>
      </c>
      <c r="N122" s="111">
        <f t="shared" si="49"/>
        <v>-0.41157112526539208</v>
      </c>
      <c r="O122" s="111">
        <f t="shared" si="49"/>
        <v>-16.666666666669983</v>
      </c>
      <c r="P122" s="111" t="e">
        <f t="shared" si="49"/>
        <v>#DIV/0!</v>
      </c>
      <c r="Q122" s="111" t="e">
        <f t="shared" si="49"/>
        <v>#DIV/0!</v>
      </c>
      <c r="R122" s="111" t="e">
        <f t="shared" si="49"/>
        <v>#DIV/0!</v>
      </c>
      <c r="S122" s="111" t="e">
        <f t="shared" si="49"/>
        <v>#DIV/0!</v>
      </c>
    </row>
    <row r="123" spans="1:20" s="4" customFormat="1" x14ac:dyDescent="0.2">
      <c r="A123" s="8" t="s">
        <v>436</v>
      </c>
      <c r="B123" s="2" t="s">
        <v>437</v>
      </c>
      <c r="C123" s="8" t="s">
        <v>217</v>
      </c>
      <c r="D123" s="10"/>
      <c r="E123" s="109"/>
      <c r="F123" s="37"/>
      <c r="G123" s="110" t="s">
        <v>218</v>
      </c>
      <c r="H123" s="105">
        <f t="shared" ref="H123:S123" si="50">-(H75+H77+H78+H79+H80+H81)</f>
        <v>0</v>
      </c>
      <c r="I123" s="105">
        <f t="shared" si="50"/>
        <v>3.9E-2</v>
      </c>
      <c r="J123" s="105">
        <f t="shared" si="50"/>
        <v>0</v>
      </c>
      <c r="K123" s="105">
        <f t="shared" si="50"/>
        <v>0</v>
      </c>
      <c r="L123" s="105">
        <f t="shared" si="50"/>
        <v>0</v>
      </c>
      <c r="M123" s="105">
        <f t="shared" si="50"/>
        <v>0</v>
      </c>
      <c r="N123" s="105">
        <f t="shared" si="50"/>
        <v>0</v>
      </c>
      <c r="O123" s="105">
        <f t="shared" si="50"/>
        <v>0</v>
      </c>
      <c r="P123" s="105">
        <f t="shared" si="50"/>
        <v>0</v>
      </c>
      <c r="Q123" s="105">
        <f t="shared" si="50"/>
        <v>0</v>
      </c>
      <c r="R123" s="105">
        <f t="shared" si="50"/>
        <v>0</v>
      </c>
      <c r="S123" s="105">
        <f t="shared" si="50"/>
        <v>0</v>
      </c>
    </row>
    <row r="124" spans="1:20" s="4" customFormat="1" x14ac:dyDescent="0.2">
      <c r="A124" s="8" t="s">
        <v>438</v>
      </c>
      <c r="B124" s="2" t="s">
        <v>439</v>
      </c>
      <c r="C124" s="8" t="s">
        <v>440</v>
      </c>
      <c r="D124" s="10"/>
      <c r="E124" s="116">
        <v>1.2</v>
      </c>
      <c r="F124" s="114" t="s">
        <v>433</v>
      </c>
      <c r="G124" s="110" t="s">
        <v>220</v>
      </c>
      <c r="H124" s="117" t="e">
        <f t="shared" ref="H124:S124" si="51">H110/H123</f>
        <v>#DIV/0!</v>
      </c>
      <c r="I124" s="111">
        <f t="shared" si="51"/>
        <v>61.282051282051299</v>
      </c>
      <c r="J124" s="111" t="e">
        <f t="shared" si="51"/>
        <v>#DIV/0!</v>
      </c>
      <c r="K124" s="111" t="e">
        <f t="shared" si="51"/>
        <v>#DIV/0!</v>
      </c>
      <c r="L124" s="111" t="e">
        <f t="shared" si="51"/>
        <v>#DIV/0!</v>
      </c>
      <c r="M124" s="111" t="e">
        <f t="shared" si="51"/>
        <v>#DIV/0!</v>
      </c>
      <c r="N124" s="111" t="e">
        <f t="shared" si="51"/>
        <v>#DIV/0!</v>
      </c>
      <c r="O124" s="111" t="e">
        <f t="shared" si="51"/>
        <v>#DIV/0!</v>
      </c>
      <c r="P124" s="111" t="e">
        <f t="shared" si="51"/>
        <v>#DIV/0!</v>
      </c>
      <c r="Q124" s="111" t="e">
        <f t="shared" si="51"/>
        <v>#DIV/0!</v>
      </c>
      <c r="R124" s="111" t="e">
        <f t="shared" si="51"/>
        <v>#DIV/0!</v>
      </c>
      <c r="S124" s="111" t="e">
        <f t="shared" si="51"/>
        <v>#DIV/0!</v>
      </c>
    </row>
    <row r="125" spans="1:20" s="4" customFormat="1" x14ac:dyDescent="0.2">
      <c r="A125" s="38" t="s">
        <v>441</v>
      </c>
      <c r="B125" s="2" t="s">
        <v>442</v>
      </c>
      <c r="C125" s="8" t="s">
        <v>222</v>
      </c>
      <c r="D125" s="10"/>
      <c r="E125" s="116">
        <v>0</v>
      </c>
      <c r="F125" s="37"/>
      <c r="G125" s="103" t="s">
        <v>223</v>
      </c>
      <c r="H125" s="105">
        <f t="shared" ref="H125:S125" si="52">H5-H20</f>
        <v>14.764000000000003</v>
      </c>
      <c r="I125" s="105">
        <f t="shared" si="52"/>
        <v>17.210999999999999</v>
      </c>
      <c r="J125" s="105">
        <f t="shared" si="52"/>
        <v>15.761000000000001</v>
      </c>
      <c r="K125" s="105">
        <f t="shared" si="52"/>
        <v>9.5599999999999987</v>
      </c>
      <c r="L125" s="105">
        <f t="shared" si="52"/>
        <v>6.0529999999999999</v>
      </c>
      <c r="M125" s="105">
        <f t="shared" si="52"/>
        <v>9.3159999999999989</v>
      </c>
      <c r="N125" s="105">
        <f t="shared" si="52"/>
        <v>-0.4709999999999992</v>
      </c>
      <c r="O125" s="105">
        <f t="shared" si="52"/>
        <v>0</v>
      </c>
      <c r="P125" s="105">
        <f t="shared" si="52"/>
        <v>0</v>
      </c>
      <c r="Q125" s="105">
        <f t="shared" si="52"/>
        <v>0</v>
      </c>
      <c r="R125" s="105">
        <f t="shared" si="52"/>
        <v>0</v>
      </c>
      <c r="S125" s="105">
        <f t="shared" si="52"/>
        <v>0</v>
      </c>
    </row>
    <row r="126" spans="1:20" s="4" customFormat="1" x14ac:dyDescent="0.2">
      <c r="A126" s="34" t="s">
        <v>443</v>
      </c>
      <c r="B126" s="2" t="s">
        <v>444</v>
      </c>
      <c r="C126" s="8" t="s">
        <v>225</v>
      </c>
      <c r="D126" s="10"/>
      <c r="E126" s="116">
        <v>1</v>
      </c>
      <c r="F126" s="114" t="s">
        <v>433</v>
      </c>
      <c r="G126" s="110" t="s">
        <v>226</v>
      </c>
      <c r="H126" s="117">
        <f t="shared" ref="H126:S126" si="53">H5/H20</f>
        <v>2.2637165111700766</v>
      </c>
      <c r="I126" s="117">
        <f t="shared" si="53"/>
        <v>4.751307759372275</v>
      </c>
      <c r="J126" s="117">
        <f t="shared" si="53"/>
        <v>5.090578769789774</v>
      </c>
      <c r="K126" s="117">
        <f t="shared" si="53"/>
        <v>3.7734261676820422</v>
      </c>
      <c r="L126" s="117">
        <f t="shared" si="53"/>
        <v>2.1104384516602459</v>
      </c>
      <c r="M126" s="117">
        <f t="shared" si="53"/>
        <v>3.8673437980917202</v>
      </c>
      <c r="N126" s="117">
        <f t="shared" si="53"/>
        <v>0.88969555035128822</v>
      </c>
      <c r="O126" s="117">
        <f t="shared" si="53"/>
        <v>1</v>
      </c>
      <c r="P126" s="117">
        <f t="shared" si="53"/>
        <v>1</v>
      </c>
      <c r="Q126" s="117">
        <f t="shared" si="53"/>
        <v>1</v>
      </c>
      <c r="R126" s="117">
        <f t="shared" si="53"/>
        <v>1</v>
      </c>
      <c r="S126" s="117">
        <f t="shared" si="53"/>
        <v>1</v>
      </c>
    </row>
    <row r="127" spans="1:20" s="4" customFormat="1" x14ac:dyDescent="0.2">
      <c r="A127" s="34" t="s">
        <v>445</v>
      </c>
      <c r="B127" s="2" t="s">
        <v>214</v>
      </c>
      <c r="C127" s="34" t="s">
        <v>228</v>
      </c>
      <c r="D127" s="10"/>
      <c r="E127" s="116">
        <v>1</v>
      </c>
      <c r="F127" s="37"/>
      <c r="G127" s="46" t="s">
        <v>229</v>
      </c>
      <c r="H127" s="117">
        <f t="shared" ref="H127:S127" si="54">-H6/((H38+H41-H45+H47)/12)</f>
        <v>2.6848006164515508</v>
      </c>
      <c r="I127" s="117">
        <f t="shared" si="54"/>
        <v>1.8299533865215396</v>
      </c>
      <c r="J127" s="117">
        <f t="shared" si="54"/>
        <v>1.6201659081473592</v>
      </c>
      <c r="K127" s="117">
        <f t="shared" si="54"/>
        <v>1.1255876887240837</v>
      </c>
      <c r="L127" s="117">
        <f t="shared" si="54"/>
        <v>0.60371452900968903</v>
      </c>
      <c r="M127" s="117">
        <f t="shared" si="54"/>
        <v>0.98099210283409122</v>
      </c>
      <c r="N127" s="117">
        <f t="shared" si="54"/>
        <v>3.6132393502911433E-2</v>
      </c>
      <c r="O127" s="117">
        <f t="shared" si="54"/>
        <v>9.3167701863354047E-2</v>
      </c>
      <c r="P127" s="117">
        <f t="shared" si="54"/>
        <v>9.0566037735849064E-2</v>
      </c>
      <c r="Q127" s="117">
        <f t="shared" si="54"/>
        <v>9.0566037735849064E-2</v>
      </c>
      <c r="R127" s="117">
        <f t="shared" si="54"/>
        <v>9.0566037735849064E-2</v>
      </c>
      <c r="S127" s="117">
        <f t="shared" si="54"/>
        <v>8.0267558528428096E-2</v>
      </c>
    </row>
    <row r="128" spans="1:20" s="4" customFormat="1" x14ac:dyDescent="0.2">
      <c r="A128" s="34"/>
      <c r="B128" s="2"/>
      <c r="C128" s="34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</row>
    <row r="129" spans="1:21" s="4" customFormat="1" x14ac:dyDescent="0.2">
      <c r="A129" s="8"/>
      <c r="B129" s="2"/>
      <c r="C129" s="8"/>
      <c r="D129" s="10"/>
      <c r="E129" s="9"/>
      <c r="F129" s="37"/>
      <c r="G129" s="94" t="s">
        <v>230</v>
      </c>
      <c r="H129" s="87">
        <f t="shared" ref="H129:S129" si="55">H117</f>
        <v>2011</v>
      </c>
      <c r="I129" s="87">
        <f t="shared" si="55"/>
        <v>2012</v>
      </c>
      <c r="J129" s="87">
        <f t="shared" si="55"/>
        <v>2013</v>
      </c>
      <c r="K129" s="87">
        <f t="shared" si="55"/>
        <v>2014</v>
      </c>
      <c r="L129" s="87">
        <f t="shared" si="55"/>
        <v>2015</v>
      </c>
      <c r="M129" s="87">
        <f t="shared" si="55"/>
        <v>2016</v>
      </c>
      <c r="N129" s="87">
        <f t="shared" si="55"/>
        <v>2017</v>
      </c>
      <c r="O129" s="87">
        <f t="shared" si="55"/>
        <v>2018</v>
      </c>
      <c r="P129" s="87">
        <f t="shared" si="55"/>
        <v>2019</v>
      </c>
      <c r="Q129" s="87">
        <f t="shared" si="55"/>
        <v>2020</v>
      </c>
      <c r="R129" s="87">
        <f t="shared" si="55"/>
        <v>2021</v>
      </c>
      <c r="S129" s="87">
        <f t="shared" si="55"/>
        <v>2022</v>
      </c>
    </row>
    <row r="130" spans="1:21" s="4" customFormat="1" x14ac:dyDescent="0.2">
      <c r="A130" s="34" t="s">
        <v>446</v>
      </c>
      <c r="B130" s="2" t="s">
        <v>216</v>
      </c>
      <c r="C130" s="34" t="s">
        <v>232</v>
      </c>
      <c r="D130" s="10"/>
      <c r="E130" s="106">
        <v>0.6</v>
      </c>
      <c r="F130" s="37"/>
      <c r="G130" s="103" t="s">
        <v>233</v>
      </c>
      <c r="H130" s="115">
        <f t="shared" ref="H130:S130" si="56">H17/H4</f>
        <v>0</v>
      </c>
      <c r="I130" s="115">
        <f t="shared" si="56"/>
        <v>0</v>
      </c>
      <c r="J130" s="115">
        <f t="shared" si="56"/>
        <v>0</v>
      </c>
      <c r="K130" s="115">
        <f t="shared" si="56"/>
        <v>0</v>
      </c>
      <c r="L130" s="115">
        <f t="shared" si="56"/>
        <v>0</v>
      </c>
      <c r="M130" s="115">
        <f t="shared" si="56"/>
        <v>0</v>
      </c>
      <c r="N130" s="115">
        <f t="shared" si="56"/>
        <v>0</v>
      </c>
      <c r="O130" s="115">
        <f t="shared" si="56"/>
        <v>0</v>
      </c>
      <c r="P130" s="115">
        <f t="shared" si="56"/>
        <v>0</v>
      </c>
      <c r="Q130" s="115">
        <f t="shared" si="56"/>
        <v>0</v>
      </c>
      <c r="R130" s="115">
        <f t="shared" si="56"/>
        <v>0</v>
      </c>
      <c r="S130" s="115">
        <f t="shared" si="56"/>
        <v>0</v>
      </c>
    </row>
    <row r="131" spans="1:21" s="4" customFormat="1" x14ac:dyDescent="0.2">
      <c r="A131" s="34" t="s">
        <v>447</v>
      </c>
      <c r="B131" s="2" t="s">
        <v>219</v>
      </c>
      <c r="C131" s="34" t="s">
        <v>235</v>
      </c>
      <c r="D131" s="10"/>
      <c r="E131" s="106">
        <v>0.4</v>
      </c>
      <c r="F131" s="37"/>
      <c r="G131" s="46" t="s">
        <v>236</v>
      </c>
      <c r="H131" s="115" t="e">
        <f t="shared" ref="H131:S131" si="57">H27/H17</f>
        <v>#DIV/0!</v>
      </c>
      <c r="I131" s="115" t="e">
        <f t="shared" si="57"/>
        <v>#DIV/0!</v>
      </c>
      <c r="J131" s="115" t="e">
        <f t="shared" si="57"/>
        <v>#DIV/0!</v>
      </c>
      <c r="K131" s="115" t="e">
        <f t="shared" si="57"/>
        <v>#DIV/0!</v>
      </c>
      <c r="L131" s="115" t="e">
        <f t="shared" si="57"/>
        <v>#DIV/0!</v>
      </c>
      <c r="M131" s="115" t="e">
        <f t="shared" si="57"/>
        <v>#DIV/0!</v>
      </c>
      <c r="N131" s="115" t="e">
        <f t="shared" si="57"/>
        <v>#DIV/0!</v>
      </c>
      <c r="O131" s="115" t="e">
        <f t="shared" si="57"/>
        <v>#DIV/0!</v>
      </c>
      <c r="P131" s="115" t="e">
        <f t="shared" si="57"/>
        <v>#DIV/0!</v>
      </c>
      <c r="Q131" s="115" t="e">
        <f t="shared" si="57"/>
        <v>#DIV/0!</v>
      </c>
      <c r="R131" s="115" t="e">
        <f t="shared" si="57"/>
        <v>#DIV/0!</v>
      </c>
      <c r="S131" s="115" t="e">
        <f t="shared" si="57"/>
        <v>#DIV/0!</v>
      </c>
    </row>
    <row r="132" spans="1:21" s="4" customFormat="1" x14ac:dyDescent="0.2">
      <c r="A132" s="34"/>
      <c r="B132" s="2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</row>
    <row r="133" spans="1:21" s="4" customFormat="1" x14ac:dyDescent="0.2">
      <c r="A133" s="8"/>
      <c r="B133" s="2"/>
      <c r="C133" s="8"/>
      <c r="D133" s="10"/>
      <c r="E133" s="9"/>
      <c r="F133" s="37"/>
      <c r="G133" s="94" t="s">
        <v>237</v>
      </c>
      <c r="H133" s="87">
        <f t="shared" ref="H133:S133" si="58">H117</f>
        <v>2011</v>
      </c>
      <c r="I133" s="87">
        <f t="shared" si="58"/>
        <v>2012</v>
      </c>
      <c r="J133" s="87">
        <f t="shared" si="58"/>
        <v>2013</v>
      </c>
      <c r="K133" s="87">
        <f t="shared" si="58"/>
        <v>2014</v>
      </c>
      <c r="L133" s="87">
        <f t="shared" si="58"/>
        <v>2015</v>
      </c>
      <c r="M133" s="87">
        <f t="shared" si="58"/>
        <v>2016</v>
      </c>
      <c r="N133" s="87">
        <f t="shared" si="58"/>
        <v>2017</v>
      </c>
      <c r="O133" s="87">
        <f t="shared" si="58"/>
        <v>2018</v>
      </c>
      <c r="P133" s="87">
        <f t="shared" si="58"/>
        <v>2019</v>
      </c>
      <c r="Q133" s="87">
        <f t="shared" si="58"/>
        <v>2020</v>
      </c>
      <c r="R133" s="87">
        <f t="shared" si="58"/>
        <v>2021</v>
      </c>
      <c r="S133" s="87">
        <f t="shared" si="58"/>
        <v>2022</v>
      </c>
    </row>
    <row r="134" spans="1:21" s="4" customFormat="1" x14ac:dyDescent="0.2">
      <c r="A134" s="34" t="s">
        <v>448</v>
      </c>
      <c r="B134" s="2" t="s">
        <v>221</v>
      </c>
      <c r="C134" s="39" t="s">
        <v>239</v>
      </c>
      <c r="D134" s="10"/>
      <c r="E134" s="109"/>
      <c r="F134" s="37"/>
      <c r="G134" s="110" t="s">
        <v>240</v>
      </c>
      <c r="H134" s="118">
        <f t="shared" ref="H134:S134" si="59">H10/H4</f>
        <v>0</v>
      </c>
      <c r="I134" s="118">
        <f t="shared" si="59"/>
        <v>0</v>
      </c>
      <c r="J134" s="118">
        <f t="shared" si="59"/>
        <v>0</v>
      </c>
      <c r="K134" s="118">
        <f t="shared" si="59"/>
        <v>0</v>
      </c>
      <c r="L134" s="118">
        <f t="shared" si="59"/>
        <v>0</v>
      </c>
      <c r="M134" s="118">
        <f t="shared" si="59"/>
        <v>0</v>
      </c>
      <c r="N134" s="118">
        <f t="shared" si="59"/>
        <v>0</v>
      </c>
      <c r="O134" s="118">
        <f t="shared" si="59"/>
        <v>0</v>
      </c>
      <c r="P134" s="118">
        <f t="shared" si="59"/>
        <v>0</v>
      </c>
      <c r="Q134" s="118">
        <f t="shared" si="59"/>
        <v>0</v>
      </c>
      <c r="R134" s="118">
        <f t="shared" si="59"/>
        <v>0</v>
      </c>
      <c r="S134" s="118">
        <f t="shared" si="59"/>
        <v>0</v>
      </c>
    </row>
    <row r="135" spans="1:21" s="4" customFormat="1" x14ac:dyDescent="0.2">
      <c r="A135" s="34" t="s">
        <v>449</v>
      </c>
      <c r="B135" s="2" t="s">
        <v>224</v>
      </c>
      <c r="C135" s="39" t="s">
        <v>242</v>
      </c>
      <c r="D135" s="10"/>
      <c r="E135" s="109"/>
      <c r="F135" s="37"/>
      <c r="G135" s="110" t="s">
        <v>243</v>
      </c>
      <c r="H135" s="118" t="e">
        <f t="shared" ref="H135:S135" si="60">-(H58)/H15</f>
        <v>#DIV/0!</v>
      </c>
      <c r="I135" s="118" t="e">
        <f t="shared" si="60"/>
        <v>#DIV/0!</v>
      </c>
      <c r="J135" s="118" t="e">
        <f t="shared" si="60"/>
        <v>#DIV/0!</v>
      </c>
      <c r="K135" s="118" t="e">
        <f t="shared" si="60"/>
        <v>#DIV/0!</v>
      </c>
      <c r="L135" s="118" t="e">
        <f t="shared" si="60"/>
        <v>#DIV/0!</v>
      </c>
      <c r="M135" s="118" t="e">
        <f t="shared" si="60"/>
        <v>#DIV/0!</v>
      </c>
      <c r="N135" s="118" t="e">
        <f t="shared" si="60"/>
        <v>#DIV/0!</v>
      </c>
      <c r="O135" s="118" t="e">
        <f t="shared" si="60"/>
        <v>#DIV/0!</v>
      </c>
      <c r="P135" s="118" t="e">
        <f t="shared" si="60"/>
        <v>#DIV/0!</v>
      </c>
      <c r="Q135" s="118" t="e">
        <f t="shared" si="60"/>
        <v>#DIV/0!</v>
      </c>
      <c r="R135" s="118" t="e">
        <f t="shared" si="60"/>
        <v>#DIV/0!</v>
      </c>
      <c r="S135" s="118" t="e">
        <f t="shared" si="60"/>
        <v>#DIV/0!</v>
      </c>
    </row>
    <row r="136" spans="1:21" s="4" customFormat="1" x14ac:dyDescent="0.2">
      <c r="A136" s="34" t="s">
        <v>450</v>
      </c>
      <c r="B136" s="2" t="s">
        <v>227</v>
      </c>
      <c r="C136" s="8" t="s">
        <v>245</v>
      </c>
      <c r="D136" s="10"/>
      <c r="E136" s="109"/>
      <c r="F136" s="37"/>
      <c r="G136" s="103" t="s">
        <v>246</v>
      </c>
      <c r="H136" s="111">
        <f t="shared" ref="H136:S136" si="61">H33/H4</f>
        <v>4.331001625893296</v>
      </c>
      <c r="I136" s="111">
        <f t="shared" si="61"/>
        <v>5.8165053442818477</v>
      </c>
      <c r="J136" s="111">
        <f t="shared" si="61"/>
        <v>6.4347404914856732</v>
      </c>
      <c r="K136" s="111">
        <f t="shared" si="61"/>
        <v>8.500961020988699</v>
      </c>
      <c r="L136" s="111">
        <f t="shared" si="61"/>
        <v>11.026164812239221</v>
      </c>
      <c r="M136" s="111">
        <f t="shared" si="61"/>
        <v>9.5431754874651809</v>
      </c>
      <c r="N136" s="111">
        <f t="shared" si="61"/>
        <v>31.876809686759668</v>
      </c>
      <c r="O136" s="111">
        <f t="shared" si="61"/>
        <v>42.893333333333338</v>
      </c>
      <c r="P136" s="111">
        <f t="shared" si="61"/>
        <v>44.166666666666664</v>
      </c>
      <c r="Q136" s="111">
        <f t="shared" si="61"/>
        <v>44.166666666666664</v>
      </c>
      <c r="R136" s="111">
        <f t="shared" si="61"/>
        <v>44.166666666666664</v>
      </c>
      <c r="S136" s="111">
        <f t="shared" si="61"/>
        <v>49.833333333333336</v>
      </c>
    </row>
    <row r="137" spans="1:21" s="4" customFormat="1" x14ac:dyDescent="0.2">
      <c r="A137" s="34" t="s">
        <v>451</v>
      </c>
      <c r="B137" s="2" t="s">
        <v>231</v>
      </c>
      <c r="C137" s="39" t="s">
        <v>248</v>
      </c>
      <c r="D137" s="10"/>
      <c r="E137" s="109"/>
      <c r="F137" s="37"/>
      <c r="G137" s="46" t="s">
        <v>249</v>
      </c>
      <c r="H137" s="111" t="e">
        <f t="shared" ref="H137:S137" si="62">H33/H15</f>
        <v>#DIV/0!</v>
      </c>
      <c r="I137" s="111" t="e">
        <f t="shared" si="62"/>
        <v>#DIV/0!</v>
      </c>
      <c r="J137" s="111" t="e">
        <f t="shared" si="62"/>
        <v>#DIV/0!</v>
      </c>
      <c r="K137" s="111" t="e">
        <f t="shared" si="62"/>
        <v>#DIV/0!</v>
      </c>
      <c r="L137" s="111" t="e">
        <f t="shared" si="62"/>
        <v>#DIV/0!</v>
      </c>
      <c r="M137" s="111" t="e">
        <f t="shared" si="62"/>
        <v>#DIV/0!</v>
      </c>
      <c r="N137" s="111" t="e">
        <f t="shared" si="62"/>
        <v>#DIV/0!</v>
      </c>
      <c r="O137" s="111" t="e">
        <f t="shared" si="62"/>
        <v>#DIV/0!</v>
      </c>
      <c r="P137" s="111" t="e">
        <f t="shared" si="62"/>
        <v>#DIV/0!</v>
      </c>
      <c r="Q137" s="111" t="e">
        <f t="shared" si="62"/>
        <v>#DIV/0!</v>
      </c>
      <c r="R137" s="111" t="e">
        <f t="shared" si="62"/>
        <v>#DIV/0!</v>
      </c>
      <c r="S137" s="111" t="e">
        <f t="shared" si="62"/>
        <v>#DIV/0!</v>
      </c>
    </row>
    <row r="138" spans="1:21" s="4" customFormat="1" x14ac:dyDescent="0.2">
      <c r="A138" s="8" t="s">
        <v>452</v>
      </c>
      <c r="B138" s="2" t="s">
        <v>234</v>
      </c>
      <c r="C138" s="39" t="s">
        <v>251</v>
      </c>
      <c r="D138" s="106">
        <v>0.5</v>
      </c>
      <c r="E138" s="106">
        <f>1/3</f>
        <v>0.33333333333333331</v>
      </c>
      <c r="F138" s="114" t="s">
        <v>433</v>
      </c>
      <c r="G138" s="100" t="s">
        <v>252</v>
      </c>
      <c r="H138" s="118">
        <f t="shared" ref="H138:S138" si="63">H27/H4</f>
        <v>0.55824857261693195</v>
      </c>
      <c r="I138" s="118">
        <f t="shared" si="63"/>
        <v>0.78948575622734996</v>
      </c>
      <c r="J138" s="118">
        <f t="shared" si="63"/>
        <v>0.80350769858264515</v>
      </c>
      <c r="K138" s="118">
        <f t="shared" si="63"/>
        <v>0.73498885215653098</v>
      </c>
      <c r="L138" s="118">
        <f t="shared" si="63"/>
        <v>0.52616481223922118</v>
      </c>
      <c r="M138" s="118">
        <f t="shared" si="63"/>
        <v>0.7130123358535615</v>
      </c>
      <c r="N138" s="118">
        <f t="shared" si="63"/>
        <v>-0.11845222426954488</v>
      </c>
      <c r="O138" s="118">
        <f t="shared" si="63"/>
        <v>0</v>
      </c>
      <c r="P138" s="118">
        <f t="shared" si="63"/>
        <v>0</v>
      </c>
      <c r="Q138" s="118">
        <f t="shared" si="63"/>
        <v>0</v>
      </c>
      <c r="R138" s="118">
        <f t="shared" si="63"/>
        <v>0</v>
      </c>
      <c r="S138" s="118">
        <f t="shared" si="63"/>
        <v>0</v>
      </c>
    </row>
    <row r="139" spans="1:21" s="4" customFormat="1" x14ac:dyDescent="0.2">
      <c r="A139" s="8"/>
      <c r="B139" s="2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</row>
    <row r="140" spans="1:21" s="4" customFormat="1" x14ac:dyDescent="0.2">
      <c r="A140" s="40"/>
      <c r="B140" s="2"/>
      <c r="C140" s="2"/>
      <c r="D140" s="41"/>
      <c r="E140" s="42"/>
      <c r="F140" s="37"/>
      <c r="G140" s="94" t="s">
        <v>253</v>
      </c>
      <c r="H140" s="87">
        <f t="shared" ref="H140:S140" si="64">H133</f>
        <v>2011</v>
      </c>
      <c r="I140" s="87">
        <f t="shared" si="64"/>
        <v>2012</v>
      </c>
      <c r="J140" s="87">
        <f t="shared" si="64"/>
        <v>2013</v>
      </c>
      <c r="K140" s="87">
        <f t="shared" si="64"/>
        <v>2014</v>
      </c>
      <c r="L140" s="87">
        <f t="shared" si="64"/>
        <v>2015</v>
      </c>
      <c r="M140" s="87">
        <f t="shared" si="64"/>
        <v>2016</v>
      </c>
      <c r="N140" s="87">
        <f t="shared" si="64"/>
        <v>2017</v>
      </c>
      <c r="O140" s="87">
        <f t="shared" si="64"/>
        <v>2018</v>
      </c>
      <c r="P140" s="87">
        <f t="shared" si="64"/>
        <v>2019</v>
      </c>
      <c r="Q140" s="87">
        <f t="shared" si="64"/>
        <v>2020</v>
      </c>
      <c r="R140" s="87">
        <f t="shared" si="64"/>
        <v>2021</v>
      </c>
      <c r="S140" s="87">
        <f t="shared" si="64"/>
        <v>2022</v>
      </c>
    </row>
    <row r="141" spans="1:21" s="4" customFormat="1" x14ac:dyDescent="0.2">
      <c r="A141" s="8" t="s">
        <v>453</v>
      </c>
      <c r="B141" s="2" t="s">
        <v>238</v>
      </c>
      <c r="C141" s="8" t="s">
        <v>255</v>
      </c>
      <c r="D141" s="43"/>
      <c r="E141" s="106">
        <v>0.05</v>
      </c>
      <c r="F141" s="8"/>
      <c r="G141" s="103" t="s">
        <v>256</v>
      </c>
      <c r="H141" s="108">
        <f t="shared" ref="H141:S141" si="65">H35/H33</f>
        <v>0</v>
      </c>
      <c r="I141" s="108">
        <f t="shared" si="65"/>
        <v>0</v>
      </c>
      <c r="J141" s="108">
        <f t="shared" si="65"/>
        <v>0</v>
      </c>
      <c r="K141" s="108">
        <f t="shared" si="65"/>
        <v>0</v>
      </c>
      <c r="L141" s="108">
        <f t="shared" si="65"/>
        <v>0</v>
      </c>
      <c r="M141" s="108">
        <f t="shared" si="65"/>
        <v>0</v>
      </c>
      <c r="N141" s="108">
        <f t="shared" si="65"/>
        <v>0</v>
      </c>
      <c r="O141" s="108">
        <f t="shared" si="65"/>
        <v>0</v>
      </c>
      <c r="P141" s="108">
        <f t="shared" si="65"/>
        <v>0</v>
      </c>
      <c r="Q141" s="108">
        <f t="shared" si="65"/>
        <v>0</v>
      </c>
      <c r="R141" s="108">
        <f t="shared" si="65"/>
        <v>0</v>
      </c>
      <c r="S141" s="108">
        <f t="shared" si="65"/>
        <v>0</v>
      </c>
    </row>
    <row r="142" spans="1:21" s="4" customFormat="1" x14ac:dyDescent="0.2">
      <c r="A142" s="8" t="s">
        <v>454</v>
      </c>
      <c r="B142" s="2" t="s">
        <v>241</v>
      </c>
      <c r="C142" s="8" t="s">
        <v>258</v>
      </c>
      <c r="D142" s="10"/>
      <c r="E142" s="106">
        <v>0.95</v>
      </c>
      <c r="F142" s="8"/>
      <c r="G142" s="110" t="s">
        <v>259</v>
      </c>
      <c r="H142" s="118">
        <f t="shared" ref="H142:S142" si="66">(H36+H34)/H33</f>
        <v>1</v>
      </c>
      <c r="I142" s="118">
        <f t="shared" si="66"/>
        <v>1</v>
      </c>
      <c r="J142" s="118">
        <f t="shared" si="66"/>
        <v>1</v>
      </c>
      <c r="K142" s="118">
        <f t="shared" si="66"/>
        <v>1</v>
      </c>
      <c r="L142" s="118">
        <f t="shared" si="66"/>
        <v>1</v>
      </c>
      <c r="M142" s="118">
        <f t="shared" si="66"/>
        <v>1</v>
      </c>
      <c r="N142" s="118">
        <f t="shared" si="66"/>
        <v>1</v>
      </c>
      <c r="O142" s="118">
        <f t="shared" si="66"/>
        <v>1</v>
      </c>
      <c r="P142" s="118">
        <f t="shared" si="66"/>
        <v>1</v>
      </c>
      <c r="Q142" s="118">
        <f t="shared" si="66"/>
        <v>1</v>
      </c>
      <c r="R142" s="118">
        <f t="shared" si="66"/>
        <v>1</v>
      </c>
      <c r="S142" s="118">
        <f t="shared" si="66"/>
        <v>1</v>
      </c>
    </row>
    <row r="143" spans="1:21" s="4" customFormat="1" x14ac:dyDescent="0.2">
      <c r="A143" s="8" t="s">
        <v>455</v>
      </c>
      <c r="B143" s="2" t="s">
        <v>244</v>
      </c>
      <c r="C143" s="8" t="s">
        <v>261</v>
      </c>
      <c r="D143" s="10"/>
      <c r="E143" s="106">
        <v>0.95</v>
      </c>
      <c r="F143" s="8"/>
      <c r="G143" s="46" t="s">
        <v>262</v>
      </c>
      <c r="H143" s="108">
        <f t="shared" ref="H143:S143" si="67">H38/(H38+H41)</f>
        <v>0</v>
      </c>
      <c r="I143" s="108">
        <f t="shared" si="67"/>
        <v>0</v>
      </c>
      <c r="J143" s="108">
        <f t="shared" si="67"/>
        <v>0</v>
      </c>
      <c r="K143" s="108">
        <f t="shared" si="67"/>
        <v>0</v>
      </c>
      <c r="L143" s="108">
        <f t="shared" si="67"/>
        <v>0</v>
      </c>
      <c r="M143" s="108">
        <f t="shared" si="67"/>
        <v>0</v>
      </c>
      <c r="N143" s="108">
        <f t="shared" si="67"/>
        <v>0</v>
      </c>
      <c r="O143" s="108">
        <f t="shared" si="67"/>
        <v>0</v>
      </c>
      <c r="P143" s="108">
        <f t="shared" si="67"/>
        <v>0</v>
      </c>
      <c r="Q143" s="108">
        <f t="shared" si="67"/>
        <v>0</v>
      </c>
      <c r="R143" s="108">
        <f t="shared" si="67"/>
        <v>0</v>
      </c>
      <c r="S143" s="108">
        <f t="shared" si="67"/>
        <v>0</v>
      </c>
    </row>
    <row r="144" spans="1:21" s="4" customFormat="1" x14ac:dyDescent="0.2">
      <c r="A144" s="8"/>
      <c r="B144" s="2"/>
      <c r="C144" s="8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</row>
    <row r="145" spans="1:19" s="4" customFormat="1" x14ac:dyDescent="0.2">
      <c r="A145" s="40"/>
      <c r="B145" s="2"/>
      <c r="C145" s="119"/>
      <c r="D145" s="41"/>
      <c r="E145" s="42"/>
      <c r="F145" s="37"/>
      <c r="G145" s="94"/>
      <c r="H145" s="87">
        <f>H140</f>
        <v>2011</v>
      </c>
      <c r="I145" s="87">
        <f t="shared" ref="I145:S145" si="68">I140</f>
        <v>2012</v>
      </c>
      <c r="J145" s="87">
        <f t="shared" si="68"/>
        <v>2013</v>
      </c>
      <c r="K145" s="87">
        <f t="shared" si="68"/>
        <v>2014</v>
      </c>
      <c r="L145" s="87">
        <f t="shared" si="68"/>
        <v>2015</v>
      </c>
      <c r="M145" s="87">
        <f t="shared" si="68"/>
        <v>2016</v>
      </c>
      <c r="N145" s="87">
        <f t="shared" si="68"/>
        <v>2017</v>
      </c>
      <c r="O145" s="87">
        <f t="shared" si="68"/>
        <v>2018</v>
      </c>
      <c r="P145" s="87">
        <f t="shared" si="68"/>
        <v>2019</v>
      </c>
      <c r="Q145" s="87">
        <f t="shared" si="68"/>
        <v>2020</v>
      </c>
      <c r="R145" s="87">
        <f t="shared" si="68"/>
        <v>2021</v>
      </c>
      <c r="S145" s="87">
        <f t="shared" si="68"/>
        <v>2022</v>
      </c>
    </row>
    <row r="146" spans="1:19" s="4" customFormat="1" x14ac:dyDescent="0.2">
      <c r="A146" s="4" t="s">
        <v>456</v>
      </c>
      <c r="B146" s="2" t="s">
        <v>247</v>
      </c>
      <c r="C146" s="8" t="s">
        <v>264</v>
      </c>
      <c r="D146" s="120">
        <v>0.5</v>
      </c>
      <c r="E146" s="121" t="s">
        <v>265</v>
      </c>
      <c r="G146" s="103" t="s">
        <v>266</v>
      </c>
      <c r="H146" s="111" t="str">
        <f t="shared" ref="H146:S146" si="69">IF(H141&lt;$D$146,$E$146,H35/H4)</f>
        <v>N/A</v>
      </c>
      <c r="I146" s="111" t="str">
        <f t="shared" si="69"/>
        <v>N/A</v>
      </c>
      <c r="J146" s="111" t="str">
        <f t="shared" si="69"/>
        <v>N/A</v>
      </c>
      <c r="K146" s="111" t="str">
        <f t="shared" si="69"/>
        <v>N/A</v>
      </c>
      <c r="L146" s="111" t="str">
        <f t="shared" si="69"/>
        <v>N/A</v>
      </c>
      <c r="M146" s="111" t="str">
        <f t="shared" si="69"/>
        <v>N/A</v>
      </c>
      <c r="N146" s="111" t="str">
        <f t="shared" si="69"/>
        <v>N/A</v>
      </c>
      <c r="O146" s="111" t="str">
        <f t="shared" si="69"/>
        <v>N/A</v>
      </c>
      <c r="P146" s="111" t="str">
        <f t="shared" si="69"/>
        <v>N/A</v>
      </c>
      <c r="Q146" s="111" t="str">
        <f t="shared" si="69"/>
        <v>N/A</v>
      </c>
      <c r="R146" s="111" t="str">
        <f t="shared" si="69"/>
        <v>N/A</v>
      </c>
      <c r="S146" s="111" t="str">
        <f t="shared" si="69"/>
        <v>N/A</v>
      </c>
    </row>
    <row r="147" spans="1:19" s="4" customFormat="1" x14ac:dyDescent="0.2">
      <c r="A147" s="4" t="s">
        <v>457</v>
      </c>
      <c r="B147" s="2" t="s">
        <v>250</v>
      </c>
      <c r="C147" s="8" t="s">
        <v>267</v>
      </c>
      <c r="D147" s="120">
        <v>0.5</v>
      </c>
      <c r="E147" s="121" t="s">
        <v>265</v>
      </c>
      <c r="G147" s="110" t="s">
        <v>268</v>
      </c>
      <c r="H147" s="111" t="str">
        <f t="shared" ref="H147:S147" si="70">IF(H141&lt;$D$147,$E$147,H35/H15)</f>
        <v>N/A</v>
      </c>
      <c r="I147" s="111" t="str">
        <f t="shared" si="70"/>
        <v>N/A</v>
      </c>
      <c r="J147" s="111" t="str">
        <f t="shared" si="70"/>
        <v>N/A</v>
      </c>
      <c r="K147" s="111" t="str">
        <f t="shared" si="70"/>
        <v>N/A</v>
      </c>
      <c r="L147" s="111" t="str">
        <f t="shared" si="70"/>
        <v>N/A</v>
      </c>
      <c r="M147" s="111" t="str">
        <f t="shared" si="70"/>
        <v>N/A</v>
      </c>
      <c r="N147" s="111" t="str">
        <f t="shared" si="70"/>
        <v>N/A</v>
      </c>
      <c r="O147" s="111" t="str">
        <f t="shared" si="70"/>
        <v>N/A</v>
      </c>
      <c r="P147" s="111" t="str">
        <f t="shared" si="70"/>
        <v>N/A</v>
      </c>
      <c r="Q147" s="111" t="str">
        <f t="shared" si="70"/>
        <v>N/A</v>
      </c>
      <c r="R147" s="111" t="str">
        <f t="shared" si="70"/>
        <v>N/A</v>
      </c>
      <c r="S147" s="111" t="str">
        <f t="shared" si="70"/>
        <v>N/A</v>
      </c>
    </row>
    <row r="148" spans="1:19" s="4" customFormat="1" x14ac:dyDescent="0.2">
      <c r="A148" s="4" t="s">
        <v>458</v>
      </c>
      <c r="B148" s="2" t="s">
        <v>254</v>
      </c>
      <c r="C148" s="8" t="s">
        <v>201</v>
      </c>
      <c r="D148" s="120">
        <v>0.5</v>
      </c>
      <c r="E148" s="121" t="s">
        <v>265</v>
      </c>
      <c r="G148" s="103" t="s">
        <v>269</v>
      </c>
      <c r="H148" s="118" t="str">
        <f t="shared" ref="H148:S148" si="71">IF(H141&lt;$D$148,$E$148,H46/H33)</f>
        <v>N/A</v>
      </c>
      <c r="I148" s="118" t="str">
        <f t="shared" si="71"/>
        <v>N/A</v>
      </c>
      <c r="J148" s="118" t="str">
        <f t="shared" si="71"/>
        <v>N/A</v>
      </c>
      <c r="K148" s="118" t="str">
        <f t="shared" si="71"/>
        <v>N/A</v>
      </c>
      <c r="L148" s="118" t="str">
        <f t="shared" si="71"/>
        <v>N/A</v>
      </c>
      <c r="M148" s="118" t="str">
        <f t="shared" si="71"/>
        <v>N/A</v>
      </c>
      <c r="N148" s="118" t="str">
        <f t="shared" si="71"/>
        <v>N/A</v>
      </c>
      <c r="O148" s="118" t="str">
        <f t="shared" si="71"/>
        <v>N/A</v>
      </c>
      <c r="P148" s="118" t="str">
        <f t="shared" si="71"/>
        <v>N/A</v>
      </c>
      <c r="Q148" s="118" t="str">
        <f t="shared" si="71"/>
        <v>N/A</v>
      </c>
      <c r="R148" s="118" t="str">
        <f t="shared" si="71"/>
        <v>N/A</v>
      </c>
      <c r="S148" s="118" t="str">
        <f t="shared" si="71"/>
        <v>N/A</v>
      </c>
    </row>
    <row r="149" spans="1:19" s="4" customFormat="1" x14ac:dyDescent="0.2">
      <c r="A149" s="4" t="s">
        <v>459</v>
      </c>
      <c r="B149" s="2" t="s">
        <v>257</v>
      </c>
      <c r="C149" s="8" t="s">
        <v>270</v>
      </c>
      <c r="D149" s="120">
        <v>0.5</v>
      </c>
      <c r="E149" s="121" t="s">
        <v>265</v>
      </c>
      <c r="G149" s="110" t="s">
        <v>271</v>
      </c>
      <c r="H149" s="118" t="str">
        <f t="shared" ref="H149:S149" si="72">IF(H141&lt;$D$148,$E$149,H51/H33)</f>
        <v>N/A</v>
      </c>
      <c r="I149" s="118" t="str">
        <f t="shared" si="72"/>
        <v>N/A</v>
      </c>
      <c r="J149" s="118" t="str">
        <f t="shared" si="72"/>
        <v>N/A</v>
      </c>
      <c r="K149" s="118" t="str">
        <f t="shared" si="72"/>
        <v>N/A</v>
      </c>
      <c r="L149" s="118" t="str">
        <f t="shared" si="72"/>
        <v>N/A</v>
      </c>
      <c r="M149" s="118" t="str">
        <f t="shared" si="72"/>
        <v>N/A</v>
      </c>
      <c r="N149" s="118" t="str">
        <f t="shared" si="72"/>
        <v>N/A</v>
      </c>
      <c r="O149" s="118" t="str">
        <f t="shared" si="72"/>
        <v>N/A</v>
      </c>
      <c r="P149" s="118" t="str">
        <f t="shared" si="72"/>
        <v>N/A</v>
      </c>
      <c r="Q149" s="118" t="str">
        <f t="shared" si="72"/>
        <v>N/A</v>
      </c>
      <c r="R149" s="118" t="str">
        <f t="shared" si="72"/>
        <v>N/A</v>
      </c>
      <c r="S149" s="118" t="str">
        <f t="shared" si="72"/>
        <v>N/A</v>
      </c>
    </row>
    <row r="150" spans="1:19" s="4" customFormat="1" x14ac:dyDescent="0.2">
      <c r="A150" s="4" t="s">
        <v>460</v>
      </c>
      <c r="B150" s="2" t="s">
        <v>260</v>
      </c>
      <c r="C150" s="8" t="s">
        <v>272</v>
      </c>
      <c r="D150" s="120">
        <v>0.5</v>
      </c>
      <c r="E150" s="121" t="s">
        <v>265</v>
      </c>
      <c r="G150" s="110" t="s">
        <v>273</v>
      </c>
      <c r="H150" s="118" t="str">
        <f t="shared" ref="H150:S150" si="73">IF(H141&lt;$D$150,$E$150,H51/H4)</f>
        <v>N/A</v>
      </c>
      <c r="I150" s="118" t="str">
        <f t="shared" si="73"/>
        <v>N/A</v>
      </c>
      <c r="J150" s="118" t="str">
        <f t="shared" si="73"/>
        <v>N/A</v>
      </c>
      <c r="K150" s="118" t="str">
        <f t="shared" si="73"/>
        <v>N/A</v>
      </c>
      <c r="L150" s="118" t="str">
        <f t="shared" si="73"/>
        <v>N/A</v>
      </c>
      <c r="M150" s="118" t="str">
        <f t="shared" si="73"/>
        <v>N/A</v>
      </c>
      <c r="N150" s="118" t="str">
        <f t="shared" si="73"/>
        <v>N/A</v>
      </c>
      <c r="O150" s="118" t="str">
        <f t="shared" si="73"/>
        <v>N/A</v>
      </c>
      <c r="P150" s="118" t="str">
        <f t="shared" si="73"/>
        <v>N/A</v>
      </c>
      <c r="Q150" s="118" t="str">
        <f t="shared" si="73"/>
        <v>N/A</v>
      </c>
      <c r="R150" s="118" t="str">
        <f t="shared" si="73"/>
        <v>N/A</v>
      </c>
      <c r="S150" s="118" t="str">
        <f t="shared" si="73"/>
        <v>N/A</v>
      </c>
    </row>
    <row r="151" spans="1:19" s="4" customFormat="1" x14ac:dyDescent="0.2">
      <c r="A151" s="4" t="s">
        <v>461</v>
      </c>
      <c r="B151" s="2" t="s">
        <v>263</v>
      </c>
      <c r="C151" s="8" t="s">
        <v>274</v>
      </c>
      <c r="D151" s="120">
        <v>0.5</v>
      </c>
      <c r="E151" s="121" t="s">
        <v>265</v>
      </c>
      <c r="G151" s="46" t="s">
        <v>275</v>
      </c>
      <c r="H151" s="118" t="str">
        <f>IF(H141&lt;$D$151,$E$151,H51/H27)</f>
        <v>N/A</v>
      </c>
      <c r="I151" s="118" t="str">
        <f>IF(I141&lt;$D$151,$E$151,I51/((H27+I27)/2))</f>
        <v>N/A</v>
      </c>
      <c r="J151" s="118" t="str">
        <f>IF(J141&lt;$D$151,$E$151,J51/((I27+J27)/2))</f>
        <v>N/A</v>
      </c>
      <c r="K151" s="118" t="str">
        <f>IF(K141&lt;$D$151,$E$151,K51/((J27+K27)/2))</f>
        <v>N/A</v>
      </c>
      <c r="L151" s="118" t="str">
        <f>IF(L141&lt;$D$151,$E$151,L51/((K27+L27)/2))</f>
        <v>N/A</v>
      </c>
      <c r="M151" s="118" t="str">
        <f>IF(M141&lt;$D$151,$E$151,M51/((L27+M27)/2))</f>
        <v>N/A</v>
      </c>
      <c r="N151" s="118" t="str">
        <f t="shared" ref="N151:S151" si="74">IF(N141&lt;$D$151,$E$151,N51/((M27+N27)/2))</f>
        <v>N/A</v>
      </c>
      <c r="O151" s="118" t="str">
        <f t="shared" si="74"/>
        <v>N/A</v>
      </c>
      <c r="P151" s="118" t="str">
        <f t="shared" si="74"/>
        <v>N/A</v>
      </c>
      <c r="Q151" s="118" t="str">
        <f t="shared" si="74"/>
        <v>N/A</v>
      </c>
      <c r="R151" s="118" t="str">
        <f t="shared" si="74"/>
        <v>N/A</v>
      </c>
      <c r="S151" s="118" t="str">
        <f t="shared" si="74"/>
        <v>N/A</v>
      </c>
    </row>
    <row r="152" spans="1:19" s="4" customFormat="1" x14ac:dyDescent="0.2">
      <c r="A152" s="8"/>
      <c r="B152" s="2"/>
      <c r="C152" s="119"/>
      <c r="D152" s="41"/>
      <c r="E152" s="42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</row>
    <row r="153" spans="1:19" s="4" customFormat="1" x14ac:dyDescent="0.2">
      <c r="A153" s="8"/>
      <c r="B153" s="2"/>
      <c r="C153" s="10"/>
      <c r="D153" s="10"/>
      <c r="E153" s="9"/>
      <c r="F153" s="8"/>
      <c r="G153" s="94" t="s">
        <v>462</v>
      </c>
      <c r="H153" s="87">
        <f>H145</f>
        <v>2011</v>
      </c>
      <c r="I153" s="87">
        <f t="shared" ref="I153:S153" si="75">I145</f>
        <v>2012</v>
      </c>
      <c r="J153" s="87">
        <f t="shared" si="75"/>
        <v>2013</v>
      </c>
      <c r="K153" s="87">
        <f t="shared" si="75"/>
        <v>2014</v>
      </c>
      <c r="L153" s="87">
        <f t="shared" si="75"/>
        <v>2015</v>
      </c>
      <c r="M153" s="87">
        <f t="shared" si="75"/>
        <v>2016</v>
      </c>
      <c r="N153" s="87">
        <f t="shared" si="75"/>
        <v>2017</v>
      </c>
      <c r="O153" s="87">
        <f t="shared" si="75"/>
        <v>2018</v>
      </c>
      <c r="P153" s="87">
        <f t="shared" si="75"/>
        <v>2019</v>
      </c>
      <c r="Q153" s="87">
        <f t="shared" si="75"/>
        <v>2020</v>
      </c>
      <c r="R153" s="87">
        <f t="shared" si="75"/>
        <v>2021</v>
      </c>
      <c r="S153" s="87">
        <f t="shared" si="75"/>
        <v>2022</v>
      </c>
    </row>
    <row r="154" spans="1:19" s="4" customFormat="1" x14ac:dyDescent="0.2">
      <c r="A154" s="8"/>
      <c r="B154" s="2"/>
      <c r="C154" s="10"/>
      <c r="D154" s="10"/>
      <c r="E154" s="9"/>
      <c r="F154" s="8"/>
      <c r="G154" s="95" t="s">
        <v>276</v>
      </c>
      <c r="H154" s="96">
        <f t="shared" ref="H154:S154" si="76">H33</f>
        <v>114.542</v>
      </c>
      <c r="I154" s="96">
        <f t="shared" si="76"/>
        <v>126.794</v>
      </c>
      <c r="J154" s="96">
        <f t="shared" si="76"/>
        <v>126.211</v>
      </c>
      <c r="K154" s="96">
        <f t="shared" si="76"/>
        <v>110.572</v>
      </c>
      <c r="L154" s="96">
        <f>L33</f>
        <v>126.845</v>
      </c>
      <c r="M154" s="96">
        <f t="shared" si="76"/>
        <v>119.91</v>
      </c>
      <c r="N154" s="96">
        <f t="shared" si="76"/>
        <v>121.1</v>
      </c>
      <c r="O154" s="96">
        <f t="shared" si="76"/>
        <v>128.68</v>
      </c>
      <c r="P154" s="96">
        <f t="shared" si="76"/>
        <v>132.5</v>
      </c>
      <c r="Q154" s="96">
        <f t="shared" si="76"/>
        <v>132.5</v>
      </c>
      <c r="R154" s="96">
        <f t="shared" si="76"/>
        <v>132.5</v>
      </c>
      <c r="S154" s="96">
        <f t="shared" si="76"/>
        <v>149.5</v>
      </c>
    </row>
    <row r="155" spans="1:19" s="4" customFormat="1" x14ac:dyDescent="0.2">
      <c r="A155" s="8"/>
      <c r="B155" s="2"/>
      <c r="C155" s="10"/>
      <c r="D155" s="10"/>
      <c r="E155" s="9"/>
      <c r="F155" s="8"/>
      <c r="G155" s="95" t="s">
        <v>277</v>
      </c>
      <c r="H155" s="96">
        <f t="shared" ref="H155:S156" si="77">H35</f>
        <v>0</v>
      </c>
      <c r="I155" s="96">
        <f t="shared" si="77"/>
        <v>0</v>
      </c>
      <c r="J155" s="96">
        <f t="shared" si="77"/>
        <v>0</v>
      </c>
      <c r="K155" s="96">
        <f t="shared" si="77"/>
        <v>0</v>
      </c>
      <c r="L155" s="96">
        <f t="shared" si="77"/>
        <v>0</v>
      </c>
      <c r="M155" s="96">
        <f t="shared" si="77"/>
        <v>0</v>
      </c>
      <c r="N155" s="96">
        <f t="shared" si="77"/>
        <v>0</v>
      </c>
      <c r="O155" s="96">
        <f t="shared" si="77"/>
        <v>0</v>
      </c>
      <c r="P155" s="96">
        <f t="shared" si="77"/>
        <v>0</v>
      </c>
      <c r="Q155" s="96">
        <f t="shared" si="77"/>
        <v>0</v>
      </c>
      <c r="R155" s="96">
        <f t="shared" si="77"/>
        <v>0</v>
      </c>
      <c r="S155" s="96">
        <f t="shared" si="77"/>
        <v>0</v>
      </c>
    </row>
    <row r="156" spans="1:19" s="4" customFormat="1" x14ac:dyDescent="0.2">
      <c r="A156" s="8"/>
      <c r="B156" s="2"/>
      <c r="C156" s="10"/>
      <c r="D156" s="10"/>
      <c r="E156" s="9"/>
      <c r="F156" s="8"/>
      <c r="G156" s="95" t="s">
        <v>278</v>
      </c>
      <c r="H156" s="96">
        <f t="shared" si="77"/>
        <v>114.542</v>
      </c>
      <c r="I156" s="96">
        <f t="shared" si="77"/>
        <v>126.794</v>
      </c>
      <c r="J156" s="96">
        <f t="shared" si="77"/>
        <v>126.211</v>
      </c>
      <c r="K156" s="96">
        <f t="shared" si="77"/>
        <v>110.572</v>
      </c>
      <c r="L156" s="96">
        <f t="shared" si="77"/>
        <v>126.845</v>
      </c>
      <c r="M156" s="96">
        <f t="shared" si="77"/>
        <v>119.91</v>
      </c>
      <c r="N156" s="96">
        <f t="shared" si="77"/>
        <v>121.1</v>
      </c>
      <c r="O156" s="96">
        <f t="shared" si="77"/>
        <v>128.68</v>
      </c>
      <c r="P156" s="96">
        <f t="shared" si="77"/>
        <v>132.5</v>
      </c>
      <c r="Q156" s="96">
        <f t="shared" si="77"/>
        <v>132.5</v>
      </c>
      <c r="R156" s="96">
        <f t="shared" si="77"/>
        <v>132.5</v>
      </c>
      <c r="S156" s="96">
        <f t="shared" si="77"/>
        <v>149.5</v>
      </c>
    </row>
    <row r="157" spans="1:19" s="4" customFormat="1" x14ac:dyDescent="0.2">
      <c r="A157" s="8"/>
      <c r="B157" s="2"/>
      <c r="C157" s="10"/>
      <c r="D157" s="10"/>
      <c r="E157" s="9"/>
      <c r="F157" s="8"/>
      <c r="G157" s="95" t="s">
        <v>279</v>
      </c>
      <c r="H157" s="96">
        <f t="shared" ref="H157:S157" si="78">H38+H41</f>
        <v>-103.88500000000001</v>
      </c>
      <c r="I157" s="96">
        <f t="shared" si="78"/>
        <v>-124.404</v>
      </c>
      <c r="J157" s="96">
        <f t="shared" si="78"/>
        <v>-127.661</v>
      </c>
      <c r="K157" s="96">
        <f t="shared" si="78"/>
        <v>-116.771</v>
      </c>
      <c r="L157" s="96">
        <f t="shared" si="78"/>
        <v>-130.41900000000001</v>
      </c>
      <c r="M157" s="96">
        <f t="shared" si="78"/>
        <v>-117.053</v>
      </c>
      <c r="N157" s="96">
        <f t="shared" si="78"/>
        <v>-130.52000000000001</v>
      </c>
      <c r="O157" s="96">
        <f t="shared" si="78"/>
        <v>-128.79999999999998</v>
      </c>
      <c r="P157" s="96">
        <f t="shared" si="78"/>
        <v>-132.5</v>
      </c>
      <c r="Q157" s="96">
        <f t="shared" si="78"/>
        <v>-132.5</v>
      </c>
      <c r="R157" s="96">
        <f t="shared" si="78"/>
        <v>-132.5</v>
      </c>
      <c r="S157" s="96">
        <f t="shared" si="78"/>
        <v>-149.5</v>
      </c>
    </row>
    <row r="158" spans="1:19" s="4" customFormat="1" x14ac:dyDescent="0.2">
      <c r="A158" s="8"/>
      <c r="B158" s="2"/>
      <c r="C158" s="10"/>
      <c r="D158" s="10"/>
      <c r="E158" s="9"/>
      <c r="F158" s="8"/>
      <c r="G158" s="95" t="s">
        <v>280</v>
      </c>
      <c r="H158" s="96">
        <f t="shared" ref="H158:S158" si="79">H41</f>
        <v>-103.88500000000001</v>
      </c>
      <c r="I158" s="96">
        <f t="shared" si="79"/>
        <v>-124.404</v>
      </c>
      <c r="J158" s="96">
        <f t="shared" si="79"/>
        <v>-127.661</v>
      </c>
      <c r="K158" s="96">
        <f t="shared" si="79"/>
        <v>-116.771</v>
      </c>
      <c r="L158" s="96">
        <f t="shared" si="79"/>
        <v>-130.41900000000001</v>
      </c>
      <c r="M158" s="96">
        <f t="shared" si="79"/>
        <v>-117.053</v>
      </c>
      <c r="N158" s="96">
        <f t="shared" si="79"/>
        <v>-130.52000000000001</v>
      </c>
      <c r="O158" s="96">
        <f t="shared" si="79"/>
        <v>-128.79999999999998</v>
      </c>
      <c r="P158" s="96">
        <f t="shared" si="79"/>
        <v>-132.5</v>
      </c>
      <c r="Q158" s="96">
        <f t="shared" si="79"/>
        <v>-132.5</v>
      </c>
      <c r="R158" s="96">
        <f t="shared" si="79"/>
        <v>-132.5</v>
      </c>
      <c r="S158" s="96">
        <f t="shared" si="79"/>
        <v>-149.5</v>
      </c>
    </row>
    <row r="159" spans="1:19" s="4" customFormat="1" x14ac:dyDescent="0.2">
      <c r="A159" s="8"/>
      <c r="B159" s="2"/>
      <c r="C159" s="10"/>
      <c r="D159" s="10"/>
      <c r="E159" s="9"/>
      <c r="F159" s="8"/>
      <c r="G159" s="95" t="s">
        <v>281</v>
      </c>
      <c r="H159" s="96">
        <f t="shared" ref="H159:S159" si="80">H38</f>
        <v>0</v>
      </c>
      <c r="I159" s="96">
        <f t="shared" si="80"/>
        <v>0</v>
      </c>
      <c r="J159" s="96">
        <f t="shared" si="80"/>
        <v>0</v>
      </c>
      <c r="K159" s="96">
        <f t="shared" si="80"/>
        <v>0</v>
      </c>
      <c r="L159" s="96">
        <f t="shared" si="80"/>
        <v>0</v>
      </c>
      <c r="M159" s="96">
        <f t="shared" si="80"/>
        <v>0</v>
      </c>
      <c r="N159" s="96">
        <f t="shared" si="80"/>
        <v>0</v>
      </c>
      <c r="O159" s="96">
        <f t="shared" si="80"/>
        <v>0</v>
      </c>
      <c r="P159" s="96">
        <f t="shared" si="80"/>
        <v>0</v>
      </c>
      <c r="Q159" s="96">
        <f t="shared" si="80"/>
        <v>0</v>
      </c>
      <c r="R159" s="96">
        <f t="shared" si="80"/>
        <v>0</v>
      </c>
      <c r="S159" s="96">
        <f t="shared" si="80"/>
        <v>0</v>
      </c>
    </row>
    <row r="160" spans="1:19" s="4" customFormat="1" x14ac:dyDescent="0.2">
      <c r="A160" s="8"/>
      <c r="B160" s="2"/>
      <c r="C160" s="10"/>
      <c r="D160" s="10"/>
      <c r="E160" s="9"/>
      <c r="F160" s="8"/>
      <c r="G160" s="95" t="s">
        <v>282</v>
      </c>
      <c r="H160" s="96">
        <f t="shared" ref="H160:S160" si="81">H46</f>
        <v>10.656999999999996</v>
      </c>
      <c r="I160" s="96">
        <f t="shared" si="81"/>
        <v>2.3900000000000006</v>
      </c>
      <c r="J160" s="96">
        <f t="shared" si="81"/>
        <v>-1.4500000000000028</v>
      </c>
      <c r="K160" s="96">
        <f t="shared" si="81"/>
        <v>-6.1989999999999981</v>
      </c>
      <c r="L160" s="96">
        <f t="shared" si="81"/>
        <v>-3.5740000000000123</v>
      </c>
      <c r="M160" s="96">
        <f t="shared" si="81"/>
        <v>2.8569999999999993</v>
      </c>
      <c r="N160" s="96">
        <f t="shared" si="81"/>
        <v>-9.4200000000000159</v>
      </c>
      <c r="O160" s="96">
        <f t="shared" si="81"/>
        <v>-0.11999999999997613</v>
      </c>
      <c r="P160" s="96">
        <f t="shared" si="81"/>
        <v>0</v>
      </c>
      <c r="Q160" s="96">
        <f t="shared" si="81"/>
        <v>0</v>
      </c>
      <c r="R160" s="96">
        <f t="shared" si="81"/>
        <v>0</v>
      </c>
      <c r="S160" s="96">
        <f t="shared" si="81"/>
        <v>0</v>
      </c>
    </row>
    <row r="161" spans="1:19" s="4" customFormat="1" x14ac:dyDescent="0.2">
      <c r="A161" s="8"/>
      <c r="B161" s="2"/>
      <c r="C161" s="10"/>
      <c r="D161" s="10"/>
      <c r="E161" s="9"/>
      <c r="F161" s="8"/>
      <c r="G161" s="95" t="s">
        <v>283</v>
      </c>
      <c r="H161" s="96">
        <f t="shared" ref="H161:S161" si="82">H51</f>
        <v>10.721999999999996</v>
      </c>
      <c r="I161" s="96">
        <f t="shared" si="82"/>
        <v>2.5810000000000004</v>
      </c>
      <c r="J161" s="96">
        <f t="shared" si="82"/>
        <v>-1.4500000000000028</v>
      </c>
      <c r="K161" s="96">
        <f t="shared" si="82"/>
        <v>-6.1989999999999981</v>
      </c>
      <c r="L161" s="96">
        <f t="shared" si="82"/>
        <v>-3.5080000000000124</v>
      </c>
      <c r="M161" s="96">
        <f t="shared" si="82"/>
        <v>2.9059999999999993</v>
      </c>
      <c r="N161" s="96">
        <f t="shared" si="82"/>
        <v>-9.4200000000000159</v>
      </c>
      <c r="O161" s="96">
        <f t="shared" si="82"/>
        <v>-0.11999999999997613</v>
      </c>
      <c r="P161" s="96">
        <f t="shared" si="82"/>
        <v>0</v>
      </c>
      <c r="Q161" s="96">
        <f t="shared" si="82"/>
        <v>0</v>
      </c>
      <c r="R161" s="96">
        <f t="shared" si="82"/>
        <v>0</v>
      </c>
      <c r="S161" s="96">
        <f t="shared" si="82"/>
        <v>0</v>
      </c>
    </row>
    <row r="162" spans="1:19" s="4" customFormat="1" x14ac:dyDescent="0.2">
      <c r="A162" s="8"/>
      <c r="B162" s="2"/>
      <c r="C162" s="10"/>
      <c r="D162" s="10"/>
      <c r="E162" s="9"/>
      <c r="F162" s="8"/>
      <c r="G162" s="95" t="s">
        <v>284</v>
      </c>
      <c r="H162" s="96">
        <f t="shared" ref="H162:S163" si="83">H4</f>
        <v>26.447000000000003</v>
      </c>
      <c r="I162" s="96">
        <f t="shared" si="83"/>
        <v>21.798999999999999</v>
      </c>
      <c r="J162" s="96">
        <f t="shared" si="83"/>
        <v>19.614000000000001</v>
      </c>
      <c r="K162" s="96">
        <f t="shared" si="83"/>
        <v>13.007</v>
      </c>
      <c r="L162" s="96">
        <f t="shared" si="83"/>
        <v>11.504</v>
      </c>
      <c r="M162" s="96">
        <f t="shared" si="83"/>
        <v>12.565</v>
      </c>
      <c r="N162" s="96">
        <f t="shared" si="83"/>
        <v>3.7990000000000004</v>
      </c>
      <c r="O162" s="96">
        <f t="shared" si="83"/>
        <v>3</v>
      </c>
      <c r="P162" s="96">
        <f t="shared" si="83"/>
        <v>3</v>
      </c>
      <c r="Q162" s="96">
        <f t="shared" si="83"/>
        <v>3</v>
      </c>
      <c r="R162" s="96">
        <f t="shared" si="83"/>
        <v>3</v>
      </c>
      <c r="S162" s="96">
        <f t="shared" si="83"/>
        <v>3</v>
      </c>
    </row>
    <row r="163" spans="1:19" s="4" customFormat="1" x14ac:dyDescent="0.2">
      <c r="A163" s="8"/>
      <c r="B163" s="2"/>
      <c r="C163" s="10"/>
      <c r="D163" s="10"/>
      <c r="E163" s="9"/>
      <c r="F163" s="8"/>
      <c r="G163" s="95" t="s">
        <v>285</v>
      </c>
      <c r="H163" s="96">
        <f t="shared" si="83"/>
        <v>26.447000000000003</v>
      </c>
      <c r="I163" s="96">
        <f t="shared" si="83"/>
        <v>21.798999999999999</v>
      </c>
      <c r="J163" s="96">
        <f t="shared" si="83"/>
        <v>19.614000000000001</v>
      </c>
      <c r="K163" s="96">
        <f t="shared" si="83"/>
        <v>13.007</v>
      </c>
      <c r="L163" s="96">
        <f t="shared" si="83"/>
        <v>11.504</v>
      </c>
      <c r="M163" s="96">
        <f t="shared" si="83"/>
        <v>12.565</v>
      </c>
      <c r="N163" s="96">
        <f t="shared" si="83"/>
        <v>3.7990000000000004</v>
      </c>
      <c r="O163" s="96">
        <f t="shared" si="83"/>
        <v>3</v>
      </c>
      <c r="P163" s="96">
        <f t="shared" si="83"/>
        <v>3</v>
      </c>
      <c r="Q163" s="96">
        <f t="shared" si="83"/>
        <v>3</v>
      </c>
      <c r="R163" s="96">
        <f t="shared" si="83"/>
        <v>3</v>
      </c>
      <c r="S163" s="96">
        <f t="shared" si="83"/>
        <v>3</v>
      </c>
    </row>
    <row r="164" spans="1:19" s="4" customFormat="1" x14ac:dyDescent="0.2">
      <c r="A164" s="8"/>
      <c r="B164" s="2"/>
      <c r="C164" s="10"/>
      <c r="D164" s="10"/>
      <c r="E164" s="9"/>
      <c r="F164" s="8"/>
      <c r="G164" s="95" t="s">
        <v>286</v>
      </c>
      <c r="H164" s="96">
        <f t="shared" ref="H164:S164" si="84">H10</f>
        <v>0</v>
      </c>
      <c r="I164" s="96">
        <f t="shared" si="84"/>
        <v>0</v>
      </c>
      <c r="J164" s="96">
        <f t="shared" si="84"/>
        <v>0</v>
      </c>
      <c r="K164" s="96">
        <f t="shared" si="84"/>
        <v>0</v>
      </c>
      <c r="L164" s="96">
        <f t="shared" si="84"/>
        <v>0</v>
      </c>
      <c r="M164" s="96">
        <f t="shared" si="84"/>
        <v>0</v>
      </c>
      <c r="N164" s="96">
        <f t="shared" si="84"/>
        <v>0</v>
      </c>
      <c r="O164" s="96">
        <f t="shared" si="84"/>
        <v>0</v>
      </c>
      <c r="P164" s="96">
        <f t="shared" si="84"/>
        <v>0</v>
      </c>
      <c r="Q164" s="96">
        <f t="shared" si="84"/>
        <v>0</v>
      </c>
      <c r="R164" s="96">
        <f t="shared" si="84"/>
        <v>0</v>
      </c>
      <c r="S164" s="96">
        <f t="shared" si="84"/>
        <v>0</v>
      </c>
    </row>
    <row r="165" spans="1:19" s="4" customFormat="1" x14ac:dyDescent="0.2">
      <c r="A165" s="8"/>
      <c r="B165" s="2"/>
      <c r="C165" s="10"/>
      <c r="D165" s="10"/>
      <c r="E165" s="9"/>
      <c r="F165" s="8"/>
      <c r="G165" s="95" t="s">
        <v>287</v>
      </c>
      <c r="H165" s="96">
        <f t="shared" ref="H165:S166" si="85">H19</f>
        <v>11.683</v>
      </c>
      <c r="I165" s="96">
        <f t="shared" si="85"/>
        <v>4.5880000000000001</v>
      </c>
      <c r="J165" s="96">
        <f t="shared" si="85"/>
        <v>3.8530000000000002</v>
      </c>
      <c r="K165" s="96">
        <f t="shared" si="85"/>
        <v>3.4470000000000001</v>
      </c>
      <c r="L165" s="96">
        <f t="shared" si="85"/>
        <v>5.4509999999999996</v>
      </c>
      <c r="M165" s="96">
        <f t="shared" si="85"/>
        <v>3.2490000000000001</v>
      </c>
      <c r="N165" s="96">
        <f t="shared" si="85"/>
        <v>4.2699999999999996</v>
      </c>
      <c r="O165" s="96">
        <f t="shared" si="85"/>
        <v>3</v>
      </c>
      <c r="P165" s="96">
        <f t="shared" si="85"/>
        <v>3</v>
      </c>
      <c r="Q165" s="96">
        <f t="shared" si="85"/>
        <v>3</v>
      </c>
      <c r="R165" s="96">
        <f t="shared" si="85"/>
        <v>3</v>
      </c>
      <c r="S165" s="96">
        <f t="shared" si="85"/>
        <v>3</v>
      </c>
    </row>
    <row r="166" spans="1:19" s="4" customFormat="1" x14ac:dyDescent="0.2">
      <c r="A166" s="8"/>
      <c r="B166" s="2"/>
      <c r="C166" s="10"/>
      <c r="D166" s="10"/>
      <c r="E166" s="9"/>
      <c r="F166" s="8"/>
      <c r="G166" s="95" t="s">
        <v>288</v>
      </c>
      <c r="H166" s="96">
        <f t="shared" si="85"/>
        <v>11.683</v>
      </c>
      <c r="I166" s="96">
        <f t="shared" si="85"/>
        <v>4.5880000000000001</v>
      </c>
      <c r="J166" s="96">
        <f t="shared" si="85"/>
        <v>3.8530000000000002</v>
      </c>
      <c r="K166" s="96">
        <f t="shared" si="85"/>
        <v>3.4470000000000001</v>
      </c>
      <c r="L166" s="96">
        <f t="shared" si="85"/>
        <v>5.4509999999999996</v>
      </c>
      <c r="M166" s="96">
        <f t="shared" si="85"/>
        <v>3.2490000000000001</v>
      </c>
      <c r="N166" s="96">
        <f t="shared" si="85"/>
        <v>4.2699999999999996</v>
      </c>
      <c r="O166" s="96">
        <f t="shared" si="85"/>
        <v>3</v>
      </c>
      <c r="P166" s="96">
        <f t="shared" si="85"/>
        <v>3</v>
      </c>
      <c r="Q166" s="96">
        <f t="shared" si="85"/>
        <v>3</v>
      </c>
      <c r="R166" s="96">
        <f t="shared" si="85"/>
        <v>3</v>
      </c>
      <c r="S166" s="96">
        <f t="shared" si="85"/>
        <v>3</v>
      </c>
    </row>
    <row r="167" spans="1:19" s="4" customFormat="1" x14ac:dyDescent="0.2">
      <c r="A167" s="8"/>
      <c r="B167" s="2"/>
      <c r="C167" s="10"/>
      <c r="D167" s="10"/>
      <c r="E167" s="9"/>
      <c r="F167" s="8"/>
      <c r="G167" s="95" t="s">
        <v>289</v>
      </c>
      <c r="H167" s="96">
        <f t="shared" ref="H167:S167" si="86">H24</f>
        <v>0</v>
      </c>
      <c r="I167" s="96">
        <f t="shared" si="86"/>
        <v>0</v>
      </c>
      <c r="J167" s="96">
        <f t="shared" si="86"/>
        <v>0</v>
      </c>
      <c r="K167" s="96">
        <f t="shared" si="86"/>
        <v>0</v>
      </c>
      <c r="L167" s="96">
        <f t="shared" si="86"/>
        <v>0</v>
      </c>
      <c r="M167" s="96">
        <f t="shared" si="86"/>
        <v>0</v>
      </c>
      <c r="N167" s="96">
        <f t="shared" si="86"/>
        <v>0</v>
      </c>
      <c r="O167" s="96">
        <f t="shared" si="86"/>
        <v>0</v>
      </c>
      <c r="P167" s="96">
        <f t="shared" si="86"/>
        <v>0</v>
      </c>
      <c r="Q167" s="96">
        <f t="shared" si="86"/>
        <v>0</v>
      </c>
      <c r="R167" s="96">
        <f t="shared" si="86"/>
        <v>0</v>
      </c>
      <c r="S167" s="96">
        <f t="shared" si="86"/>
        <v>0</v>
      </c>
    </row>
    <row r="168" spans="1:19" s="4" customFormat="1" x14ac:dyDescent="0.2">
      <c r="A168" s="8"/>
      <c r="B168" s="2"/>
      <c r="C168" s="10"/>
      <c r="D168" s="10"/>
      <c r="E168" s="9"/>
      <c r="F168" s="8"/>
      <c r="G168" s="95" t="s">
        <v>290</v>
      </c>
      <c r="H168" s="96">
        <f t="shared" ref="H168:S168" si="87">H27</f>
        <v>14.763999999999999</v>
      </c>
      <c r="I168" s="96">
        <f t="shared" si="87"/>
        <v>17.21</v>
      </c>
      <c r="J168" s="96">
        <f t="shared" si="87"/>
        <v>15.760000000000002</v>
      </c>
      <c r="K168" s="96">
        <f t="shared" si="87"/>
        <v>9.5599999999999987</v>
      </c>
      <c r="L168" s="96">
        <f t="shared" si="87"/>
        <v>6.0530000000000008</v>
      </c>
      <c r="M168" s="96">
        <f t="shared" si="87"/>
        <v>8.9589999999999996</v>
      </c>
      <c r="N168" s="96">
        <f t="shared" si="87"/>
        <v>-0.45000000000000107</v>
      </c>
      <c r="O168" s="96">
        <f t="shared" si="87"/>
        <v>0</v>
      </c>
      <c r="P168" s="96">
        <f t="shared" si="87"/>
        <v>0</v>
      </c>
      <c r="Q168" s="96">
        <f t="shared" si="87"/>
        <v>0</v>
      </c>
      <c r="R168" s="96">
        <f t="shared" si="87"/>
        <v>0</v>
      </c>
      <c r="S168" s="96">
        <f t="shared" si="87"/>
        <v>0</v>
      </c>
    </row>
    <row r="169" spans="1:19" s="4" customFormat="1" x14ac:dyDescent="0.2">
      <c r="A169" s="8"/>
      <c r="B169" s="2"/>
      <c r="C169" s="119"/>
      <c r="D169" s="41"/>
      <c r="E169" s="42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</row>
    <row r="170" spans="1:19" s="4" customFormat="1" x14ac:dyDescent="0.2">
      <c r="A170" s="8"/>
      <c r="B170" s="2"/>
      <c r="C170" s="119" t="s">
        <v>463</v>
      </c>
      <c r="D170" s="41"/>
      <c r="E170" s="42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</row>
    <row r="171" spans="1:19" s="4" customFormat="1" x14ac:dyDescent="0.2">
      <c r="A171" s="8"/>
      <c r="B171" s="2"/>
      <c r="C171" s="119"/>
      <c r="D171" s="41"/>
      <c r="E171" s="42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</row>
    <row r="172" spans="1:19" s="40" customFormat="1" x14ac:dyDescent="0.2">
      <c r="A172" s="29"/>
      <c r="B172" s="2"/>
      <c r="C172" s="29" t="s">
        <v>464</v>
      </c>
      <c r="D172" s="99"/>
      <c r="E172" s="30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</row>
    <row r="173" spans="1:19" s="4" customFormat="1" x14ac:dyDescent="0.2">
      <c r="A173" s="8"/>
      <c r="B173" s="2"/>
      <c r="C173" s="8"/>
      <c r="D173" s="10"/>
      <c r="E173" s="9"/>
      <c r="F173" s="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</row>
    <row r="174" spans="1:19" s="4" customFormat="1" x14ac:dyDescent="0.2">
      <c r="A174" s="8"/>
      <c r="B174" s="2"/>
      <c r="C174" s="8" t="s">
        <v>291</v>
      </c>
      <c r="D174" s="10"/>
      <c r="E174" s="9"/>
      <c r="F174" s="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</row>
    <row r="175" spans="1:19" s="4" customFormat="1" x14ac:dyDescent="0.2">
      <c r="A175" s="8"/>
      <c r="B175" s="2"/>
      <c r="C175" s="8" t="s">
        <v>292</v>
      </c>
      <c r="D175" s="10"/>
      <c r="E175" s="9"/>
      <c r="F175" s="12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  <c r="R175" s="44"/>
    </row>
    <row r="176" spans="1:19" s="4" customFormat="1" x14ac:dyDescent="0.2">
      <c r="A176" s="8"/>
      <c r="B176" s="2"/>
      <c r="C176" s="8"/>
      <c r="D176" s="10"/>
      <c r="E176" s="9"/>
      <c r="F176" s="12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</row>
    <row r="177" spans="1:7" s="4" customFormat="1" x14ac:dyDescent="0.2">
      <c r="A177" s="8"/>
      <c r="B177" s="2"/>
      <c r="C177" s="8" t="s">
        <v>293</v>
      </c>
      <c r="D177" s="10"/>
      <c r="E177" s="9"/>
      <c r="F177" s="12"/>
      <c r="G177" s="28"/>
    </row>
    <row r="178" spans="1:7" s="4" customFormat="1" x14ac:dyDescent="0.2">
      <c r="A178" s="8"/>
      <c r="B178" s="2"/>
      <c r="C178" s="8" t="s">
        <v>294</v>
      </c>
      <c r="D178" s="10"/>
      <c r="E178" s="9"/>
      <c r="F178" s="12"/>
      <c r="G178" s="28"/>
    </row>
    <row r="179" spans="1:7" s="4" customFormat="1" x14ac:dyDescent="0.2">
      <c r="A179" s="8"/>
      <c r="B179" s="2"/>
      <c r="C179" s="10"/>
      <c r="D179" s="10"/>
      <c r="E179" s="9"/>
      <c r="F179" s="8"/>
      <c r="G179" s="28"/>
    </row>
    <row r="180" spans="1:7" s="4" customFormat="1" x14ac:dyDescent="0.2">
      <c r="A180" s="8"/>
      <c r="B180" s="2"/>
      <c r="C180" s="10"/>
      <c r="D180" s="10"/>
      <c r="E180" s="9"/>
      <c r="F180" s="8"/>
      <c r="G180" s="28"/>
    </row>
    <row r="181" spans="1:7" s="4" customFormat="1" x14ac:dyDescent="0.2">
      <c r="A181" s="8"/>
      <c r="B181" s="2"/>
      <c r="C181" s="10"/>
      <c r="D181" s="10"/>
      <c r="E181" s="9"/>
      <c r="F181" s="8"/>
      <c r="G181" s="28"/>
    </row>
    <row r="182" spans="1:7" s="4" customFormat="1" x14ac:dyDescent="0.2">
      <c r="A182" s="8"/>
      <c r="B182" s="2"/>
      <c r="C182" s="10"/>
      <c r="D182" s="10"/>
      <c r="E182" s="9"/>
      <c r="F182" s="8"/>
      <c r="G182" s="28"/>
    </row>
    <row r="183" spans="1:7" s="4" customFormat="1" x14ac:dyDescent="0.2">
      <c r="A183" s="8"/>
      <c r="B183" s="2"/>
      <c r="C183" s="10"/>
      <c r="D183" s="10"/>
      <c r="E183" s="9"/>
      <c r="F183" s="8"/>
      <c r="G183" s="28"/>
    </row>
    <row r="184" spans="1:7" s="4" customFormat="1" x14ac:dyDescent="0.2">
      <c r="A184" s="8"/>
      <c r="B184" s="2"/>
      <c r="C184" s="10"/>
      <c r="D184" s="10"/>
      <c r="E184" s="9"/>
      <c r="F184" s="8"/>
      <c r="G184" s="28"/>
    </row>
    <row r="185" spans="1:7" s="4" customFormat="1" x14ac:dyDescent="0.2">
      <c r="A185" s="8"/>
      <c r="B185" s="2"/>
      <c r="C185" s="10"/>
      <c r="D185" s="10"/>
      <c r="E185" s="9"/>
      <c r="F185" s="8"/>
      <c r="G185" s="28"/>
    </row>
    <row r="186" spans="1:7" s="4" customFormat="1" x14ac:dyDescent="0.2">
      <c r="A186" s="8"/>
      <c r="B186" s="2"/>
      <c r="C186" s="10"/>
      <c r="D186" s="10"/>
      <c r="E186" s="9"/>
      <c r="F186" s="8"/>
      <c r="G186" s="28"/>
    </row>
    <row r="187" spans="1:7" s="4" customFormat="1" x14ac:dyDescent="0.2">
      <c r="A187" s="8"/>
      <c r="B187" s="2"/>
      <c r="C187" s="10"/>
      <c r="D187" s="10"/>
      <c r="E187" s="9"/>
      <c r="F187" s="8"/>
      <c r="G187" s="28"/>
    </row>
    <row r="188" spans="1:7" s="4" customFormat="1" x14ac:dyDescent="0.2">
      <c r="A188" s="8"/>
      <c r="B188" s="2"/>
      <c r="C188" s="10"/>
      <c r="D188" s="10"/>
      <c r="E188" s="9"/>
      <c r="F188" s="8"/>
      <c r="G188" s="28"/>
    </row>
    <row r="189" spans="1:7" s="4" customFormat="1" x14ac:dyDescent="0.2">
      <c r="A189" s="8"/>
      <c r="B189" s="2"/>
      <c r="C189" s="10"/>
      <c r="D189" s="10"/>
      <c r="E189" s="9"/>
      <c r="F189" s="8"/>
      <c r="G189" s="28"/>
    </row>
    <row r="190" spans="1:7" s="4" customFormat="1" x14ac:dyDescent="0.2">
      <c r="A190" s="8"/>
      <c r="B190" s="2"/>
      <c r="C190" s="10"/>
      <c r="D190" s="10"/>
      <c r="E190" s="9"/>
      <c r="F190" s="8"/>
      <c r="G190" s="28"/>
    </row>
    <row r="191" spans="1:7" s="4" customFormat="1" x14ac:dyDescent="0.2">
      <c r="A191" s="8"/>
      <c r="B191" s="2"/>
      <c r="C191" s="10"/>
      <c r="D191" s="10"/>
      <c r="E191" s="9"/>
      <c r="F191" s="8"/>
      <c r="G191" s="28"/>
    </row>
    <row r="192" spans="1:7" s="4" customFormat="1" x14ac:dyDescent="0.2">
      <c r="A192" s="8"/>
      <c r="B192" s="2"/>
      <c r="C192" s="10"/>
      <c r="D192" s="10"/>
      <c r="E192" s="9"/>
      <c r="F192" s="8"/>
      <c r="G192" s="28"/>
    </row>
    <row r="193" spans="1:7" s="4" customFormat="1" x14ac:dyDescent="0.2">
      <c r="A193" s="8"/>
      <c r="B193" s="2"/>
      <c r="C193" s="10"/>
      <c r="D193" s="10"/>
      <c r="E193" s="9"/>
      <c r="F193" s="8"/>
      <c r="G193" s="28"/>
    </row>
    <row r="194" spans="1:7" s="4" customFormat="1" x14ac:dyDescent="0.2">
      <c r="A194" s="8"/>
      <c r="B194" s="2"/>
      <c r="C194" s="10"/>
      <c r="D194" s="10"/>
      <c r="E194" s="9"/>
      <c r="F194" s="8"/>
      <c r="G194" s="28"/>
    </row>
    <row r="195" spans="1:7" s="4" customFormat="1" x14ac:dyDescent="0.2">
      <c r="A195" s="8"/>
      <c r="B195" s="2"/>
      <c r="C195" s="10"/>
      <c r="D195" s="10"/>
      <c r="E195" s="9"/>
      <c r="F195" s="8"/>
      <c r="G195" s="28"/>
    </row>
    <row r="196" spans="1:7" s="4" customFormat="1" x14ac:dyDescent="0.2">
      <c r="A196" s="8"/>
      <c r="B196" s="2"/>
      <c r="C196" s="10"/>
      <c r="D196" s="10"/>
      <c r="E196" s="9"/>
      <c r="F196" s="8"/>
      <c r="G196" s="28"/>
    </row>
    <row r="197" spans="1:7" s="4" customFormat="1" x14ac:dyDescent="0.2">
      <c r="A197" s="8"/>
      <c r="B197" s="2"/>
      <c r="C197" s="10"/>
      <c r="D197" s="10"/>
      <c r="E197" s="9"/>
      <c r="F197" s="8"/>
      <c r="G197" s="28"/>
    </row>
    <row r="198" spans="1:7" s="4" customFormat="1" x14ac:dyDescent="0.2">
      <c r="A198" s="8"/>
      <c r="B198" s="2"/>
      <c r="C198" s="10"/>
      <c r="D198" s="10"/>
      <c r="E198" s="9"/>
      <c r="F198" s="8"/>
      <c r="G198" s="28"/>
    </row>
    <row r="199" spans="1:7" s="4" customFormat="1" x14ac:dyDescent="0.2">
      <c r="A199" s="8"/>
      <c r="B199" s="2"/>
      <c r="C199" s="10"/>
      <c r="D199" s="10"/>
      <c r="E199" s="9"/>
      <c r="F199" s="8"/>
      <c r="G199" s="28"/>
    </row>
    <row r="200" spans="1:7" s="4" customFormat="1" x14ac:dyDescent="0.2">
      <c r="A200" s="8"/>
      <c r="B200" s="2"/>
      <c r="C200" s="10"/>
      <c r="D200" s="10"/>
      <c r="E200" s="9"/>
      <c r="F200" s="8"/>
      <c r="G200" s="28"/>
    </row>
    <row r="201" spans="1:7" s="4" customFormat="1" x14ac:dyDescent="0.2">
      <c r="A201" s="8"/>
      <c r="B201" s="2"/>
      <c r="C201" s="10"/>
      <c r="D201" s="10"/>
      <c r="E201" s="9"/>
      <c r="F201" s="8"/>
      <c r="G201" s="28"/>
    </row>
    <row r="202" spans="1:7" s="4" customFormat="1" x14ac:dyDescent="0.2">
      <c r="A202" s="8"/>
      <c r="B202" s="2"/>
      <c r="C202" s="10"/>
      <c r="D202" s="10"/>
      <c r="E202" s="9"/>
      <c r="F202" s="8"/>
      <c r="G202" s="28"/>
    </row>
  </sheetData>
  <mergeCells count="1">
    <mergeCell ref="D92:E92"/>
  </mergeCells>
  <conditionalFormatting sqref="H141:Q141">
    <cfRule type="cellIs" dxfId="260" priority="51" stopIfTrue="1" operator="greaterThan">
      <formula>$E$141</formula>
    </cfRule>
    <cfRule type="cellIs" dxfId="259" priority="52" stopIfTrue="1" operator="lessThanOrEqual">
      <formula>$E$141</formula>
    </cfRule>
  </conditionalFormatting>
  <conditionalFormatting sqref="H143:Q143">
    <cfRule type="cellIs" dxfId="258" priority="49" stopIfTrue="1" operator="lessThanOrEqual">
      <formula>$E$143</formula>
    </cfRule>
    <cfRule type="cellIs" dxfId="257" priority="50" stopIfTrue="1" operator="greaterThan">
      <formula>$E$143</formula>
    </cfRule>
  </conditionalFormatting>
  <conditionalFormatting sqref="H121:Q121">
    <cfRule type="cellIs" dxfId="256" priority="47" operator="greaterThan">
      <formula>$E$121</formula>
    </cfRule>
    <cfRule type="cellIs" dxfId="255" priority="48" operator="lessThanOrEqual">
      <formula>$E$121</formula>
    </cfRule>
  </conditionalFormatting>
  <conditionalFormatting sqref="H124:Q124">
    <cfRule type="cellIs" dxfId="254" priority="45" stopIfTrue="1" operator="greaterThanOrEqual">
      <formula>$E$124</formula>
    </cfRule>
    <cfRule type="cellIs" dxfId="253" priority="46" stopIfTrue="1" operator="lessThan">
      <formula>$E$124</formula>
    </cfRule>
  </conditionalFormatting>
  <conditionalFormatting sqref="H126:Q126">
    <cfRule type="cellIs" dxfId="252" priority="43" stopIfTrue="1" operator="lessThan">
      <formula>$E$126</formula>
    </cfRule>
    <cfRule type="cellIs" dxfId="251" priority="44" stopIfTrue="1" operator="greaterThanOrEqual">
      <formula>$E$126</formula>
    </cfRule>
  </conditionalFormatting>
  <conditionalFormatting sqref="H125:Q125">
    <cfRule type="cellIs" dxfId="250" priority="41" stopIfTrue="1" operator="greaterThan">
      <formula>$E$125</formula>
    </cfRule>
    <cfRule type="cellIs" dxfId="249" priority="42" stopIfTrue="1" operator="lessThanOrEqual">
      <formula>$E$125</formula>
    </cfRule>
  </conditionalFormatting>
  <conditionalFormatting sqref="H122:Q122">
    <cfRule type="cellIs" dxfId="248" priority="30" stopIfTrue="1" operator="between">
      <formula>$D$122</formula>
      <formula>$E$122</formula>
    </cfRule>
    <cfRule type="cellIs" dxfId="247" priority="39" stopIfTrue="1" operator="lessThanOrEqual">
      <formula>$D$122</formula>
    </cfRule>
    <cfRule type="cellIs" dxfId="246" priority="40" stopIfTrue="1" operator="greaterThan">
      <formula>$E$122</formula>
    </cfRule>
  </conditionalFormatting>
  <conditionalFormatting sqref="H142:Q142">
    <cfRule type="cellIs" dxfId="245" priority="37" stopIfTrue="1" operator="greaterThan">
      <formula>$E$142</formula>
    </cfRule>
    <cfRule type="cellIs" dxfId="244" priority="38" stopIfTrue="1" operator="lessThanOrEqual">
      <formula>$E$142</formula>
    </cfRule>
  </conditionalFormatting>
  <conditionalFormatting sqref="H130:Q130">
    <cfRule type="cellIs" dxfId="243" priority="35" stopIfTrue="1" operator="greaterThan">
      <formula>$E$130</formula>
    </cfRule>
    <cfRule type="cellIs" dxfId="242" priority="36" stopIfTrue="1" operator="lessThanOrEqual">
      <formula>$E$130</formula>
    </cfRule>
  </conditionalFormatting>
  <conditionalFormatting sqref="H131:Q131">
    <cfRule type="cellIs" dxfId="241" priority="33" stopIfTrue="1" operator="lessThan">
      <formula>$E$131</formula>
    </cfRule>
    <cfRule type="cellIs" dxfId="240" priority="34" stopIfTrue="1" operator="greaterThanOrEqual">
      <formula>$E$131</formula>
    </cfRule>
  </conditionalFormatting>
  <conditionalFormatting sqref="H114:Q114">
    <cfRule type="cellIs" dxfId="239" priority="53" stopIfTrue="1" operator="lessThan">
      <formula>$D$114</formula>
    </cfRule>
    <cfRule type="cellIs" dxfId="238" priority="54" stopIfTrue="1" operator="between">
      <formula>$D$114</formula>
      <formula>$E$114</formula>
    </cfRule>
    <cfRule type="cellIs" dxfId="237" priority="55" stopIfTrue="1" operator="greaterThan">
      <formula>$E$114</formula>
    </cfRule>
  </conditionalFormatting>
  <conditionalFormatting sqref="H138:Q138">
    <cfRule type="cellIs" dxfId="236" priority="56" stopIfTrue="1" operator="lessThan">
      <formula>$E$138</formula>
    </cfRule>
    <cfRule type="cellIs" dxfId="235" priority="57" stopIfTrue="1" operator="between">
      <formula>$D$138</formula>
      <formula>$E$138</formula>
    </cfRule>
    <cfRule type="cellIs" dxfId="234" priority="58" stopIfTrue="1" operator="greaterThanOrEqual">
      <formula>$D$138</formula>
    </cfRule>
  </conditionalFormatting>
  <conditionalFormatting sqref="H111:Q111">
    <cfRule type="cellIs" dxfId="233" priority="31" stopIfTrue="1" operator="lessThan">
      <formula>$E$111</formula>
    </cfRule>
    <cfRule type="cellIs" dxfId="232" priority="32" stopIfTrue="1" operator="greaterThan">
      <formula>$E$111</formula>
    </cfRule>
  </conditionalFormatting>
  <conditionalFormatting sqref="R141:S141">
    <cfRule type="cellIs" dxfId="231" priority="22" stopIfTrue="1" operator="greaterThan">
      <formula>$E$141</formula>
    </cfRule>
    <cfRule type="cellIs" dxfId="230" priority="23" stopIfTrue="1" operator="lessThanOrEqual">
      <formula>$E$141</formula>
    </cfRule>
  </conditionalFormatting>
  <conditionalFormatting sqref="R143:S143">
    <cfRule type="cellIs" dxfId="229" priority="20" stopIfTrue="1" operator="lessThanOrEqual">
      <formula>$E$143</formula>
    </cfRule>
    <cfRule type="cellIs" dxfId="228" priority="21" stopIfTrue="1" operator="greaterThan">
      <formula>$E$143</formula>
    </cfRule>
  </conditionalFormatting>
  <conditionalFormatting sqref="R121:S121">
    <cfRule type="cellIs" dxfId="227" priority="18" operator="greaterThan">
      <formula>$E$121</formula>
    </cfRule>
    <cfRule type="cellIs" dxfId="226" priority="19" operator="lessThanOrEqual">
      <formula>$E$121</formula>
    </cfRule>
  </conditionalFormatting>
  <conditionalFormatting sqref="R124:S124">
    <cfRule type="cellIs" dxfId="225" priority="16" stopIfTrue="1" operator="greaterThanOrEqual">
      <formula>$E$124</formula>
    </cfRule>
    <cfRule type="cellIs" dxfId="224" priority="17" stopIfTrue="1" operator="lessThan">
      <formula>$E$124</formula>
    </cfRule>
  </conditionalFormatting>
  <conditionalFormatting sqref="R126:S126">
    <cfRule type="cellIs" dxfId="223" priority="14" stopIfTrue="1" operator="lessThan">
      <formula>$E$126</formula>
    </cfRule>
    <cfRule type="cellIs" dxfId="222" priority="15" stopIfTrue="1" operator="greaterThanOrEqual">
      <formula>$E$126</formula>
    </cfRule>
  </conditionalFormatting>
  <conditionalFormatting sqref="R125:S125">
    <cfRule type="cellIs" dxfId="221" priority="12" stopIfTrue="1" operator="greaterThan">
      <formula>$E$125</formula>
    </cfRule>
    <cfRule type="cellIs" dxfId="220" priority="13" stopIfTrue="1" operator="lessThanOrEqual">
      <formula>$E$125</formula>
    </cfRule>
  </conditionalFormatting>
  <conditionalFormatting sqref="R122:S122">
    <cfRule type="cellIs" dxfId="219" priority="1" stopIfTrue="1" operator="between">
      <formula>$D$122</formula>
      <formula>$E$122</formula>
    </cfRule>
    <cfRule type="cellIs" dxfId="218" priority="10" stopIfTrue="1" operator="lessThanOrEqual">
      <formula>$D$122</formula>
    </cfRule>
    <cfRule type="cellIs" dxfId="217" priority="11" stopIfTrue="1" operator="greaterThan">
      <formula>$E$122</formula>
    </cfRule>
  </conditionalFormatting>
  <conditionalFormatting sqref="R142:S142">
    <cfRule type="cellIs" dxfId="216" priority="8" stopIfTrue="1" operator="greaterThan">
      <formula>$E$142</formula>
    </cfRule>
    <cfRule type="cellIs" dxfId="215" priority="9" stopIfTrue="1" operator="lessThanOrEqual">
      <formula>$E$142</formula>
    </cfRule>
  </conditionalFormatting>
  <conditionalFormatting sqref="R130:S130">
    <cfRule type="cellIs" dxfId="214" priority="6" stopIfTrue="1" operator="greaterThan">
      <formula>$E$130</formula>
    </cfRule>
    <cfRule type="cellIs" dxfId="213" priority="7" stopIfTrue="1" operator="lessThanOrEqual">
      <formula>$E$130</formula>
    </cfRule>
  </conditionalFormatting>
  <conditionalFormatting sqref="R131:S131">
    <cfRule type="cellIs" dxfId="212" priority="4" stopIfTrue="1" operator="lessThan">
      <formula>$E$131</formula>
    </cfRule>
    <cfRule type="cellIs" dxfId="211" priority="5" stopIfTrue="1" operator="greaterThanOrEqual">
      <formula>$E$131</formula>
    </cfRule>
  </conditionalFormatting>
  <conditionalFormatting sqref="R114:S114">
    <cfRule type="cellIs" dxfId="210" priority="24" stopIfTrue="1" operator="lessThan">
      <formula>$D$114</formula>
    </cfRule>
    <cfRule type="cellIs" dxfId="209" priority="25" stopIfTrue="1" operator="between">
      <formula>$D$114</formula>
      <formula>$E$114</formula>
    </cfRule>
    <cfRule type="cellIs" dxfId="208" priority="26" stopIfTrue="1" operator="greaterThan">
      <formula>$E$114</formula>
    </cfRule>
  </conditionalFormatting>
  <conditionalFormatting sqref="R138:S138">
    <cfRule type="cellIs" dxfId="207" priority="27" stopIfTrue="1" operator="lessThan">
      <formula>$E$138</formula>
    </cfRule>
    <cfRule type="cellIs" dxfId="206" priority="28" stopIfTrue="1" operator="between">
      <formula>$D$138</formula>
      <formula>$E$138</formula>
    </cfRule>
    <cfRule type="cellIs" dxfId="205" priority="29" stopIfTrue="1" operator="greaterThanOrEqual">
      <formula>$D$138</formula>
    </cfRule>
  </conditionalFormatting>
  <conditionalFormatting sqref="R111:S111">
    <cfRule type="cellIs" dxfId="204" priority="2" stopIfTrue="1" operator="lessThan">
      <formula>$E$111</formula>
    </cfRule>
    <cfRule type="cellIs" dxfId="203" priority="3" stopIfTrue="1" operator="greaterThan">
      <formula>$E$111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0452BC-75F2-4021-BA15-03D18D35620C}">
  <dimension ref="A1:U178"/>
  <sheetViews>
    <sheetView topLeftCell="D1" workbookViewId="0">
      <selection activeCell="G2" sqref="G2"/>
    </sheetView>
  </sheetViews>
  <sheetFormatPr defaultRowHeight="11.25" outlineLevelCol="1" x14ac:dyDescent="0.2"/>
  <cols>
    <col min="1" max="1" width="5.7109375" style="8" bestFit="1" customWidth="1"/>
    <col min="2" max="2" width="5" style="2" bestFit="1" customWidth="1"/>
    <col min="3" max="3" width="15.140625" style="10" customWidth="1"/>
    <col min="4" max="4" width="5.140625" style="10" bestFit="1" customWidth="1"/>
    <col min="5" max="5" width="5.140625" style="9" bestFit="1" customWidth="1"/>
    <col min="6" max="6" width="2" style="8" bestFit="1" customWidth="1"/>
    <col min="7" max="7" width="29.140625" style="28" customWidth="1"/>
    <col min="8" max="12" width="8.7109375" style="4" hidden="1" customWidth="1" outlineLevel="1"/>
    <col min="13" max="13" width="8.7109375" style="4" bestFit="1" customWidth="1" collapsed="1"/>
    <col min="14" max="14" width="10.85546875" style="4" customWidth="1"/>
    <col min="15" max="18" width="8.7109375" style="4" bestFit="1" customWidth="1"/>
    <col min="19" max="19" width="8.42578125" style="4" customWidth="1"/>
    <col min="20" max="20" width="3.5703125" style="4" customWidth="1"/>
    <col min="21" max="256" width="9.140625" style="4"/>
    <col min="257" max="257" width="5.7109375" style="4" bestFit="1" customWidth="1"/>
    <col min="258" max="258" width="5" style="4" bestFit="1" customWidth="1"/>
    <col min="259" max="259" width="15.140625" style="4" customWidth="1"/>
    <col min="260" max="261" width="5.140625" style="4" bestFit="1" customWidth="1"/>
    <col min="262" max="262" width="2" style="4" bestFit="1" customWidth="1"/>
    <col min="263" max="263" width="29.140625" style="4" customWidth="1"/>
    <col min="264" max="268" width="0" style="4" hidden="1" customWidth="1"/>
    <col min="269" max="269" width="8.7109375" style="4" bestFit="1" customWidth="1"/>
    <col min="270" max="270" width="10.85546875" style="4" customWidth="1"/>
    <col min="271" max="274" width="8.7109375" style="4" bestFit="1" customWidth="1"/>
    <col min="275" max="275" width="8.42578125" style="4" customWidth="1"/>
    <col min="276" max="276" width="3.5703125" style="4" customWidth="1"/>
    <col min="277" max="512" width="9.140625" style="4"/>
    <col min="513" max="513" width="5.7109375" style="4" bestFit="1" customWidth="1"/>
    <col min="514" max="514" width="5" style="4" bestFit="1" customWidth="1"/>
    <col min="515" max="515" width="15.140625" style="4" customWidth="1"/>
    <col min="516" max="517" width="5.140625" style="4" bestFit="1" customWidth="1"/>
    <col min="518" max="518" width="2" style="4" bestFit="1" customWidth="1"/>
    <col min="519" max="519" width="29.140625" style="4" customWidth="1"/>
    <col min="520" max="524" width="0" style="4" hidden="1" customWidth="1"/>
    <col min="525" max="525" width="8.7109375" style="4" bestFit="1" customWidth="1"/>
    <col min="526" max="526" width="10.85546875" style="4" customWidth="1"/>
    <col min="527" max="530" width="8.7109375" style="4" bestFit="1" customWidth="1"/>
    <col min="531" max="531" width="8.42578125" style="4" customWidth="1"/>
    <col min="532" max="532" width="3.5703125" style="4" customWidth="1"/>
    <col min="533" max="768" width="9.140625" style="4"/>
    <col min="769" max="769" width="5.7109375" style="4" bestFit="1" customWidth="1"/>
    <col min="770" max="770" width="5" style="4" bestFit="1" customWidth="1"/>
    <col min="771" max="771" width="15.140625" style="4" customWidth="1"/>
    <col min="772" max="773" width="5.140625" style="4" bestFit="1" customWidth="1"/>
    <col min="774" max="774" width="2" style="4" bestFit="1" customWidth="1"/>
    <col min="775" max="775" width="29.140625" style="4" customWidth="1"/>
    <col min="776" max="780" width="0" style="4" hidden="1" customWidth="1"/>
    <col min="781" max="781" width="8.7109375" style="4" bestFit="1" customWidth="1"/>
    <col min="782" max="782" width="10.85546875" style="4" customWidth="1"/>
    <col min="783" max="786" width="8.7109375" style="4" bestFit="1" customWidth="1"/>
    <col min="787" max="787" width="8.42578125" style="4" customWidth="1"/>
    <col min="788" max="788" width="3.5703125" style="4" customWidth="1"/>
    <col min="789" max="1024" width="9.140625" style="4"/>
    <col min="1025" max="1025" width="5.7109375" style="4" bestFit="1" customWidth="1"/>
    <col min="1026" max="1026" width="5" style="4" bestFit="1" customWidth="1"/>
    <col min="1027" max="1027" width="15.140625" style="4" customWidth="1"/>
    <col min="1028" max="1029" width="5.140625" style="4" bestFit="1" customWidth="1"/>
    <col min="1030" max="1030" width="2" style="4" bestFit="1" customWidth="1"/>
    <col min="1031" max="1031" width="29.140625" style="4" customWidth="1"/>
    <col min="1032" max="1036" width="0" style="4" hidden="1" customWidth="1"/>
    <col min="1037" max="1037" width="8.7109375" style="4" bestFit="1" customWidth="1"/>
    <col min="1038" max="1038" width="10.85546875" style="4" customWidth="1"/>
    <col min="1039" max="1042" width="8.7109375" style="4" bestFit="1" customWidth="1"/>
    <col min="1043" max="1043" width="8.42578125" style="4" customWidth="1"/>
    <col min="1044" max="1044" width="3.5703125" style="4" customWidth="1"/>
    <col min="1045" max="1280" width="9.140625" style="4"/>
    <col min="1281" max="1281" width="5.7109375" style="4" bestFit="1" customWidth="1"/>
    <col min="1282" max="1282" width="5" style="4" bestFit="1" customWidth="1"/>
    <col min="1283" max="1283" width="15.140625" style="4" customWidth="1"/>
    <col min="1284" max="1285" width="5.140625" style="4" bestFit="1" customWidth="1"/>
    <col min="1286" max="1286" width="2" style="4" bestFit="1" customWidth="1"/>
    <col min="1287" max="1287" width="29.140625" style="4" customWidth="1"/>
    <col min="1288" max="1292" width="0" style="4" hidden="1" customWidth="1"/>
    <col min="1293" max="1293" width="8.7109375" style="4" bestFit="1" customWidth="1"/>
    <col min="1294" max="1294" width="10.85546875" style="4" customWidth="1"/>
    <col min="1295" max="1298" width="8.7109375" style="4" bestFit="1" customWidth="1"/>
    <col min="1299" max="1299" width="8.42578125" style="4" customWidth="1"/>
    <col min="1300" max="1300" width="3.5703125" style="4" customWidth="1"/>
    <col min="1301" max="1536" width="9.140625" style="4"/>
    <col min="1537" max="1537" width="5.7109375" style="4" bestFit="1" customWidth="1"/>
    <col min="1538" max="1538" width="5" style="4" bestFit="1" customWidth="1"/>
    <col min="1539" max="1539" width="15.140625" style="4" customWidth="1"/>
    <col min="1540" max="1541" width="5.140625" style="4" bestFit="1" customWidth="1"/>
    <col min="1542" max="1542" width="2" style="4" bestFit="1" customWidth="1"/>
    <col min="1543" max="1543" width="29.140625" style="4" customWidth="1"/>
    <col min="1544" max="1548" width="0" style="4" hidden="1" customWidth="1"/>
    <col min="1549" max="1549" width="8.7109375" style="4" bestFit="1" customWidth="1"/>
    <col min="1550" max="1550" width="10.85546875" style="4" customWidth="1"/>
    <col min="1551" max="1554" width="8.7109375" style="4" bestFit="1" customWidth="1"/>
    <col min="1555" max="1555" width="8.42578125" style="4" customWidth="1"/>
    <col min="1556" max="1556" width="3.5703125" style="4" customWidth="1"/>
    <col min="1557" max="1792" width="9.140625" style="4"/>
    <col min="1793" max="1793" width="5.7109375" style="4" bestFit="1" customWidth="1"/>
    <col min="1794" max="1794" width="5" style="4" bestFit="1" customWidth="1"/>
    <col min="1795" max="1795" width="15.140625" style="4" customWidth="1"/>
    <col min="1796" max="1797" width="5.140625" style="4" bestFit="1" customWidth="1"/>
    <col min="1798" max="1798" width="2" style="4" bestFit="1" customWidth="1"/>
    <col min="1799" max="1799" width="29.140625" style="4" customWidth="1"/>
    <col min="1800" max="1804" width="0" style="4" hidden="1" customWidth="1"/>
    <col min="1805" max="1805" width="8.7109375" style="4" bestFit="1" customWidth="1"/>
    <col min="1806" max="1806" width="10.85546875" style="4" customWidth="1"/>
    <col min="1807" max="1810" width="8.7109375" style="4" bestFit="1" customWidth="1"/>
    <col min="1811" max="1811" width="8.42578125" style="4" customWidth="1"/>
    <col min="1812" max="1812" width="3.5703125" style="4" customWidth="1"/>
    <col min="1813" max="2048" width="9.140625" style="4"/>
    <col min="2049" max="2049" width="5.7109375" style="4" bestFit="1" customWidth="1"/>
    <col min="2050" max="2050" width="5" style="4" bestFit="1" customWidth="1"/>
    <col min="2051" max="2051" width="15.140625" style="4" customWidth="1"/>
    <col min="2052" max="2053" width="5.140625" style="4" bestFit="1" customWidth="1"/>
    <col min="2054" max="2054" width="2" style="4" bestFit="1" customWidth="1"/>
    <col min="2055" max="2055" width="29.140625" style="4" customWidth="1"/>
    <col min="2056" max="2060" width="0" style="4" hidden="1" customWidth="1"/>
    <col min="2061" max="2061" width="8.7109375" style="4" bestFit="1" customWidth="1"/>
    <col min="2062" max="2062" width="10.85546875" style="4" customWidth="1"/>
    <col min="2063" max="2066" width="8.7109375" style="4" bestFit="1" customWidth="1"/>
    <col min="2067" max="2067" width="8.42578125" style="4" customWidth="1"/>
    <col min="2068" max="2068" width="3.5703125" style="4" customWidth="1"/>
    <col min="2069" max="2304" width="9.140625" style="4"/>
    <col min="2305" max="2305" width="5.7109375" style="4" bestFit="1" customWidth="1"/>
    <col min="2306" max="2306" width="5" style="4" bestFit="1" customWidth="1"/>
    <col min="2307" max="2307" width="15.140625" style="4" customWidth="1"/>
    <col min="2308" max="2309" width="5.140625" style="4" bestFit="1" customWidth="1"/>
    <col min="2310" max="2310" width="2" style="4" bestFit="1" customWidth="1"/>
    <col min="2311" max="2311" width="29.140625" style="4" customWidth="1"/>
    <col min="2312" max="2316" width="0" style="4" hidden="1" customWidth="1"/>
    <col min="2317" max="2317" width="8.7109375" style="4" bestFit="1" customWidth="1"/>
    <col min="2318" max="2318" width="10.85546875" style="4" customWidth="1"/>
    <col min="2319" max="2322" width="8.7109375" style="4" bestFit="1" customWidth="1"/>
    <col min="2323" max="2323" width="8.42578125" style="4" customWidth="1"/>
    <col min="2324" max="2324" width="3.5703125" style="4" customWidth="1"/>
    <col min="2325" max="2560" width="9.140625" style="4"/>
    <col min="2561" max="2561" width="5.7109375" style="4" bestFit="1" customWidth="1"/>
    <col min="2562" max="2562" width="5" style="4" bestFit="1" customWidth="1"/>
    <col min="2563" max="2563" width="15.140625" style="4" customWidth="1"/>
    <col min="2564" max="2565" width="5.140625" style="4" bestFit="1" customWidth="1"/>
    <col min="2566" max="2566" width="2" style="4" bestFit="1" customWidth="1"/>
    <col min="2567" max="2567" width="29.140625" style="4" customWidth="1"/>
    <col min="2568" max="2572" width="0" style="4" hidden="1" customWidth="1"/>
    <col min="2573" max="2573" width="8.7109375" style="4" bestFit="1" customWidth="1"/>
    <col min="2574" max="2574" width="10.85546875" style="4" customWidth="1"/>
    <col min="2575" max="2578" width="8.7109375" style="4" bestFit="1" customWidth="1"/>
    <col min="2579" max="2579" width="8.42578125" style="4" customWidth="1"/>
    <col min="2580" max="2580" width="3.5703125" style="4" customWidth="1"/>
    <col min="2581" max="2816" width="9.140625" style="4"/>
    <col min="2817" max="2817" width="5.7109375" style="4" bestFit="1" customWidth="1"/>
    <col min="2818" max="2818" width="5" style="4" bestFit="1" customWidth="1"/>
    <col min="2819" max="2819" width="15.140625" style="4" customWidth="1"/>
    <col min="2820" max="2821" width="5.140625" style="4" bestFit="1" customWidth="1"/>
    <col min="2822" max="2822" width="2" style="4" bestFit="1" customWidth="1"/>
    <col min="2823" max="2823" width="29.140625" style="4" customWidth="1"/>
    <col min="2824" max="2828" width="0" style="4" hidden="1" customWidth="1"/>
    <col min="2829" max="2829" width="8.7109375" style="4" bestFit="1" customWidth="1"/>
    <col min="2830" max="2830" width="10.85546875" style="4" customWidth="1"/>
    <col min="2831" max="2834" width="8.7109375" style="4" bestFit="1" customWidth="1"/>
    <col min="2835" max="2835" width="8.42578125" style="4" customWidth="1"/>
    <col min="2836" max="2836" width="3.5703125" style="4" customWidth="1"/>
    <col min="2837" max="3072" width="9.140625" style="4"/>
    <col min="3073" max="3073" width="5.7109375" style="4" bestFit="1" customWidth="1"/>
    <col min="3074" max="3074" width="5" style="4" bestFit="1" customWidth="1"/>
    <col min="3075" max="3075" width="15.140625" style="4" customWidth="1"/>
    <col min="3076" max="3077" width="5.140625" style="4" bestFit="1" customWidth="1"/>
    <col min="3078" max="3078" width="2" style="4" bestFit="1" customWidth="1"/>
    <col min="3079" max="3079" width="29.140625" style="4" customWidth="1"/>
    <col min="3080" max="3084" width="0" style="4" hidden="1" customWidth="1"/>
    <col min="3085" max="3085" width="8.7109375" style="4" bestFit="1" customWidth="1"/>
    <col min="3086" max="3086" width="10.85546875" style="4" customWidth="1"/>
    <col min="3087" max="3090" width="8.7109375" style="4" bestFit="1" customWidth="1"/>
    <col min="3091" max="3091" width="8.42578125" style="4" customWidth="1"/>
    <col min="3092" max="3092" width="3.5703125" style="4" customWidth="1"/>
    <col min="3093" max="3328" width="9.140625" style="4"/>
    <col min="3329" max="3329" width="5.7109375" style="4" bestFit="1" customWidth="1"/>
    <col min="3330" max="3330" width="5" style="4" bestFit="1" customWidth="1"/>
    <col min="3331" max="3331" width="15.140625" style="4" customWidth="1"/>
    <col min="3332" max="3333" width="5.140625" style="4" bestFit="1" customWidth="1"/>
    <col min="3334" max="3334" width="2" style="4" bestFit="1" customWidth="1"/>
    <col min="3335" max="3335" width="29.140625" style="4" customWidth="1"/>
    <col min="3336" max="3340" width="0" style="4" hidden="1" customWidth="1"/>
    <col min="3341" max="3341" width="8.7109375" style="4" bestFit="1" customWidth="1"/>
    <col min="3342" max="3342" width="10.85546875" style="4" customWidth="1"/>
    <col min="3343" max="3346" width="8.7109375" style="4" bestFit="1" customWidth="1"/>
    <col min="3347" max="3347" width="8.42578125" style="4" customWidth="1"/>
    <col min="3348" max="3348" width="3.5703125" style="4" customWidth="1"/>
    <col min="3349" max="3584" width="9.140625" style="4"/>
    <col min="3585" max="3585" width="5.7109375" style="4" bestFit="1" customWidth="1"/>
    <col min="3586" max="3586" width="5" style="4" bestFit="1" customWidth="1"/>
    <col min="3587" max="3587" width="15.140625" style="4" customWidth="1"/>
    <col min="3588" max="3589" width="5.140625" style="4" bestFit="1" customWidth="1"/>
    <col min="3590" max="3590" width="2" style="4" bestFit="1" customWidth="1"/>
    <col min="3591" max="3591" width="29.140625" style="4" customWidth="1"/>
    <col min="3592" max="3596" width="0" style="4" hidden="1" customWidth="1"/>
    <col min="3597" max="3597" width="8.7109375" style="4" bestFit="1" customWidth="1"/>
    <col min="3598" max="3598" width="10.85546875" style="4" customWidth="1"/>
    <col min="3599" max="3602" width="8.7109375" style="4" bestFit="1" customWidth="1"/>
    <col min="3603" max="3603" width="8.42578125" style="4" customWidth="1"/>
    <col min="3604" max="3604" width="3.5703125" style="4" customWidth="1"/>
    <col min="3605" max="3840" width="9.140625" style="4"/>
    <col min="3841" max="3841" width="5.7109375" style="4" bestFit="1" customWidth="1"/>
    <col min="3842" max="3842" width="5" style="4" bestFit="1" customWidth="1"/>
    <col min="3843" max="3843" width="15.140625" style="4" customWidth="1"/>
    <col min="3844" max="3845" width="5.140625" style="4" bestFit="1" customWidth="1"/>
    <col min="3846" max="3846" width="2" style="4" bestFit="1" customWidth="1"/>
    <col min="3847" max="3847" width="29.140625" style="4" customWidth="1"/>
    <col min="3848" max="3852" width="0" style="4" hidden="1" customWidth="1"/>
    <col min="3853" max="3853" width="8.7109375" style="4" bestFit="1" customWidth="1"/>
    <col min="3854" max="3854" width="10.85546875" style="4" customWidth="1"/>
    <col min="3855" max="3858" width="8.7109375" style="4" bestFit="1" customWidth="1"/>
    <col min="3859" max="3859" width="8.42578125" style="4" customWidth="1"/>
    <col min="3860" max="3860" width="3.5703125" style="4" customWidth="1"/>
    <col min="3861" max="4096" width="9.140625" style="4"/>
    <col min="4097" max="4097" width="5.7109375" style="4" bestFit="1" customWidth="1"/>
    <col min="4098" max="4098" width="5" style="4" bestFit="1" customWidth="1"/>
    <col min="4099" max="4099" width="15.140625" style="4" customWidth="1"/>
    <col min="4100" max="4101" width="5.140625" style="4" bestFit="1" customWidth="1"/>
    <col min="4102" max="4102" width="2" style="4" bestFit="1" customWidth="1"/>
    <col min="4103" max="4103" width="29.140625" style="4" customWidth="1"/>
    <col min="4104" max="4108" width="0" style="4" hidden="1" customWidth="1"/>
    <col min="4109" max="4109" width="8.7109375" style="4" bestFit="1" customWidth="1"/>
    <col min="4110" max="4110" width="10.85546875" style="4" customWidth="1"/>
    <col min="4111" max="4114" width="8.7109375" style="4" bestFit="1" customWidth="1"/>
    <col min="4115" max="4115" width="8.42578125" style="4" customWidth="1"/>
    <col min="4116" max="4116" width="3.5703125" style="4" customWidth="1"/>
    <col min="4117" max="4352" width="9.140625" style="4"/>
    <col min="4353" max="4353" width="5.7109375" style="4" bestFit="1" customWidth="1"/>
    <col min="4354" max="4354" width="5" style="4" bestFit="1" customWidth="1"/>
    <col min="4355" max="4355" width="15.140625" style="4" customWidth="1"/>
    <col min="4356" max="4357" width="5.140625" style="4" bestFit="1" customWidth="1"/>
    <col min="4358" max="4358" width="2" style="4" bestFit="1" customWidth="1"/>
    <col min="4359" max="4359" width="29.140625" style="4" customWidth="1"/>
    <col min="4360" max="4364" width="0" style="4" hidden="1" customWidth="1"/>
    <col min="4365" max="4365" width="8.7109375" style="4" bestFit="1" customWidth="1"/>
    <col min="4366" max="4366" width="10.85546875" style="4" customWidth="1"/>
    <col min="4367" max="4370" width="8.7109375" style="4" bestFit="1" customWidth="1"/>
    <col min="4371" max="4371" width="8.42578125" style="4" customWidth="1"/>
    <col min="4372" max="4372" width="3.5703125" style="4" customWidth="1"/>
    <col min="4373" max="4608" width="9.140625" style="4"/>
    <col min="4609" max="4609" width="5.7109375" style="4" bestFit="1" customWidth="1"/>
    <col min="4610" max="4610" width="5" style="4" bestFit="1" customWidth="1"/>
    <col min="4611" max="4611" width="15.140625" style="4" customWidth="1"/>
    <col min="4612" max="4613" width="5.140625" style="4" bestFit="1" customWidth="1"/>
    <col min="4614" max="4614" width="2" style="4" bestFit="1" customWidth="1"/>
    <col min="4615" max="4615" width="29.140625" style="4" customWidth="1"/>
    <col min="4616" max="4620" width="0" style="4" hidden="1" customWidth="1"/>
    <col min="4621" max="4621" width="8.7109375" style="4" bestFit="1" customWidth="1"/>
    <col min="4622" max="4622" width="10.85546875" style="4" customWidth="1"/>
    <col min="4623" max="4626" width="8.7109375" style="4" bestFit="1" customWidth="1"/>
    <col min="4627" max="4627" width="8.42578125" style="4" customWidth="1"/>
    <col min="4628" max="4628" width="3.5703125" style="4" customWidth="1"/>
    <col min="4629" max="4864" width="9.140625" style="4"/>
    <col min="4865" max="4865" width="5.7109375" style="4" bestFit="1" customWidth="1"/>
    <col min="4866" max="4866" width="5" style="4" bestFit="1" customWidth="1"/>
    <col min="4867" max="4867" width="15.140625" style="4" customWidth="1"/>
    <col min="4868" max="4869" width="5.140625" style="4" bestFit="1" customWidth="1"/>
    <col min="4870" max="4870" width="2" style="4" bestFit="1" customWidth="1"/>
    <col min="4871" max="4871" width="29.140625" style="4" customWidth="1"/>
    <col min="4872" max="4876" width="0" style="4" hidden="1" customWidth="1"/>
    <col min="4877" max="4877" width="8.7109375" style="4" bestFit="1" customWidth="1"/>
    <col min="4878" max="4878" width="10.85546875" style="4" customWidth="1"/>
    <col min="4879" max="4882" width="8.7109375" style="4" bestFit="1" customWidth="1"/>
    <col min="4883" max="4883" width="8.42578125" style="4" customWidth="1"/>
    <col min="4884" max="4884" width="3.5703125" style="4" customWidth="1"/>
    <col min="4885" max="5120" width="9.140625" style="4"/>
    <col min="5121" max="5121" width="5.7109375" style="4" bestFit="1" customWidth="1"/>
    <col min="5122" max="5122" width="5" style="4" bestFit="1" customWidth="1"/>
    <col min="5123" max="5123" width="15.140625" style="4" customWidth="1"/>
    <col min="5124" max="5125" width="5.140625" style="4" bestFit="1" customWidth="1"/>
    <col min="5126" max="5126" width="2" style="4" bestFit="1" customWidth="1"/>
    <col min="5127" max="5127" width="29.140625" style="4" customWidth="1"/>
    <col min="5128" max="5132" width="0" style="4" hidden="1" customWidth="1"/>
    <col min="5133" max="5133" width="8.7109375" style="4" bestFit="1" customWidth="1"/>
    <col min="5134" max="5134" width="10.85546875" style="4" customWidth="1"/>
    <col min="5135" max="5138" width="8.7109375" style="4" bestFit="1" customWidth="1"/>
    <col min="5139" max="5139" width="8.42578125" style="4" customWidth="1"/>
    <col min="5140" max="5140" width="3.5703125" style="4" customWidth="1"/>
    <col min="5141" max="5376" width="9.140625" style="4"/>
    <col min="5377" max="5377" width="5.7109375" style="4" bestFit="1" customWidth="1"/>
    <col min="5378" max="5378" width="5" style="4" bestFit="1" customWidth="1"/>
    <col min="5379" max="5379" width="15.140625" style="4" customWidth="1"/>
    <col min="5380" max="5381" width="5.140625" style="4" bestFit="1" customWidth="1"/>
    <col min="5382" max="5382" width="2" style="4" bestFit="1" customWidth="1"/>
    <col min="5383" max="5383" width="29.140625" style="4" customWidth="1"/>
    <col min="5384" max="5388" width="0" style="4" hidden="1" customWidth="1"/>
    <col min="5389" max="5389" width="8.7109375" style="4" bestFit="1" customWidth="1"/>
    <col min="5390" max="5390" width="10.85546875" style="4" customWidth="1"/>
    <col min="5391" max="5394" width="8.7109375" style="4" bestFit="1" customWidth="1"/>
    <col min="5395" max="5395" width="8.42578125" style="4" customWidth="1"/>
    <col min="5396" max="5396" width="3.5703125" style="4" customWidth="1"/>
    <col min="5397" max="5632" width="9.140625" style="4"/>
    <col min="5633" max="5633" width="5.7109375" style="4" bestFit="1" customWidth="1"/>
    <col min="5634" max="5634" width="5" style="4" bestFit="1" customWidth="1"/>
    <col min="5635" max="5635" width="15.140625" style="4" customWidth="1"/>
    <col min="5636" max="5637" width="5.140625" style="4" bestFit="1" customWidth="1"/>
    <col min="5638" max="5638" width="2" style="4" bestFit="1" customWidth="1"/>
    <col min="5639" max="5639" width="29.140625" style="4" customWidth="1"/>
    <col min="5640" max="5644" width="0" style="4" hidden="1" customWidth="1"/>
    <col min="5645" max="5645" width="8.7109375" style="4" bestFit="1" customWidth="1"/>
    <col min="5646" max="5646" width="10.85546875" style="4" customWidth="1"/>
    <col min="5647" max="5650" width="8.7109375" style="4" bestFit="1" customWidth="1"/>
    <col min="5651" max="5651" width="8.42578125" style="4" customWidth="1"/>
    <col min="5652" max="5652" width="3.5703125" style="4" customWidth="1"/>
    <col min="5653" max="5888" width="9.140625" style="4"/>
    <col min="5889" max="5889" width="5.7109375" style="4" bestFit="1" customWidth="1"/>
    <col min="5890" max="5890" width="5" style="4" bestFit="1" customWidth="1"/>
    <col min="5891" max="5891" width="15.140625" style="4" customWidth="1"/>
    <col min="5892" max="5893" width="5.140625" style="4" bestFit="1" customWidth="1"/>
    <col min="5894" max="5894" width="2" style="4" bestFit="1" customWidth="1"/>
    <col min="5895" max="5895" width="29.140625" style="4" customWidth="1"/>
    <col min="5896" max="5900" width="0" style="4" hidden="1" customWidth="1"/>
    <col min="5901" max="5901" width="8.7109375" style="4" bestFit="1" customWidth="1"/>
    <col min="5902" max="5902" width="10.85546875" style="4" customWidth="1"/>
    <col min="5903" max="5906" width="8.7109375" style="4" bestFit="1" customWidth="1"/>
    <col min="5907" max="5907" width="8.42578125" style="4" customWidth="1"/>
    <col min="5908" max="5908" width="3.5703125" style="4" customWidth="1"/>
    <col min="5909" max="6144" width="9.140625" style="4"/>
    <col min="6145" max="6145" width="5.7109375" style="4" bestFit="1" customWidth="1"/>
    <col min="6146" max="6146" width="5" style="4" bestFit="1" customWidth="1"/>
    <col min="6147" max="6147" width="15.140625" style="4" customWidth="1"/>
    <col min="6148" max="6149" width="5.140625" style="4" bestFit="1" customWidth="1"/>
    <col min="6150" max="6150" width="2" style="4" bestFit="1" customWidth="1"/>
    <col min="6151" max="6151" width="29.140625" style="4" customWidth="1"/>
    <col min="6152" max="6156" width="0" style="4" hidden="1" customWidth="1"/>
    <col min="6157" max="6157" width="8.7109375" style="4" bestFit="1" customWidth="1"/>
    <col min="6158" max="6158" width="10.85546875" style="4" customWidth="1"/>
    <col min="6159" max="6162" width="8.7109375" style="4" bestFit="1" customWidth="1"/>
    <col min="6163" max="6163" width="8.42578125" style="4" customWidth="1"/>
    <col min="6164" max="6164" width="3.5703125" style="4" customWidth="1"/>
    <col min="6165" max="6400" width="9.140625" style="4"/>
    <col min="6401" max="6401" width="5.7109375" style="4" bestFit="1" customWidth="1"/>
    <col min="6402" max="6402" width="5" style="4" bestFit="1" customWidth="1"/>
    <col min="6403" max="6403" width="15.140625" style="4" customWidth="1"/>
    <col min="6404" max="6405" width="5.140625" style="4" bestFit="1" customWidth="1"/>
    <col min="6406" max="6406" width="2" style="4" bestFit="1" customWidth="1"/>
    <col min="6407" max="6407" width="29.140625" style="4" customWidth="1"/>
    <col min="6408" max="6412" width="0" style="4" hidden="1" customWidth="1"/>
    <col min="6413" max="6413" width="8.7109375" style="4" bestFit="1" customWidth="1"/>
    <col min="6414" max="6414" width="10.85546875" style="4" customWidth="1"/>
    <col min="6415" max="6418" width="8.7109375" style="4" bestFit="1" customWidth="1"/>
    <col min="6419" max="6419" width="8.42578125" style="4" customWidth="1"/>
    <col min="6420" max="6420" width="3.5703125" style="4" customWidth="1"/>
    <col min="6421" max="6656" width="9.140625" style="4"/>
    <col min="6657" max="6657" width="5.7109375" style="4" bestFit="1" customWidth="1"/>
    <col min="6658" max="6658" width="5" style="4" bestFit="1" customWidth="1"/>
    <col min="6659" max="6659" width="15.140625" style="4" customWidth="1"/>
    <col min="6660" max="6661" width="5.140625" style="4" bestFit="1" customWidth="1"/>
    <col min="6662" max="6662" width="2" style="4" bestFit="1" customWidth="1"/>
    <col min="6663" max="6663" width="29.140625" style="4" customWidth="1"/>
    <col min="6664" max="6668" width="0" style="4" hidden="1" customWidth="1"/>
    <col min="6669" max="6669" width="8.7109375" style="4" bestFit="1" customWidth="1"/>
    <col min="6670" max="6670" width="10.85546875" style="4" customWidth="1"/>
    <col min="6671" max="6674" width="8.7109375" style="4" bestFit="1" customWidth="1"/>
    <col min="6675" max="6675" width="8.42578125" style="4" customWidth="1"/>
    <col min="6676" max="6676" width="3.5703125" style="4" customWidth="1"/>
    <col min="6677" max="6912" width="9.140625" style="4"/>
    <col min="6913" max="6913" width="5.7109375" style="4" bestFit="1" customWidth="1"/>
    <col min="6914" max="6914" width="5" style="4" bestFit="1" customWidth="1"/>
    <col min="6915" max="6915" width="15.140625" style="4" customWidth="1"/>
    <col min="6916" max="6917" width="5.140625" style="4" bestFit="1" customWidth="1"/>
    <col min="6918" max="6918" width="2" style="4" bestFit="1" customWidth="1"/>
    <col min="6919" max="6919" width="29.140625" style="4" customWidth="1"/>
    <col min="6920" max="6924" width="0" style="4" hidden="1" customWidth="1"/>
    <col min="6925" max="6925" width="8.7109375" style="4" bestFit="1" customWidth="1"/>
    <col min="6926" max="6926" width="10.85546875" style="4" customWidth="1"/>
    <col min="6927" max="6930" width="8.7109375" style="4" bestFit="1" customWidth="1"/>
    <col min="6931" max="6931" width="8.42578125" style="4" customWidth="1"/>
    <col min="6932" max="6932" width="3.5703125" style="4" customWidth="1"/>
    <col min="6933" max="7168" width="9.140625" style="4"/>
    <col min="7169" max="7169" width="5.7109375" style="4" bestFit="1" customWidth="1"/>
    <col min="7170" max="7170" width="5" style="4" bestFit="1" customWidth="1"/>
    <col min="7171" max="7171" width="15.140625" style="4" customWidth="1"/>
    <col min="7172" max="7173" width="5.140625" style="4" bestFit="1" customWidth="1"/>
    <col min="7174" max="7174" width="2" style="4" bestFit="1" customWidth="1"/>
    <col min="7175" max="7175" width="29.140625" style="4" customWidth="1"/>
    <col min="7176" max="7180" width="0" style="4" hidden="1" customWidth="1"/>
    <col min="7181" max="7181" width="8.7109375" style="4" bestFit="1" customWidth="1"/>
    <col min="7182" max="7182" width="10.85546875" style="4" customWidth="1"/>
    <col min="7183" max="7186" width="8.7109375" style="4" bestFit="1" customWidth="1"/>
    <col min="7187" max="7187" width="8.42578125" style="4" customWidth="1"/>
    <col min="7188" max="7188" width="3.5703125" style="4" customWidth="1"/>
    <col min="7189" max="7424" width="9.140625" style="4"/>
    <col min="7425" max="7425" width="5.7109375" style="4" bestFit="1" customWidth="1"/>
    <col min="7426" max="7426" width="5" style="4" bestFit="1" customWidth="1"/>
    <col min="7427" max="7427" width="15.140625" style="4" customWidth="1"/>
    <col min="7428" max="7429" width="5.140625" style="4" bestFit="1" customWidth="1"/>
    <col min="7430" max="7430" width="2" style="4" bestFit="1" customWidth="1"/>
    <col min="7431" max="7431" width="29.140625" style="4" customWidth="1"/>
    <col min="7432" max="7436" width="0" style="4" hidden="1" customWidth="1"/>
    <col min="7437" max="7437" width="8.7109375" style="4" bestFit="1" customWidth="1"/>
    <col min="7438" max="7438" width="10.85546875" style="4" customWidth="1"/>
    <col min="7439" max="7442" width="8.7109375" style="4" bestFit="1" customWidth="1"/>
    <col min="7443" max="7443" width="8.42578125" style="4" customWidth="1"/>
    <col min="7444" max="7444" width="3.5703125" style="4" customWidth="1"/>
    <col min="7445" max="7680" width="9.140625" style="4"/>
    <col min="7681" max="7681" width="5.7109375" style="4" bestFit="1" customWidth="1"/>
    <col min="7682" max="7682" width="5" style="4" bestFit="1" customWidth="1"/>
    <col min="7683" max="7683" width="15.140625" style="4" customWidth="1"/>
    <col min="7684" max="7685" width="5.140625" style="4" bestFit="1" customWidth="1"/>
    <col min="7686" max="7686" width="2" style="4" bestFit="1" customWidth="1"/>
    <col min="7687" max="7687" width="29.140625" style="4" customWidth="1"/>
    <col min="7688" max="7692" width="0" style="4" hidden="1" customWidth="1"/>
    <col min="7693" max="7693" width="8.7109375" style="4" bestFit="1" customWidth="1"/>
    <col min="7694" max="7694" width="10.85546875" style="4" customWidth="1"/>
    <col min="7695" max="7698" width="8.7109375" style="4" bestFit="1" customWidth="1"/>
    <col min="7699" max="7699" width="8.42578125" style="4" customWidth="1"/>
    <col min="7700" max="7700" width="3.5703125" style="4" customWidth="1"/>
    <col min="7701" max="7936" width="9.140625" style="4"/>
    <col min="7937" max="7937" width="5.7109375" style="4" bestFit="1" customWidth="1"/>
    <col min="7938" max="7938" width="5" style="4" bestFit="1" customWidth="1"/>
    <col min="7939" max="7939" width="15.140625" style="4" customWidth="1"/>
    <col min="7940" max="7941" width="5.140625" style="4" bestFit="1" customWidth="1"/>
    <col min="7942" max="7942" width="2" style="4" bestFit="1" customWidth="1"/>
    <col min="7943" max="7943" width="29.140625" style="4" customWidth="1"/>
    <col min="7944" max="7948" width="0" style="4" hidden="1" customWidth="1"/>
    <col min="7949" max="7949" width="8.7109375" style="4" bestFit="1" customWidth="1"/>
    <col min="7950" max="7950" width="10.85546875" style="4" customWidth="1"/>
    <col min="7951" max="7954" width="8.7109375" style="4" bestFit="1" customWidth="1"/>
    <col min="7955" max="7955" width="8.42578125" style="4" customWidth="1"/>
    <col min="7956" max="7956" width="3.5703125" style="4" customWidth="1"/>
    <col min="7957" max="8192" width="9.140625" style="4"/>
    <col min="8193" max="8193" width="5.7109375" style="4" bestFit="1" customWidth="1"/>
    <col min="8194" max="8194" width="5" style="4" bestFit="1" customWidth="1"/>
    <col min="8195" max="8195" width="15.140625" style="4" customWidth="1"/>
    <col min="8196" max="8197" width="5.140625" style="4" bestFit="1" customWidth="1"/>
    <col min="8198" max="8198" width="2" style="4" bestFit="1" customWidth="1"/>
    <col min="8199" max="8199" width="29.140625" style="4" customWidth="1"/>
    <col min="8200" max="8204" width="0" style="4" hidden="1" customWidth="1"/>
    <col min="8205" max="8205" width="8.7109375" style="4" bestFit="1" customWidth="1"/>
    <col min="8206" max="8206" width="10.85546875" style="4" customWidth="1"/>
    <col min="8207" max="8210" width="8.7109375" style="4" bestFit="1" customWidth="1"/>
    <col min="8211" max="8211" width="8.42578125" style="4" customWidth="1"/>
    <col min="8212" max="8212" width="3.5703125" style="4" customWidth="1"/>
    <col min="8213" max="8448" width="9.140625" style="4"/>
    <col min="8449" max="8449" width="5.7109375" style="4" bestFit="1" customWidth="1"/>
    <col min="8450" max="8450" width="5" style="4" bestFit="1" customWidth="1"/>
    <col min="8451" max="8451" width="15.140625" style="4" customWidth="1"/>
    <col min="8452" max="8453" width="5.140625" style="4" bestFit="1" customWidth="1"/>
    <col min="8454" max="8454" width="2" style="4" bestFit="1" customWidth="1"/>
    <col min="8455" max="8455" width="29.140625" style="4" customWidth="1"/>
    <col min="8456" max="8460" width="0" style="4" hidden="1" customWidth="1"/>
    <col min="8461" max="8461" width="8.7109375" style="4" bestFit="1" customWidth="1"/>
    <col min="8462" max="8462" width="10.85546875" style="4" customWidth="1"/>
    <col min="8463" max="8466" width="8.7109375" style="4" bestFit="1" customWidth="1"/>
    <col min="8467" max="8467" width="8.42578125" style="4" customWidth="1"/>
    <col min="8468" max="8468" width="3.5703125" style="4" customWidth="1"/>
    <col min="8469" max="8704" width="9.140625" style="4"/>
    <col min="8705" max="8705" width="5.7109375" style="4" bestFit="1" customWidth="1"/>
    <col min="8706" max="8706" width="5" style="4" bestFit="1" customWidth="1"/>
    <col min="8707" max="8707" width="15.140625" style="4" customWidth="1"/>
    <col min="8708" max="8709" width="5.140625" style="4" bestFit="1" customWidth="1"/>
    <col min="8710" max="8710" width="2" style="4" bestFit="1" customWidth="1"/>
    <col min="8711" max="8711" width="29.140625" style="4" customWidth="1"/>
    <col min="8712" max="8716" width="0" style="4" hidden="1" customWidth="1"/>
    <col min="8717" max="8717" width="8.7109375" style="4" bestFit="1" customWidth="1"/>
    <col min="8718" max="8718" width="10.85546875" style="4" customWidth="1"/>
    <col min="8719" max="8722" width="8.7109375" style="4" bestFit="1" customWidth="1"/>
    <col min="8723" max="8723" width="8.42578125" style="4" customWidth="1"/>
    <col min="8724" max="8724" width="3.5703125" style="4" customWidth="1"/>
    <col min="8725" max="8960" width="9.140625" style="4"/>
    <col min="8961" max="8961" width="5.7109375" style="4" bestFit="1" customWidth="1"/>
    <col min="8962" max="8962" width="5" style="4" bestFit="1" customWidth="1"/>
    <col min="8963" max="8963" width="15.140625" style="4" customWidth="1"/>
    <col min="8964" max="8965" width="5.140625" style="4" bestFit="1" customWidth="1"/>
    <col min="8966" max="8966" width="2" style="4" bestFit="1" customWidth="1"/>
    <col min="8967" max="8967" width="29.140625" style="4" customWidth="1"/>
    <col min="8968" max="8972" width="0" style="4" hidden="1" customWidth="1"/>
    <col min="8973" max="8973" width="8.7109375" style="4" bestFit="1" customWidth="1"/>
    <col min="8974" max="8974" width="10.85546875" style="4" customWidth="1"/>
    <col min="8975" max="8978" width="8.7109375" style="4" bestFit="1" customWidth="1"/>
    <col min="8979" max="8979" width="8.42578125" style="4" customWidth="1"/>
    <col min="8980" max="8980" width="3.5703125" style="4" customWidth="1"/>
    <col min="8981" max="9216" width="9.140625" style="4"/>
    <col min="9217" max="9217" width="5.7109375" style="4" bestFit="1" customWidth="1"/>
    <col min="9218" max="9218" width="5" style="4" bestFit="1" customWidth="1"/>
    <col min="9219" max="9219" width="15.140625" style="4" customWidth="1"/>
    <col min="9220" max="9221" width="5.140625" style="4" bestFit="1" customWidth="1"/>
    <col min="9222" max="9222" width="2" style="4" bestFit="1" customWidth="1"/>
    <col min="9223" max="9223" width="29.140625" style="4" customWidth="1"/>
    <col min="9224" max="9228" width="0" style="4" hidden="1" customWidth="1"/>
    <col min="9229" max="9229" width="8.7109375" style="4" bestFit="1" customWidth="1"/>
    <col min="9230" max="9230" width="10.85546875" style="4" customWidth="1"/>
    <col min="9231" max="9234" width="8.7109375" style="4" bestFit="1" customWidth="1"/>
    <col min="9235" max="9235" width="8.42578125" style="4" customWidth="1"/>
    <col min="9236" max="9236" width="3.5703125" style="4" customWidth="1"/>
    <col min="9237" max="9472" width="9.140625" style="4"/>
    <col min="9473" max="9473" width="5.7109375" style="4" bestFit="1" customWidth="1"/>
    <col min="9474" max="9474" width="5" style="4" bestFit="1" customWidth="1"/>
    <col min="9475" max="9475" width="15.140625" style="4" customWidth="1"/>
    <col min="9476" max="9477" width="5.140625" style="4" bestFit="1" customWidth="1"/>
    <col min="9478" max="9478" width="2" style="4" bestFit="1" customWidth="1"/>
    <col min="9479" max="9479" width="29.140625" style="4" customWidth="1"/>
    <col min="9480" max="9484" width="0" style="4" hidden="1" customWidth="1"/>
    <col min="9485" max="9485" width="8.7109375" style="4" bestFit="1" customWidth="1"/>
    <col min="9486" max="9486" width="10.85546875" style="4" customWidth="1"/>
    <col min="9487" max="9490" width="8.7109375" style="4" bestFit="1" customWidth="1"/>
    <col min="9491" max="9491" width="8.42578125" style="4" customWidth="1"/>
    <col min="9492" max="9492" width="3.5703125" style="4" customWidth="1"/>
    <col min="9493" max="9728" width="9.140625" style="4"/>
    <col min="9729" max="9729" width="5.7109375" style="4" bestFit="1" customWidth="1"/>
    <col min="9730" max="9730" width="5" style="4" bestFit="1" customWidth="1"/>
    <col min="9731" max="9731" width="15.140625" style="4" customWidth="1"/>
    <col min="9732" max="9733" width="5.140625" style="4" bestFit="1" customWidth="1"/>
    <col min="9734" max="9734" width="2" style="4" bestFit="1" customWidth="1"/>
    <col min="9735" max="9735" width="29.140625" style="4" customWidth="1"/>
    <col min="9736" max="9740" width="0" style="4" hidden="1" customWidth="1"/>
    <col min="9741" max="9741" width="8.7109375" style="4" bestFit="1" customWidth="1"/>
    <col min="9742" max="9742" width="10.85546875" style="4" customWidth="1"/>
    <col min="9743" max="9746" width="8.7109375" style="4" bestFit="1" customWidth="1"/>
    <col min="9747" max="9747" width="8.42578125" style="4" customWidth="1"/>
    <col min="9748" max="9748" width="3.5703125" style="4" customWidth="1"/>
    <col min="9749" max="9984" width="9.140625" style="4"/>
    <col min="9985" max="9985" width="5.7109375" style="4" bestFit="1" customWidth="1"/>
    <col min="9986" max="9986" width="5" style="4" bestFit="1" customWidth="1"/>
    <col min="9987" max="9987" width="15.140625" style="4" customWidth="1"/>
    <col min="9988" max="9989" width="5.140625" style="4" bestFit="1" customWidth="1"/>
    <col min="9990" max="9990" width="2" style="4" bestFit="1" customWidth="1"/>
    <col min="9991" max="9991" width="29.140625" style="4" customWidth="1"/>
    <col min="9992" max="9996" width="0" style="4" hidden="1" customWidth="1"/>
    <col min="9997" max="9997" width="8.7109375" style="4" bestFit="1" customWidth="1"/>
    <col min="9998" max="9998" width="10.85546875" style="4" customWidth="1"/>
    <col min="9999" max="10002" width="8.7109375" style="4" bestFit="1" customWidth="1"/>
    <col min="10003" max="10003" width="8.42578125" style="4" customWidth="1"/>
    <col min="10004" max="10004" width="3.5703125" style="4" customWidth="1"/>
    <col min="10005" max="10240" width="9.140625" style="4"/>
    <col min="10241" max="10241" width="5.7109375" style="4" bestFit="1" customWidth="1"/>
    <col min="10242" max="10242" width="5" style="4" bestFit="1" customWidth="1"/>
    <col min="10243" max="10243" width="15.140625" style="4" customWidth="1"/>
    <col min="10244" max="10245" width="5.140625" style="4" bestFit="1" customWidth="1"/>
    <col min="10246" max="10246" width="2" style="4" bestFit="1" customWidth="1"/>
    <col min="10247" max="10247" width="29.140625" style="4" customWidth="1"/>
    <col min="10248" max="10252" width="0" style="4" hidden="1" customWidth="1"/>
    <col min="10253" max="10253" width="8.7109375" style="4" bestFit="1" customWidth="1"/>
    <col min="10254" max="10254" width="10.85546875" style="4" customWidth="1"/>
    <col min="10255" max="10258" width="8.7109375" style="4" bestFit="1" customWidth="1"/>
    <col min="10259" max="10259" width="8.42578125" style="4" customWidth="1"/>
    <col min="10260" max="10260" width="3.5703125" style="4" customWidth="1"/>
    <col min="10261" max="10496" width="9.140625" style="4"/>
    <col min="10497" max="10497" width="5.7109375" style="4" bestFit="1" customWidth="1"/>
    <col min="10498" max="10498" width="5" style="4" bestFit="1" customWidth="1"/>
    <col min="10499" max="10499" width="15.140625" style="4" customWidth="1"/>
    <col min="10500" max="10501" width="5.140625" style="4" bestFit="1" customWidth="1"/>
    <col min="10502" max="10502" width="2" style="4" bestFit="1" customWidth="1"/>
    <col min="10503" max="10503" width="29.140625" style="4" customWidth="1"/>
    <col min="10504" max="10508" width="0" style="4" hidden="1" customWidth="1"/>
    <col min="10509" max="10509" width="8.7109375" style="4" bestFit="1" customWidth="1"/>
    <col min="10510" max="10510" width="10.85546875" style="4" customWidth="1"/>
    <col min="10511" max="10514" width="8.7109375" style="4" bestFit="1" customWidth="1"/>
    <col min="10515" max="10515" width="8.42578125" style="4" customWidth="1"/>
    <col min="10516" max="10516" width="3.5703125" style="4" customWidth="1"/>
    <col min="10517" max="10752" width="9.140625" style="4"/>
    <col min="10753" max="10753" width="5.7109375" style="4" bestFit="1" customWidth="1"/>
    <col min="10754" max="10754" width="5" style="4" bestFit="1" customWidth="1"/>
    <col min="10755" max="10755" width="15.140625" style="4" customWidth="1"/>
    <col min="10756" max="10757" width="5.140625" style="4" bestFit="1" customWidth="1"/>
    <col min="10758" max="10758" width="2" style="4" bestFit="1" customWidth="1"/>
    <col min="10759" max="10759" width="29.140625" style="4" customWidth="1"/>
    <col min="10760" max="10764" width="0" style="4" hidden="1" customWidth="1"/>
    <col min="10765" max="10765" width="8.7109375" style="4" bestFit="1" customWidth="1"/>
    <col min="10766" max="10766" width="10.85546875" style="4" customWidth="1"/>
    <col min="10767" max="10770" width="8.7109375" style="4" bestFit="1" customWidth="1"/>
    <col min="10771" max="10771" width="8.42578125" style="4" customWidth="1"/>
    <col min="10772" max="10772" width="3.5703125" style="4" customWidth="1"/>
    <col min="10773" max="11008" width="9.140625" style="4"/>
    <col min="11009" max="11009" width="5.7109375" style="4" bestFit="1" customWidth="1"/>
    <col min="11010" max="11010" width="5" style="4" bestFit="1" customWidth="1"/>
    <col min="11011" max="11011" width="15.140625" style="4" customWidth="1"/>
    <col min="11012" max="11013" width="5.140625" style="4" bestFit="1" customWidth="1"/>
    <col min="11014" max="11014" width="2" style="4" bestFit="1" customWidth="1"/>
    <col min="11015" max="11015" width="29.140625" style="4" customWidth="1"/>
    <col min="11016" max="11020" width="0" style="4" hidden="1" customWidth="1"/>
    <col min="11021" max="11021" width="8.7109375" style="4" bestFit="1" customWidth="1"/>
    <col min="11022" max="11022" width="10.85546875" style="4" customWidth="1"/>
    <col min="11023" max="11026" width="8.7109375" style="4" bestFit="1" customWidth="1"/>
    <col min="11027" max="11027" width="8.42578125" style="4" customWidth="1"/>
    <col min="11028" max="11028" width="3.5703125" style="4" customWidth="1"/>
    <col min="11029" max="11264" width="9.140625" style="4"/>
    <col min="11265" max="11265" width="5.7109375" style="4" bestFit="1" customWidth="1"/>
    <col min="11266" max="11266" width="5" style="4" bestFit="1" customWidth="1"/>
    <col min="11267" max="11267" width="15.140625" style="4" customWidth="1"/>
    <col min="11268" max="11269" width="5.140625" style="4" bestFit="1" customWidth="1"/>
    <col min="11270" max="11270" width="2" style="4" bestFit="1" customWidth="1"/>
    <col min="11271" max="11271" width="29.140625" style="4" customWidth="1"/>
    <col min="11272" max="11276" width="0" style="4" hidden="1" customWidth="1"/>
    <col min="11277" max="11277" width="8.7109375" style="4" bestFit="1" customWidth="1"/>
    <col min="11278" max="11278" width="10.85546875" style="4" customWidth="1"/>
    <col min="11279" max="11282" width="8.7109375" style="4" bestFit="1" customWidth="1"/>
    <col min="11283" max="11283" width="8.42578125" style="4" customWidth="1"/>
    <col min="11284" max="11284" width="3.5703125" style="4" customWidth="1"/>
    <col min="11285" max="11520" width="9.140625" style="4"/>
    <col min="11521" max="11521" width="5.7109375" style="4" bestFit="1" customWidth="1"/>
    <col min="11522" max="11522" width="5" style="4" bestFit="1" customWidth="1"/>
    <col min="11523" max="11523" width="15.140625" style="4" customWidth="1"/>
    <col min="11524" max="11525" width="5.140625" style="4" bestFit="1" customWidth="1"/>
    <col min="11526" max="11526" width="2" style="4" bestFit="1" customWidth="1"/>
    <col min="11527" max="11527" width="29.140625" style="4" customWidth="1"/>
    <col min="11528" max="11532" width="0" style="4" hidden="1" customWidth="1"/>
    <col min="11533" max="11533" width="8.7109375" style="4" bestFit="1" customWidth="1"/>
    <col min="11534" max="11534" width="10.85546875" style="4" customWidth="1"/>
    <col min="11535" max="11538" width="8.7109375" style="4" bestFit="1" customWidth="1"/>
    <col min="11539" max="11539" width="8.42578125" style="4" customWidth="1"/>
    <col min="11540" max="11540" width="3.5703125" style="4" customWidth="1"/>
    <col min="11541" max="11776" width="9.140625" style="4"/>
    <col min="11777" max="11777" width="5.7109375" style="4" bestFit="1" customWidth="1"/>
    <col min="11778" max="11778" width="5" style="4" bestFit="1" customWidth="1"/>
    <col min="11779" max="11779" width="15.140625" style="4" customWidth="1"/>
    <col min="11780" max="11781" width="5.140625" style="4" bestFit="1" customWidth="1"/>
    <col min="11782" max="11782" width="2" style="4" bestFit="1" customWidth="1"/>
    <col min="11783" max="11783" width="29.140625" style="4" customWidth="1"/>
    <col min="11784" max="11788" width="0" style="4" hidden="1" customWidth="1"/>
    <col min="11789" max="11789" width="8.7109375" style="4" bestFit="1" customWidth="1"/>
    <col min="11790" max="11790" width="10.85546875" style="4" customWidth="1"/>
    <col min="11791" max="11794" width="8.7109375" style="4" bestFit="1" customWidth="1"/>
    <col min="11795" max="11795" width="8.42578125" style="4" customWidth="1"/>
    <col min="11796" max="11796" width="3.5703125" style="4" customWidth="1"/>
    <col min="11797" max="12032" width="9.140625" style="4"/>
    <col min="12033" max="12033" width="5.7109375" style="4" bestFit="1" customWidth="1"/>
    <col min="12034" max="12034" width="5" style="4" bestFit="1" customWidth="1"/>
    <col min="12035" max="12035" width="15.140625" style="4" customWidth="1"/>
    <col min="12036" max="12037" width="5.140625" style="4" bestFit="1" customWidth="1"/>
    <col min="12038" max="12038" width="2" style="4" bestFit="1" customWidth="1"/>
    <col min="12039" max="12039" width="29.140625" style="4" customWidth="1"/>
    <col min="12040" max="12044" width="0" style="4" hidden="1" customWidth="1"/>
    <col min="12045" max="12045" width="8.7109375" style="4" bestFit="1" customWidth="1"/>
    <col min="12046" max="12046" width="10.85546875" style="4" customWidth="1"/>
    <col min="12047" max="12050" width="8.7109375" style="4" bestFit="1" customWidth="1"/>
    <col min="12051" max="12051" width="8.42578125" style="4" customWidth="1"/>
    <col min="12052" max="12052" width="3.5703125" style="4" customWidth="1"/>
    <col min="12053" max="12288" width="9.140625" style="4"/>
    <col min="12289" max="12289" width="5.7109375" style="4" bestFit="1" customWidth="1"/>
    <col min="12290" max="12290" width="5" style="4" bestFit="1" customWidth="1"/>
    <col min="12291" max="12291" width="15.140625" style="4" customWidth="1"/>
    <col min="12292" max="12293" width="5.140625" style="4" bestFit="1" customWidth="1"/>
    <col min="12294" max="12294" width="2" style="4" bestFit="1" customWidth="1"/>
    <col min="12295" max="12295" width="29.140625" style="4" customWidth="1"/>
    <col min="12296" max="12300" width="0" style="4" hidden="1" customWidth="1"/>
    <col min="12301" max="12301" width="8.7109375" style="4" bestFit="1" customWidth="1"/>
    <col min="12302" max="12302" width="10.85546875" style="4" customWidth="1"/>
    <col min="12303" max="12306" width="8.7109375" style="4" bestFit="1" customWidth="1"/>
    <col min="12307" max="12307" width="8.42578125" style="4" customWidth="1"/>
    <col min="12308" max="12308" width="3.5703125" style="4" customWidth="1"/>
    <col min="12309" max="12544" width="9.140625" style="4"/>
    <col min="12545" max="12545" width="5.7109375" style="4" bestFit="1" customWidth="1"/>
    <col min="12546" max="12546" width="5" style="4" bestFit="1" customWidth="1"/>
    <col min="12547" max="12547" width="15.140625" style="4" customWidth="1"/>
    <col min="12548" max="12549" width="5.140625" style="4" bestFit="1" customWidth="1"/>
    <col min="12550" max="12550" width="2" style="4" bestFit="1" customWidth="1"/>
    <col min="12551" max="12551" width="29.140625" style="4" customWidth="1"/>
    <col min="12552" max="12556" width="0" style="4" hidden="1" customWidth="1"/>
    <col min="12557" max="12557" width="8.7109375" style="4" bestFit="1" customWidth="1"/>
    <col min="12558" max="12558" width="10.85546875" style="4" customWidth="1"/>
    <col min="12559" max="12562" width="8.7109375" style="4" bestFit="1" customWidth="1"/>
    <col min="12563" max="12563" width="8.42578125" style="4" customWidth="1"/>
    <col min="12564" max="12564" width="3.5703125" style="4" customWidth="1"/>
    <col min="12565" max="12800" width="9.140625" style="4"/>
    <col min="12801" max="12801" width="5.7109375" style="4" bestFit="1" customWidth="1"/>
    <col min="12802" max="12802" width="5" style="4" bestFit="1" customWidth="1"/>
    <col min="12803" max="12803" width="15.140625" style="4" customWidth="1"/>
    <col min="12804" max="12805" width="5.140625" style="4" bestFit="1" customWidth="1"/>
    <col min="12806" max="12806" width="2" style="4" bestFit="1" customWidth="1"/>
    <col min="12807" max="12807" width="29.140625" style="4" customWidth="1"/>
    <col min="12808" max="12812" width="0" style="4" hidden="1" customWidth="1"/>
    <col min="12813" max="12813" width="8.7109375" style="4" bestFit="1" customWidth="1"/>
    <col min="12814" max="12814" width="10.85546875" style="4" customWidth="1"/>
    <col min="12815" max="12818" width="8.7109375" style="4" bestFit="1" customWidth="1"/>
    <col min="12819" max="12819" width="8.42578125" style="4" customWidth="1"/>
    <col min="12820" max="12820" width="3.5703125" style="4" customWidth="1"/>
    <col min="12821" max="13056" width="9.140625" style="4"/>
    <col min="13057" max="13057" width="5.7109375" style="4" bestFit="1" customWidth="1"/>
    <col min="13058" max="13058" width="5" style="4" bestFit="1" customWidth="1"/>
    <col min="13059" max="13059" width="15.140625" style="4" customWidth="1"/>
    <col min="13060" max="13061" width="5.140625" style="4" bestFit="1" customWidth="1"/>
    <col min="13062" max="13062" width="2" style="4" bestFit="1" customWidth="1"/>
    <col min="13063" max="13063" width="29.140625" style="4" customWidth="1"/>
    <col min="13064" max="13068" width="0" style="4" hidden="1" customWidth="1"/>
    <col min="13069" max="13069" width="8.7109375" style="4" bestFit="1" customWidth="1"/>
    <col min="13070" max="13070" width="10.85546875" style="4" customWidth="1"/>
    <col min="13071" max="13074" width="8.7109375" style="4" bestFit="1" customWidth="1"/>
    <col min="13075" max="13075" width="8.42578125" style="4" customWidth="1"/>
    <col min="13076" max="13076" width="3.5703125" style="4" customWidth="1"/>
    <col min="13077" max="13312" width="9.140625" style="4"/>
    <col min="13313" max="13313" width="5.7109375" style="4" bestFit="1" customWidth="1"/>
    <col min="13314" max="13314" width="5" style="4" bestFit="1" customWidth="1"/>
    <col min="13315" max="13315" width="15.140625" style="4" customWidth="1"/>
    <col min="13316" max="13317" width="5.140625" style="4" bestFit="1" customWidth="1"/>
    <col min="13318" max="13318" width="2" style="4" bestFit="1" customWidth="1"/>
    <col min="13319" max="13319" width="29.140625" style="4" customWidth="1"/>
    <col min="13320" max="13324" width="0" style="4" hidden="1" customWidth="1"/>
    <col min="13325" max="13325" width="8.7109375" style="4" bestFit="1" customWidth="1"/>
    <col min="13326" max="13326" width="10.85546875" style="4" customWidth="1"/>
    <col min="13327" max="13330" width="8.7109375" style="4" bestFit="1" customWidth="1"/>
    <col min="13331" max="13331" width="8.42578125" style="4" customWidth="1"/>
    <col min="13332" max="13332" width="3.5703125" style="4" customWidth="1"/>
    <col min="13333" max="13568" width="9.140625" style="4"/>
    <col min="13569" max="13569" width="5.7109375" style="4" bestFit="1" customWidth="1"/>
    <col min="13570" max="13570" width="5" style="4" bestFit="1" customWidth="1"/>
    <col min="13571" max="13571" width="15.140625" style="4" customWidth="1"/>
    <col min="13572" max="13573" width="5.140625" style="4" bestFit="1" customWidth="1"/>
    <col min="13574" max="13574" width="2" style="4" bestFit="1" customWidth="1"/>
    <col min="13575" max="13575" width="29.140625" style="4" customWidth="1"/>
    <col min="13576" max="13580" width="0" style="4" hidden="1" customWidth="1"/>
    <col min="13581" max="13581" width="8.7109375" style="4" bestFit="1" customWidth="1"/>
    <col min="13582" max="13582" width="10.85546875" style="4" customWidth="1"/>
    <col min="13583" max="13586" width="8.7109375" style="4" bestFit="1" customWidth="1"/>
    <col min="13587" max="13587" width="8.42578125" style="4" customWidth="1"/>
    <col min="13588" max="13588" width="3.5703125" style="4" customWidth="1"/>
    <col min="13589" max="13824" width="9.140625" style="4"/>
    <col min="13825" max="13825" width="5.7109375" style="4" bestFit="1" customWidth="1"/>
    <col min="13826" max="13826" width="5" style="4" bestFit="1" customWidth="1"/>
    <col min="13827" max="13827" width="15.140625" style="4" customWidth="1"/>
    <col min="13828" max="13829" width="5.140625" style="4" bestFit="1" customWidth="1"/>
    <col min="13830" max="13830" width="2" style="4" bestFit="1" customWidth="1"/>
    <col min="13831" max="13831" width="29.140625" style="4" customWidth="1"/>
    <col min="13832" max="13836" width="0" style="4" hidden="1" customWidth="1"/>
    <col min="13837" max="13837" width="8.7109375" style="4" bestFit="1" customWidth="1"/>
    <col min="13838" max="13838" width="10.85546875" style="4" customWidth="1"/>
    <col min="13839" max="13842" width="8.7109375" style="4" bestFit="1" customWidth="1"/>
    <col min="13843" max="13843" width="8.42578125" style="4" customWidth="1"/>
    <col min="13844" max="13844" width="3.5703125" style="4" customWidth="1"/>
    <col min="13845" max="14080" width="9.140625" style="4"/>
    <col min="14081" max="14081" width="5.7109375" style="4" bestFit="1" customWidth="1"/>
    <col min="14082" max="14082" width="5" style="4" bestFit="1" customWidth="1"/>
    <col min="14083" max="14083" width="15.140625" style="4" customWidth="1"/>
    <col min="14084" max="14085" width="5.140625" style="4" bestFit="1" customWidth="1"/>
    <col min="14086" max="14086" width="2" style="4" bestFit="1" customWidth="1"/>
    <col min="14087" max="14087" width="29.140625" style="4" customWidth="1"/>
    <col min="14088" max="14092" width="0" style="4" hidden="1" customWidth="1"/>
    <col min="14093" max="14093" width="8.7109375" style="4" bestFit="1" customWidth="1"/>
    <col min="14094" max="14094" width="10.85546875" style="4" customWidth="1"/>
    <col min="14095" max="14098" width="8.7109375" style="4" bestFit="1" customWidth="1"/>
    <col min="14099" max="14099" width="8.42578125" style="4" customWidth="1"/>
    <col min="14100" max="14100" width="3.5703125" style="4" customWidth="1"/>
    <col min="14101" max="14336" width="9.140625" style="4"/>
    <col min="14337" max="14337" width="5.7109375" style="4" bestFit="1" customWidth="1"/>
    <col min="14338" max="14338" width="5" style="4" bestFit="1" customWidth="1"/>
    <col min="14339" max="14339" width="15.140625" style="4" customWidth="1"/>
    <col min="14340" max="14341" width="5.140625" style="4" bestFit="1" customWidth="1"/>
    <col min="14342" max="14342" width="2" style="4" bestFit="1" customWidth="1"/>
    <col min="14343" max="14343" width="29.140625" style="4" customWidth="1"/>
    <col min="14344" max="14348" width="0" style="4" hidden="1" customWidth="1"/>
    <col min="14349" max="14349" width="8.7109375" style="4" bestFit="1" customWidth="1"/>
    <col min="14350" max="14350" width="10.85546875" style="4" customWidth="1"/>
    <col min="14351" max="14354" width="8.7109375" style="4" bestFit="1" customWidth="1"/>
    <col min="14355" max="14355" width="8.42578125" style="4" customWidth="1"/>
    <col min="14356" max="14356" width="3.5703125" style="4" customWidth="1"/>
    <col min="14357" max="14592" width="9.140625" style="4"/>
    <col min="14593" max="14593" width="5.7109375" style="4" bestFit="1" customWidth="1"/>
    <col min="14594" max="14594" width="5" style="4" bestFit="1" customWidth="1"/>
    <col min="14595" max="14595" width="15.140625" style="4" customWidth="1"/>
    <col min="14596" max="14597" width="5.140625" style="4" bestFit="1" customWidth="1"/>
    <col min="14598" max="14598" width="2" style="4" bestFit="1" customWidth="1"/>
    <col min="14599" max="14599" width="29.140625" style="4" customWidth="1"/>
    <col min="14600" max="14604" width="0" style="4" hidden="1" customWidth="1"/>
    <col min="14605" max="14605" width="8.7109375" style="4" bestFit="1" customWidth="1"/>
    <col min="14606" max="14606" width="10.85546875" style="4" customWidth="1"/>
    <col min="14607" max="14610" width="8.7109375" style="4" bestFit="1" customWidth="1"/>
    <col min="14611" max="14611" width="8.42578125" style="4" customWidth="1"/>
    <col min="14612" max="14612" width="3.5703125" style="4" customWidth="1"/>
    <col min="14613" max="14848" width="9.140625" style="4"/>
    <col min="14849" max="14849" width="5.7109375" style="4" bestFit="1" customWidth="1"/>
    <col min="14850" max="14850" width="5" style="4" bestFit="1" customWidth="1"/>
    <col min="14851" max="14851" width="15.140625" style="4" customWidth="1"/>
    <col min="14852" max="14853" width="5.140625" style="4" bestFit="1" customWidth="1"/>
    <col min="14854" max="14854" width="2" style="4" bestFit="1" customWidth="1"/>
    <col min="14855" max="14855" width="29.140625" style="4" customWidth="1"/>
    <col min="14856" max="14860" width="0" style="4" hidden="1" customWidth="1"/>
    <col min="14861" max="14861" width="8.7109375" style="4" bestFit="1" customWidth="1"/>
    <col min="14862" max="14862" width="10.85546875" style="4" customWidth="1"/>
    <col min="14863" max="14866" width="8.7109375" style="4" bestFit="1" customWidth="1"/>
    <col min="14867" max="14867" width="8.42578125" style="4" customWidth="1"/>
    <col min="14868" max="14868" width="3.5703125" style="4" customWidth="1"/>
    <col min="14869" max="15104" width="9.140625" style="4"/>
    <col min="15105" max="15105" width="5.7109375" style="4" bestFit="1" customWidth="1"/>
    <col min="15106" max="15106" width="5" style="4" bestFit="1" customWidth="1"/>
    <col min="15107" max="15107" width="15.140625" style="4" customWidth="1"/>
    <col min="15108" max="15109" width="5.140625" style="4" bestFit="1" customWidth="1"/>
    <col min="15110" max="15110" width="2" style="4" bestFit="1" customWidth="1"/>
    <col min="15111" max="15111" width="29.140625" style="4" customWidth="1"/>
    <col min="15112" max="15116" width="0" style="4" hidden="1" customWidth="1"/>
    <col min="15117" max="15117" width="8.7109375" style="4" bestFit="1" customWidth="1"/>
    <col min="15118" max="15118" width="10.85546875" style="4" customWidth="1"/>
    <col min="15119" max="15122" width="8.7109375" style="4" bestFit="1" customWidth="1"/>
    <col min="15123" max="15123" width="8.42578125" style="4" customWidth="1"/>
    <col min="15124" max="15124" width="3.5703125" style="4" customWidth="1"/>
    <col min="15125" max="15360" width="9.140625" style="4"/>
    <col min="15361" max="15361" width="5.7109375" style="4" bestFit="1" customWidth="1"/>
    <col min="15362" max="15362" width="5" style="4" bestFit="1" customWidth="1"/>
    <col min="15363" max="15363" width="15.140625" style="4" customWidth="1"/>
    <col min="15364" max="15365" width="5.140625" style="4" bestFit="1" customWidth="1"/>
    <col min="15366" max="15366" width="2" style="4" bestFit="1" customWidth="1"/>
    <col min="15367" max="15367" width="29.140625" style="4" customWidth="1"/>
    <col min="15368" max="15372" width="0" style="4" hidden="1" customWidth="1"/>
    <col min="15373" max="15373" width="8.7109375" style="4" bestFit="1" customWidth="1"/>
    <col min="15374" max="15374" width="10.85546875" style="4" customWidth="1"/>
    <col min="15375" max="15378" width="8.7109375" style="4" bestFit="1" customWidth="1"/>
    <col min="15379" max="15379" width="8.42578125" style="4" customWidth="1"/>
    <col min="15380" max="15380" width="3.5703125" style="4" customWidth="1"/>
    <col min="15381" max="15616" width="9.140625" style="4"/>
    <col min="15617" max="15617" width="5.7109375" style="4" bestFit="1" customWidth="1"/>
    <col min="15618" max="15618" width="5" style="4" bestFit="1" customWidth="1"/>
    <col min="15619" max="15619" width="15.140625" style="4" customWidth="1"/>
    <col min="15620" max="15621" width="5.140625" style="4" bestFit="1" customWidth="1"/>
    <col min="15622" max="15622" width="2" style="4" bestFit="1" customWidth="1"/>
    <col min="15623" max="15623" width="29.140625" style="4" customWidth="1"/>
    <col min="15624" max="15628" width="0" style="4" hidden="1" customWidth="1"/>
    <col min="15629" max="15629" width="8.7109375" style="4" bestFit="1" customWidth="1"/>
    <col min="15630" max="15630" width="10.85546875" style="4" customWidth="1"/>
    <col min="15631" max="15634" width="8.7109375" style="4" bestFit="1" customWidth="1"/>
    <col min="15635" max="15635" width="8.42578125" style="4" customWidth="1"/>
    <col min="15636" max="15636" width="3.5703125" style="4" customWidth="1"/>
    <col min="15637" max="15872" width="9.140625" style="4"/>
    <col min="15873" max="15873" width="5.7109375" style="4" bestFit="1" customWidth="1"/>
    <col min="15874" max="15874" width="5" style="4" bestFit="1" customWidth="1"/>
    <col min="15875" max="15875" width="15.140625" style="4" customWidth="1"/>
    <col min="15876" max="15877" width="5.140625" style="4" bestFit="1" customWidth="1"/>
    <col min="15878" max="15878" width="2" style="4" bestFit="1" customWidth="1"/>
    <col min="15879" max="15879" width="29.140625" style="4" customWidth="1"/>
    <col min="15880" max="15884" width="0" style="4" hidden="1" customWidth="1"/>
    <col min="15885" max="15885" width="8.7109375" style="4" bestFit="1" customWidth="1"/>
    <col min="15886" max="15886" width="10.85546875" style="4" customWidth="1"/>
    <col min="15887" max="15890" width="8.7109375" style="4" bestFit="1" customWidth="1"/>
    <col min="15891" max="15891" width="8.42578125" style="4" customWidth="1"/>
    <col min="15892" max="15892" width="3.5703125" style="4" customWidth="1"/>
    <col min="15893" max="16128" width="9.140625" style="4"/>
    <col min="16129" max="16129" width="5.7109375" style="4" bestFit="1" customWidth="1"/>
    <col min="16130" max="16130" width="5" style="4" bestFit="1" customWidth="1"/>
    <col min="16131" max="16131" width="15.140625" style="4" customWidth="1"/>
    <col min="16132" max="16133" width="5.140625" style="4" bestFit="1" customWidth="1"/>
    <col min="16134" max="16134" width="2" style="4" bestFit="1" customWidth="1"/>
    <col min="16135" max="16135" width="29.140625" style="4" customWidth="1"/>
    <col min="16136" max="16140" width="0" style="4" hidden="1" customWidth="1"/>
    <col min="16141" max="16141" width="8.7109375" style="4" bestFit="1" customWidth="1"/>
    <col min="16142" max="16142" width="10.85546875" style="4" customWidth="1"/>
    <col min="16143" max="16146" width="8.7109375" style="4" bestFit="1" customWidth="1"/>
    <col min="16147" max="16147" width="8.42578125" style="4" customWidth="1"/>
    <col min="16148" max="16148" width="3.5703125" style="4" customWidth="1"/>
    <col min="16149" max="16384" width="9.140625" style="4"/>
  </cols>
  <sheetData>
    <row r="1" spans="1:19" x14ac:dyDescent="0.2">
      <c r="A1" s="1"/>
      <c r="C1" s="3"/>
      <c r="D1" s="3"/>
      <c r="E1" s="1"/>
      <c r="F1" s="1"/>
      <c r="G1" s="4"/>
    </row>
    <row r="2" spans="1:19" x14ac:dyDescent="0.2">
      <c r="A2" s="3" t="s">
        <v>0</v>
      </c>
      <c r="B2" s="5" t="s">
        <v>1</v>
      </c>
      <c r="C2" s="3" t="s">
        <v>2</v>
      </c>
      <c r="D2" s="3"/>
      <c r="E2" s="1" t="s">
        <v>3</v>
      </c>
      <c r="F2" s="1"/>
      <c r="G2" s="124" t="s">
        <v>614</v>
      </c>
      <c r="H2" s="427"/>
      <c r="I2" s="428"/>
      <c r="J2" s="429"/>
      <c r="K2" s="746"/>
      <c r="L2" s="747"/>
      <c r="M2" s="647" t="s">
        <v>366</v>
      </c>
      <c r="N2" s="748" t="s">
        <v>615</v>
      </c>
      <c r="O2" s="749"/>
      <c r="P2" s="749"/>
      <c r="Q2" s="749"/>
      <c r="R2" s="750"/>
    </row>
    <row r="3" spans="1:19" x14ac:dyDescent="0.2">
      <c r="A3" s="1"/>
      <c r="B3" s="6"/>
      <c r="C3" s="3"/>
      <c r="D3" s="3"/>
      <c r="E3" s="1"/>
      <c r="F3" s="1"/>
      <c r="G3" s="94" t="s">
        <v>4</v>
      </c>
      <c r="H3" s="431">
        <v>40908</v>
      </c>
      <c r="I3" s="431">
        <v>41274</v>
      </c>
      <c r="J3" s="431">
        <v>41639</v>
      </c>
      <c r="K3" s="431">
        <v>42004</v>
      </c>
      <c r="L3" s="431">
        <v>42369</v>
      </c>
      <c r="M3" s="431">
        <v>42735</v>
      </c>
      <c r="N3" s="431">
        <v>43100</v>
      </c>
      <c r="O3" s="431">
        <v>43465</v>
      </c>
      <c r="P3" s="431">
        <v>43830</v>
      </c>
      <c r="Q3" s="431">
        <v>44196</v>
      </c>
      <c r="R3" s="431">
        <v>44561</v>
      </c>
      <c r="S3" s="431">
        <v>44926</v>
      </c>
    </row>
    <row r="4" spans="1:19" x14ac:dyDescent="0.2">
      <c r="A4" s="7"/>
      <c r="B4" s="2" t="s">
        <v>5</v>
      </c>
      <c r="C4" s="3">
        <v>1</v>
      </c>
      <c r="D4" s="3"/>
      <c r="E4" s="5"/>
      <c r="F4" s="7"/>
      <c r="G4" s="103" t="s">
        <v>6</v>
      </c>
      <c r="H4" s="77">
        <f t="shared" ref="H4:S4" si="0">H5+H10</f>
        <v>520.68100000000004</v>
      </c>
      <c r="I4" s="77">
        <f t="shared" si="0"/>
        <v>427.96700000000004</v>
      </c>
      <c r="J4" s="77">
        <f t="shared" si="0"/>
        <v>532.04499999999996</v>
      </c>
      <c r="K4" s="77">
        <f t="shared" si="0"/>
        <v>424.36100000000005</v>
      </c>
      <c r="L4" s="77">
        <f t="shared" si="0"/>
        <v>314.59200000000004</v>
      </c>
      <c r="M4" s="77">
        <f t="shared" si="0"/>
        <v>189.39</v>
      </c>
      <c r="N4" s="77">
        <f t="shared" si="0"/>
        <v>81</v>
      </c>
      <c r="O4" s="77">
        <f t="shared" si="0"/>
        <v>9</v>
      </c>
      <c r="P4" s="77">
        <f t="shared" si="0"/>
        <v>6</v>
      </c>
      <c r="Q4" s="77">
        <f t="shared" si="0"/>
        <v>6</v>
      </c>
      <c r="R4" s="77">
        <f t="shared" si="0"/>
        <v>6</v>
      </c>
      <c r="S4" s="77">
        <f t="shared" si="0"/>
        <v>6</v>
      </c>
    </row>
    <row r="5" spans="1:19" x14ac:dyDescent="0.2">
      <c r="B5" s="2" t="s">
        <v>7</v>
      </c>
      <c r="C5" s="3">
        <v>10</v>
      </c>
      <c r="D5" s="3"/>
      <c r="G5" s="110" t="s">
        <v>8</v>
      </c>
      <c r="H5" s="77">
        <f t="shared" ref="H5:Q5" si="1">SUM(H6:H9)</f>
        <v>4.9459999999999997</v>
      </c>
      <c r="I5" s="77">
        <f t="shared" si="1"/>
        <v>6.0019999999999998</v>
      </c>
      <c r="J5" s="77">
        <f t="shared" si="1"/>
        <v>32.103000000000002</v>
      </c>
      <c r="K5" s="77">
        <f t="shared" si="1"/>
        <v>14.92</v>
      </c>
      <c r="L5" s="77">
        <f t="shared" si="1"/>
        <v>11.862</v>
      </c>
      <c r="M5" s="77">
        <f t="shared" si="1"/>
        <v>6.7649999999999997</v>
      </c>
      <c r="N5" s="77">
        <v>6</v>
      </c>
      <c r="O5" s="77">
        <f t="shared" si="1"/>
        <v>6</v>
      </c>
      <c r="P5" s="77">
        <f t="shared" si="1"/>
        <v>6</v>
      </c>
      <c r="Q5" s="77">
        <f t="shared" si="1"/>
        <v>6</v>
      </c>
      <c r="R5" s="77">
        <f>SUM(R6:R9)</f>
        <v>6</v>
      </c>
      <c r="S5" s="77">
        <f>SUM(S6:S9)</f>
        <v>6</v>
      </c>
    </row>
    <row r="6" spans="1:19" ht="12" x14ac:dyDescent="0.2">
      <c r="B6" s="2" t="s">
        <v>9</v>
      </c>
      <c r="C6" s="10" t="s">
        <v>10</v>
      </c>
      <c r="E6" s="11" t="s">
        <v>11</v>
      </c>
      <c r="G6" s="110" t="s">
        <v>12</v>
      </c>
      <c r="H6" s="76">
        <v>1.6879999999999999</v>
      </c>
      <c r="I6" s="76">
        <v>3.25</v>
      </c>
      <c r="J6" s="76">
        <v>25.004000000000001</v>
      </c>
      <c r="K6" s="76">
        <v>11.433</v>
      </c>
      <c r="L6" s="76">
        <v>10.436999999999999</v>
      </c>
      <c r="M6" s="76">
        <v>4.4269999999999996</v>
      </c>
      <c r="N6" s="76">
        <v>3</v>
      </c>
      <c r="O6" s="76">
        <v>3</v>
      </c>
      <c r="P6" s="76">
        <v>3</v>
      </c>
      <c r="Q6" s="76">
        <v>3</v>
      </c>
      <c r="R6" s="76">
        <v>3</v>
      </c>
      <c r="S6" s="76">
        <v>3</v>
      </c>
    </row>
    <row r="7" spans="1:19" ht="12" x14ac:dyDescent="0.2">
      <c r="B7" s="2" t="s">
        <v>13</v>
      </c>
      <c r="C7" s="10" t="s">
        <v>14</v>
      </c>
      <c r="E7" s="11" t="s">
        <v>11</v>
      </c>
      <c r="G7" s="110" t="s">
        <v>15</v>
      </c>
      <c r="H7" s="76">
        <v>3.258</v>
      </c>
      <c r="I7" s="76">
        <v>2.7519999999999998</v>
      </c>
      <c r="J7" s="76">
        <v>7.0990000000000002</v>
      </c>
      <c r="K7" s="76">
        <v>3.4870000000000001</v>
      </c>
      <c r="L7" s="76">
        <v>1.425</v>
      </c>
      <c r="M7" s="76">
        <v>2.3380000000000001</v>
      </c>
      <c r="N7" s="76">
        <v>3</v>
      </c>
      <c r="O7" s="76">
        <v>3</v>
      </c>
      <c r="P7" s="76">
        <v>3</v>
      </c>
      <c r="Q7" s="76">
        <v>3</v>
      </c>
      <c r="R7" s="76">
        <v>3</v>
      </c>
      <c r="S7" s="76">
        <v>3</v>
      </c>
    </row>
    <row r="8" spans="1:19" ht="12" x14ac:dyDescent="0.2">
      <c r="B8" s="2" t="s">
        <v>16</v>
      </c>
      <c r="C8" s="10" t="s">
        <v>17</v>
      </c>
      <c r="E8" s="11" t="s">
        <v>11</v>
      </c>
      <c r="G8" s="110" t="s">
        <v>18</v>
      </c>
      <c r="H8" s="76">
        <v>0</v>
      </c>
      <c r="I8" s="76">
        <v>0</v>
      </c>
      <c r="J8" s="76">
        <v>0</v>
      </c>
      <c r="K8" s="76">
        <v>0</v>
      </c>
      <c r="L8" s="76">
        <v>0</v>
      </c>
      <c r="M8" s="76">
        <v>0</v>
      </c>
      <c r="N8" s="76">
        <v>0</v>
      </c>
      <c r="O8" s="76">
        <v>0</v>
      </c>
      <c r="P8" s="76">
        <v>0</v>
      </c>
      <c r="Q8" s="76">
        <v>0</v>
      </c>
      <c r="R8" s="76">
        <v>0</v>
      </c>
      <c r="S8" s="76">
        <v>0</v>
      </c>
    </row>
    <row r="9" spans="1:19" x14ac:dyDescent="0.2">
      <c r="B9" s="2" t="s">
        <v>19</v>
      </c>
      <c r="C9" s="10">
        <v>108</v>
      </c>
      <c r="E9" s="12"/>
      <c r="G9" s="110" t="s">
        <v>20</v>
      </c>
      <c r="H9" s="76">
        <v>0</v>
      </c>
      <c r="I9" s="76">
        <v>0</v>
      </c>
      <c r="J9" s="76">
        <v>0</v>
      </c>
      <c r="K9" s="76">
        <v>0</v>
      </c>
      <c r="L9" s="76">
        <v>0</v>
      </c>
      <c r="M9" s="76">
        <v>0</v>
      </c>
      <c r="N9" s="76">
        <v>0</v>
      </c>
      <c r="O9" s="76">
        <v>0</v>
      </c>
      <c r="P9" s="76">
        <v>0</v>
      </c>
      <c r="Q9" s="76">
        <v>0</v>
      </c>
      <c r="R9" s="76">
        <v>0</v>
      </c>
      <c r="S9" s="76">
        <v>0</v>
      </c>
    </row>
    <row r="10" spans="1:19" x14ac:dyDescent="0.2">
      <c r="A10" s="13"/>
      <c r="B10" s="2" t="s">
        <v>21</v>
      </c>
      <c r="C10" s="14">
        <v>15</v>
      </c>
      <c r="D10" s="14"/>
      <c r="E10" s="12"/>
      <c r="F10" s="13"/>
      <c r="G10" s="110" t="s">
        <v>22</v>
      </c>
      <c r="H10" s="77">
        <f>SUM(H11:H16)</f>
        <v>515.73500000000001</v>
      </c>
      <c r="I10" s="77">
        <f t="shared" ref="I10:S10" si="2">SUM(I11:I16)</f>
        <v>421.96500000000003</v>
      </c>
      <c r="J10" s="77">
        <f t="shared" si="2"/>
        <v>499.94200000000001</v>
      </c>
      <c r="K10" s="77">
        <f t="shared" si="2"/>
        <v>409.44100000000003</v>
      </c>
      <c r="L10" s="77">
        <f t="shared" si="2"/>
        <v>302.73</v>
      </c>
      <c r="M10" s="77">
        <f t="shared" si="2"/>
        <v>182.625</v>
      </c>
      <c r="N10" s="77">
        <f t="shared" si="2"/>
        <v>75</v>
      </c>
      <c r="O10" s="77">
        <f t="shared" si="2"/>
        <v>3</v>
      </c>
      <c r="P10" s="77">
        <f t="shared" si="2"/>
        <v>0</v>
      </c>
      <c r="Q10" s="77">
        <f t="shared" si="2"/>
        <v>0</v>
      </c>
      <c r="R10" s="77">
        <f t="shared" si="2"/>
        <v>0</v>
      </c>
      <c r="S10" s="77">
        <f t="shared" si="2"/>
        <v>0</v>
      </c>
    </row>
    <row r="11" spans="1:19" ht="12" x14ac:dyDescent="0.2">
      <c r="A11" s="13"/>
      <c r="B11" s="2" t="s">
        <v>23</v>
      </c>
      <c r="C11" s="14">
        <v>150</v>
      </c>
      <c r="D11" s="14"/>
      <c r="E11" s="11" t="s">
        <v>11</v>
      </c>
      <c r="F11" s="13"/>
      <c r="G11" s="110" t="s">
        <v>24</v>
      </c>
      <c r="H11" s="76">
        <v>0</v>
      </c>
      <c r="I11" s="76">
        <v>0</v>
      </c>
      <c r="J11" s="76">
        <v>0</v>
      </c>
      <c r="K11" s="76">
        <f>SUM(E11:J11)</f>
        <v>0</v>
      </c>
      <c r="L11" s="76">
        <v>0</v>
      </c>
      <c r="M11" s="76">
        <v>0</v>
      </c>
      <c r="N11" s="76">
        <v>0</v>
      </c>
      <c r="O11" s="76">
        <v>0</v>
      </c>
      <c r="P11" s="76">
        <v>0</v>
      </c>
      <c r="Q11" s="76">
        <v>0</v>
      </c>
      <c r="R11" s="76">
        <v>0</v>
      </c>
      <c r="S11" s="76">
        <v>0</v>
      </c>
    </row>
    <row r="12" spans="1:19" ht="12" x14ac:dyDescent="0.2">
      <c r="A12" s="13"/>
      <c r="B12" s="2" t="s">
        <v>25</v>
      </c>
      <c r="C12" s="14">
        <v>151</v>
      </c>
      <c r="D12" s="14"/>
      <c r="E12" s="11" t="s">
        <v>11</v>
      </c>
      <c r="F12" s="13"/>
      <c r="G12" s="110" t="s">
        <v>26</v>
      </c>
      <c r="H12" s="76">
        <v>0</v>
      </c>
      <c r="I12" s="76">
        <v>0</v>
      </c>
      <c r="J12" s="76">
        <v>0</v>
      </c>
      <c r="K12" s="76">
        <v>0</v>
      </c>
      <c r="L12" s="76">
        <v>0</v>
      </c>
      <c r="M12" s="76">
        <v>0</v>
      </c>
      <c r="N12" s="76">
        <v>0</v>
      </c>
      <c r="O12" s="76">
        <v>0</v>
      </c>
      <c r="P12" s="76">
        <v>0</v>
      </c>
      <c r="Q12" s="76">
        <v>0</v>
      </c>
      <c r="R12" s="76">
        <v>0</v>
      </c>
      <c r="S12" s="76">
        <v>0</v>
      </c>
    </row>
    <row r="13" spans="1:19" ht="12" x14ac:dyDescent="0.2">
      <c r="B13" s="2" t="s">
        <v>27</v>
      </c>
      <c r="C13" s="10" t="s">
        <v>28</v>
      </c>
      <c r="E13" s="11" t="s">
        <v>11</v>
      </c>
      <c r="G13" s="110" t="s">
        <v>29</v>
      </c>
      <c r="H13" s="76">
        <v>0</v>
      </c>
      <c r="I13" s="76">
        <v>0</v>
      </c>
      <c r="J13" s="76">
        <v>0</v>
      </c>
      <c r="K13" s="76">
        <v>0</v>
      </c>
      <c r="L13" s="76">
        <v>0</v>
      </c>
      <c r="M13" s="76">
        <v>0</v>
      </c>
      <c r="N13" s="76">
        <v>0</v>
      </c>
      <c r="O13" s="76">
        <v>0</v>
      </c>
      <c r="P13" s="76">
        <v>0</v>
      </c>
      <c r="Q13" s="76">
        <v>0</v>
      </c>
      <c r="R13" s="76">
        <v>0</v>
      </c>
      <c r="S13" s="76">
        <v>0</v>
      </c>
    </row>
    <row r="14" spans="1:19" ht="12" x14ac:dyDescent="0.2">
      <c r="B14" s="2" t="s">
        <v>30</v>
      </c>
      <c r="C14" s="10">
        <v>154</v>
      </c>
      <c r="E14" s="11" t="s">
        <v>11</v>
      </c>
      <c r="G14" s="110" t="s">
        <v>31</v>
      </c>
      <c r="H14" s="76">
        <v>28.364999999999998</v>
      </c>
      <c r="I14" s="76">
        <v>23.207999999999998</v>
      </c>
      <c r="J14" s="76">
        <v>18.050999999999998</v>
      </c>
      <c r="K14" s="76">
        <v>12.893000000000001</v>
      </c>
      <c r="L14" s="76">
        <v>7.7359999999999998</v>
      </c>
      <c r="M14" s="76">
        <v>2.5790000000000002</v>
      </c>
      <c r="N14" s="76">
        <v>0</v>
      </c>
      <c r="O14" s="76">
        <v>0</v>
      </c>
      <c r="P14" s="76">
        <v>0</v>
      </c>
      <c r="Q14" s="76">
        <v>0</v>
      </c>
      <c r="R14" s="76">
        <v>0</v>
      </c>
      <c r="S14" s="76">
        <v>0</v>
      </c>
    </row>
    <row r="15" spans="1:19" ht="12" x14ac:dyDescent="0.2">
      <c r="B15" s="2" t="s">
        <v>32</v>
      </c>
      <c r="C15" s="10" t="s">
        <v>33</v>
      </c>
      <c r="E15" s="11" t="s">
        <v>11</v>
      </c>
      <c r="G15" s="110" t="s">
        <v>34</v>
      </c>
      <c r="H15" s="76">
        <v>487.37</v>
      </c>
      <c r="I15" s="76">
        <v>398.75700000000001</v>
      </c>
      <c r="J15" s="76">
        <f>478.69+3.201</f>
        <v>481.89100000000002</v>
      </c>
      <c r="K15" s="76">
        <f>394.033+2.515</f>
        <v>396.548</v>
      </c>
      <c r="L15" s="76">
        <f>293.165+1.829</f>
        <v>294.99400000000003</v>
      </c>
      <c r="M15" s="76">
        <v>180.04599999999999</v>
      </c>
      <c r="N15" s="76">
        <v>75</v>
      </c>
      <c r="O15" s="76">
        <v>3</v>
      </c>
      <c r="P15" s="76">
        <v>0</v>
      </c>
      <c r="Q15" s="76">
        <v>0</v>
      </c>
      <c r="R15" s="76">
        <v>0</v>
      </c>
      <c r="S15" s="76">
        <v>0</v>
      </c>
    </row>
    <row r="16" spans="1:19" ht="12" x14ac:dyDescent="0.2">
      <c r="B16" s="2" t="s">
        <v>35</v>
      </c>
      <c r="C16" s="10">
        <v>157</v>
      </c>
      <c r="E16" s="11" t="s">
        <v>11</v>
      </c>
      <c r="G16" s="110" t="s">
        <v>36</v>
      </c>
      <c r="H16" s="76">
        <v>0</v>
      </c>
      <c r="I16" s="76">
        <v>0</v>
      </c>
      <c r="J16" s="76">
        <v>0</v>
      </c>
      <c r="K16" s="76">
        <v>0</v>
      </c>
      <c r="L16" s="76">
        <v>0</v>
      </c>
      <c r="M16" s="76">
        <v>0</v>
      </c>
      <c r="N16" s="76">
        <v>0</v>
      </c>
      <c r="O16" s="76">
        <v>0</v>
      </c>
      <c r="P16" s="76">
        <v>0</v>
      </c>
      <c r="Q16" s="76">
        <v>0</v>
      </c>
      <c r="R16" s="76">
        <v>0</v>
      </c>
      <c r="S16" s="76">
        <v>0</v>
      </c>
    </row>
    <row r="17" spans="1:19" s="438" customFormat="1" ht="12" x14ac:dyDescent="0.2">
      <c r="A17" s="15"/>
      <c r="B17" s="2" t="s">
        <v>37</v>
      </c>
      <c r="C17" s="78" t="s">
        <v>38</v>
      </c>
      <c r="D17" s="15"/>
      <c r="E17" s="11" t="s">
        <v>11</v>
      </c>
      <c r="F17" s="16"/>
      <c r="G17" s="436" t="s">
        <v>39</v>
      </c>
      <c r="H17" s="80">
        <v>0</v>
      </c>
      <c r="I17" s="80">
        <v>0</v>
      </c>
      <c r="J17" s="80">
        <v>0</v>
      </c>
      <c r="K17" s="80">
        <v>0</v>
      </c>
      <c r="L17" s="80">
        <v>0</v>
      </c>
      <c r="M17" s="80">
        <v>0</v>
      </c>
      <c r="N17" s="80">
        <v>0</v>
      </c>
      <c r="O17" s="80">
        <v>0</v>
      </c>
      <c r="P17" s="80">
        <v>0</v>
      </c>
      <c r="Q17" s="80">
        <v>0</v>
      </c>
      <c r="R17" s="80">
        <v>0</v>
      </c>
      <c r="S17" s="80">
        <v>0</v>
      </c>
    </row>
    <row r="18" spans="1:19" x14ac:dyDescent="0.2">
      <c r="B18" s="2" t="s">
        <v>40</v>
      </c>
      <c r="C18" s="10">
        <v>2</v>
      </c>
      <c r="E18" s="12"/>
      <c r="G18" s="110" t="s">
        <v>41</v>
      </c>
      <c r="H18" s="77">
        <f>H19+H27</f>
        <v>520.68100000000004</v>
      </c>
      <c r="I18" s="77">
        <f t="shared" ref="I18:S18" si="3">I19+I27</f>
        <v>427.96700000000004</v>
      </c>
      <c r="J18" s="77">
        <f t="shared" si="3"/>
        <v>532.04399999999998</v>
      </c>
      <c r="K18" s="77">
        <f t="shared" si="3"/>
        <v>424.36200000000002</v>
      </c>
      <c r="L18" s="77">
        <f t="shared" si="3"/>
        <v>314.59199999999998</v>
      </c>
      <c r="M18" s="77">
        <f t="shared" si="3"/>
        <v>189.39000000000001</v>
      </c>
      <c r="N18" s="77">
        <f t="shared" si="3"/>
        <v>81</v>
      </c>
      <c r="O18" s="77">
        <f t="shared" si="3"/>
        <v>9</v>
      </c>
      <c r="P18" s="77">
        <f t="shared" si="3"/>
        <v>6</v>
      </c>
      <c r="Q18" s="77">
        <f t="shared" si="3"/>
        <v>6</v>
      </c>
      <c r="R18" s="77">
        <f t="shared" si="3"/>
        <v>6</v>
      </c>
      <c r="S18" s="77">
        <f t="shared" si="3"/>
        <v>6</v>
      </c>
    </row>
    <row r="19" spans="1:19" x14ac:dyDescent="0.2">
      <c r="B19" s="2" t="s">
        <v>42</v>
      </c>
      <c r="C19" s="10" t="s">
        <v>43</v>
      </c>
      <c r="E19" s="12"/>
      <c r="G19" s="110" t="s">
        <v>44</v>
      </c>
      <c r="H19" s="77">
        <f>SUM(H21:H26)</f>
        <v>2.258</v>
      </c>
      <c r="I19" s="77">
        <f t="shared" ref="I19:S19" si="4">SUM(I21:I26)</f>
        <v>2.1840000000000002</v>
      </c>
      <c r="J19" s="77">
        <f t="shared" si="4"/>
        <v>132.63</v>
      </c>
      <c r="K19" s="77">
        <f t="shared" si="4"/>
        <v>14.276</v>
      </c>
      <c r="L19" s="77">
        <f t="shared" si="4"/>
        <v>6.7220000000000004</v>
      </c>
      <c r="M19" s="77">
        <f t="shared" si="4"/>
        <v>0.78700000000000003</v>
      </c>
      <c r="N19" s="77">
        <f t="shared" si="4"/>
        <v>1</v>
      </c>
      <c r="O19" s="77">
        <f t="shared" si="4"/>
        <v>1</v>
      </c>
      <c r="P19" s="77">
        <f t="shared" si="4"/>
        <v>1</v>
      </c>
      <c r="Q19" s="77">
        <f t="shared" si="4"/>
        <v>1</v>
      </c>
      <c r="R19" s="77">
        <f t="shared" si="4"/>
        <v>1</v>
      </c>
      <c r="S19" s="77">
        <f t="shared" si="4"/>
        <v>1</v>
      </c>
    </row>
    <row r="20" spans="1:19" s="439" customFormat="1" ht="12" x14ac:dyDescent="0.2">
      <c r="A20" s="17"/>
      <c r="B20" s="2" t="s">
        <v>45</v>
      </c>
      <c r="C20" s="78" t="s">
        <v>46</v>
      </c>
      <c r="D20" s="15"/>
      <c r="E20" s="11" t="s">
        <v>11</v>
      </c>
      <c r="F20" s="17"/>
      <c r="G20" s="436" t="s">
        <v>47</v>
      </c>
      <c r="H20" s="82">
        <v>2.258</v>
      </c>
      <c r="I20" s="82">
        <v>2.1840000000000002</v>
      </c>
      <c r="J20" s="82">
        <v>132.63</v>
      </c>
      <c r="K20" s="82">
        <v>14.276</v>
      </c>
      <c r="L20" s="82">
        <v>6.7220000000000004</v>
      </c>
      <c r="M20" s="82">
        <v>0.78700000000000003</v>
      </c>
      <c r="N20" s="82">
        <v>1</v>
      </c>
      <c r="O20" s="82">
        <v>1</v>
      </c>
      <c r="P20" s="82">
        <v>1</v>
      </c>
      <c r="Q20" s="82">
        <v>1</v>
      </c>
      <c r="R20" s="82">
        <v>1</v>
      </c>
      <c r="S20" s="82">
        <v>1</v>
      </c>
    </row>
    <row r="21" spans="1:19" ht="12" x14ac:dyDescent="0.2">
      <c r="B21" s="2" t="s">
        <v>48</v>
      </c>
      <c r="C21" s="18" t="s">
        <v>49</v>
      </c>
      <c r="D21" s="18"/>
      <c r="E21" s="11" t="s">
        <v>11</v>
      </c>
      <c r="G21" s="110" t="s">
        <v>50</v>
      </c>
      <c r="H21" s="76">
        <v>2.258</v>
      </c>
      <c r="I21" s="76">
        <v>2.1840000000000002</v>
      </c>
      <c r="J21" s="76">
        <v>132.63</v>
      </c>
      <c r="K21" s="76">
        <v>14.276</v>
      </c>
      <c r="L21" s="76">
        <v>6.7220000000000004</v>
      </c>
      <c r="M21" s="76">
        <v>0.78700000000000003</v>
      </c>
      <c r="N21" s="76">
        <v>1</v>
      </c>
      <c r="O21" s="76">
        <v>1</v>
      </c>
      <c r="P21" s="76">
        <v>1</v>
      </c>
      <c r="Q21" s="76">
        <v>1</v>
      </c>
      <c r="R21" s="76">
        <v>1</v>
      </c>
      <c r="S21" s="76">
        <v>1</v>
      </c>
    </row>
    <row r="22" spans="1:19" ht="12" x14ac:dyDescent="0.2">
      <c r="B22" s="2" t="s">
        <v>51</v>
      </c>
      <c r="C22" s="10" t="s">
        <v>52</v>
      </c>
      <c r="E22" s="11" t="s">
        <v>11</v>
      </c>
      <c r="G22" s="110" t="s">
        <v>53</v>
      </c>
      <c r="H22" s="76">
        <v>0</v>
      </c>
      <c r="I22" s="76">
        <v>0</v>
      </c>
      <c r="J22" s="76">
        <v>0</v>
      </c>
      <c r="K22" s="76">
        <v>0</v>
      </c>
      <c r="L22" s="76">
        <v>0</v>
      </c>
      <c r="M22" s="76">
        <v>0</v>
      </c>
      <c r="N22" s="76">
        <v>0</v>
      </c>
      <c r="O22" s="76">
        <v>0</v>
      </c>
      <c r="P22" s="76">
        <v>0</v>
      </c>
      <c r="Q22" s="76">
        <v>0</v>
      </c>
      <c r="R22" s="76">
        <v>0</v>
      </c>
      <c r="S22" s="76">
        <v>0</v>
      </c>
    </row>
    <row r="23" spans="1:19" ht="12" x14ac:dyDescent="0.2">
      <c r="B23" s="2" t="s">
        <v>54</v>
      </c>
      <c r="C23" s="10">
        <v>257</v>
      </c>
      <c r="E23" s="11" t="s">
        <v>11</v>
      </c>
      <c r="G23" s="110" t="s">
        <v>55</v>
      </c>
      <c r="H23" s="76">
        <v>0</v>
      </c>
      <c r="I23" s="76">
        <v>0</v>
      </c>
      <c r="J23" s="76">
        <v>0</v>
      </c>
      <c r="K23" s="76">
        <v>0</v>
      </c>
      <c r="L23" s="76">
        <v>0</v>
      </c>
      <c r="M23" s="76">
        <v>0</v>
      </c>
      <c r="N23" s="76">
        <v>0</v>
      </c>
      <c r="O23" s="76">
        <v>0</v>
      </c>
      <c r="P23" s="76">
        <v>0</v>
      </c>
      <c r="Q23" s="76">
        <v>0</v>
      </c>
      <c r="R23" s="76">
        <v>0</v>
      </c>
      <c r="S23" s="76">
        <v>0</v>
      </c>
    </row>
    <row r="24" spans="1:19" ht="12" x14ac:dyDescent="0.2">
      <c r="A24" s="19"/>
      <c r="B24" s="2" t="s">
        <v>56</v>
      </c>
      <c r="C24" s="10" t="s">
        <v>57</v>
      </c>
      <c r="E24" s="11" t="s">
        <v>11</v>
      </c>
      <c r="F24" s="19"/>
      <c r="G24" s="110" t="s">
        <v>58</v>
      </c>
      <c r="H24" s="76">
        <v>0</v>
      </c>
      <c r="I24" s="76">
        <v>0</v>
      </c>
      <c r="J24" s="76">
        <v>0</v>
      </c>
      <c r="K24" s="76">
        <v>0</v>
      </c>
      <c r="L24" s="76">
        <v>0</v>
      </c>
      <c r="M24" s="76">
        <v>0</v>
      </c>
      <c r="N24" s="76">
        <v>0</v>
      </c>
      <c r="O24" s="76">
        <v>0</v>
      </c>
      <c r="P24" s="76">
        <v>0</v>
      </c>
      <c r="Q24" s="76">
        <v>0</v>
      </c>
      <c r="R24" s="76">
        <v>0</v>
      </c>
      <c r="S24" s="76">
        <v>0</v>
      </c>
    </row>
    <row r="25" spans="1:19" ht="12" x14ac:dyDescent="0.2">
      <c r="A25" s="19"/>
      <c r="B25" s="2" t="s">
        <v>59</v>
      </c>
      <c r="C25" s="10" t="s">
        <v>60</v>
      </c>
      <c r="E25" s="11" t="s">
        <v>11</v>
      </c>
      <c r="F25" s="19"/>
      <c r="G25" s="110" t="s">
        <v>61</v>
      </c>
      <c r="H25" s="76">
        <v>0</v>
      </c>
      <c r="I25" s="76">
        <v>0</v>
      </c>
      <c r="J25" s="76">
        <v>0</v>
      </c>
      <c r="K25" s="76">
        <v>0</v>
      </c>
      <c r="L25" s="76">
        <v>0</v>
      </c>
      <c r="M25" s="76">
        <v>0</v>
      </c>
      <c r="N25" s="76">
        <v>0</v>
      </c>
      <c r="O25" s="76">
        <v>0</v>
      </c>
      <c r="P25" s="76">
        <v>0</v>
      </c>
      <c r="Q25" s="76">
        <v>0</v>
      </c>
      <c r="R25" s="76">
        <v>0</v>
      </c>
      <c r="S25" s="76">
        <v>0</v>
      </c>
    </row>
    <row r="26" spans="1:19" ht="12" x14ac:dyDescent="0.2">
      <c r="B26" s="2" t="s">
        <v>62</v>
      </c>
      <c r="C26" s="10">
        <v>28</v>
      </c>
      <c r="E26" s="11" t="s">
        <v>11</v>
      </c>
      <c r="G26" s="110" t="s">
        <v>63</v>
      </c>
      <c r="H26" s="76">
        <v>0</v>
      </c>
      <c r="I26" s="76">
        <v>0</v>
      </c>
      <c r="J26" s="76">
        <v>0</v>
      </c>
      <c r="K26" s="76">
        <v>0</v>
      </c>
      <c r="L26" s="76">
        <v>0</v>
      </c>
      <c r="M26" s="76">
        <v>0</v>
      </c>
      <c r="N26" s="76">
        <v>0</v>
      </c>
      <c r="O26" s="76">
        <v>0</v>
      </c>
      <c r="P26" s="76">
        <v>0</v>
      </c>
      <c r="Q26" s="76">
        <v>0</v>
      </c>
      <c r="R26" s="76">
        <v>0</v>
      </c>
      <c r="S26" s="76">
        <v>0</v>
      </c>
    </row>
    <row r="27" spans="1:19" x14ac:dyDescent="0.2">
      <c r="B27" s="2" t="s">
        <v>64</v>
      </c>
      <c r="C27" s="10">
        <v>29</v>
      </c>
      <c r="E27" s="12"/>
      <c r="G27" s="110" t="s">
        <v>65</v>
      </c>
      <c r="H27" s="77">
        <f>SUM(H28:H30)</f>
        <v>518.423</v>
      </c>
      <c r="I27" s="77">
        <f t="shared" ref="I27:S27" si="5">SUM(I28:I30)</f>
        <v>425.78300000000002</v>
      </c>
      <c r="J27" s="77">
        <f t="shared" si="5"/>
        <v>399.41399999999999</v>
      </c>
      <c r="K27" s="77">
        <f t="shared" si="5"/>
        <v>410.08600000000001</v>
      </c>
      <c r="L27" s="77">
        <f t="shared" si="5"/>
        <v>307.87</v>
      </c>
      <c r="M27" s="77">
        <f t="shared" si="5"/>
        <v>188.60300000000001</v>
      </c>
      <c r="N27" s="77">
        <f t="shared" si="5"/>
        <v>80</v>
      </c>
      <c r="O27" s="77">
        <f t="shared" si="5"/>
        <v>8</v>
      </c>
      <c r="P27" s="77">
        <f t="shared" si="5"/>
        <v>5</v>
      </c>
      <c r="Q27" s="77">
        <f t="shared" si="5"/>
        <v>5</v>
      </c>
      <c r="R27" s="77">
        <f t="shared" si="5"/>
        <v>5</v>
      </c>
      <c r="S27" s="77">
        <f t="shared" si="5"/>
        <v>5</v>
      </c>
    </row>
    <row r="28" spans="1:19" ht="12" x14ac:dyDescent="0.2">
      <c r="B28" s="2" t="s">
        <v>66</v>
      </c>
      <c r="C28" s="8" t="s">
        <v>67</v>
      </c>
      <c r="D28" s="8"/>
      <c r="E28" s="11" t="s">
        <v>11</v>
      </c>
      <c r="G28" s="110" t="s">
        <v>68</v>
      </c>
      <c r="H28" s="76">
        <v>0</v>
      </c>
      <c r="I28" s="76">
        <v>0</v>
      </c>
      <c r="J28" s="76">
        <v>0</v>
      </c>
      <c r="K28" s="76">
        <v>0</v>
      </c>
      <c r="L28" s="76">
        <v>0</v>
      </c>
      <c r="M28" s="76">
        <v>0</v>
      </c>
      <c r="N28" s="76">
        <v>0</v>
      </c>
      <c r="O28" s="76">
        <v>0</v>
      </c>
      <c r="P28" s="76">
        <v>0</v>
      </c>
      <c r="Q28" s="76">
        <v>0</v>
      </c>
      <c r="R28" s="76">
        <v>0</v>
      </c>
      <c r="S28" s="76">
        <v>0</v>
      </c>
    </row>
    <row r="29" spans="1:19" ht="12" x14ac:dyDescent="0.2">
      <c r="B29" s="2" t="s">
        <v>69</v>
      </c>
      <c r="C29" s="10">
        <v>298</v>
      </c>
      <c r="E29" s="11" t="s">
        <v>11</v>
      </c>
      <c r="G29" s="110" t="s">
        <v>70</v>
      </c>
      <c r="H29" s="76">
        <v>615.548</v>
      </c>
      <c r="I29" s="76">
        <v>518.423</v>
      </c>
      <c r="J29" s="76">
        <v>425.78300000000002</v>
      </c>
      <c r="K29" s="76">
        <v>399.41399999999999</v>
      </c>
      <c r="L29" s="76">
        <v>410.08600000000001</v>
      </c>
      <c r="M29" s="76">
        <v>307.87</v>
      </c>
      <c r="N29" s="76">
        <v>189</v>
      </c>
      <c r="O29" s="76">
        <v>80</v>
      </c>
      <c r="P29" s="76">
        <v>8</v>
      </c>
      <c r="Q29" s="76">
        <v>5</v>
      </c>
      <c r="R29" s="76">
        <v>5</v>
      </c>
      <c r="S29" s="76">
        <v>5</v>
      </c>
    </row>
    <row r="30" spans="1:19" ht="12" x14ac:dyDescent="0.2">
      <c r="B30" s="2" t="s">
        <v>71</v>
      </c>
      <c r="C30" s="10">
        <v>299</v>
      </c>
      <c r="E30" s="11" t="s">
        <v>72</v>
      </c>
      <c r="G30" s="110" t="s">
        <v>73</v>
      </c>
      <c r="H30" s="76">
        <v>-97.125</v>
      </c>
      <c r="I30" s="76">
        <v>-92.64</v>
      </c>
      <c r="J30" s="76">
        <v>-26.369</v>
      </c>
      <c r="K30" s="76">
        <v>10.672000000000001</v>
      </c>
      <c r="L30" s="76">
        <v>-102.21599999999999</v>
      </c>
      <c r="M30" s="76">
        <v>-119.267</v>
      </c>
      <c r="N30" s="76">
        <v>-109</v>
      </c>
      <c r="O30" s="76">
        <v>-72</v>
      </c>
      <c r="P30" s="76">
        <v>-3</v>
      </c>
      <c r="Q30" s="76">
        <v>0</v>
      </c>
      <c r="R30" s="76">
        <v>0</v>
      </c>
      <c r="S30" s="76">
        <v>0</v>
      </c>
    </row>
    <row r="31" spans="1:19" s="442" customFormat="1" x14ac:dyDescent="0.2">
      <c r="A31" s="20"/>
      <c r="B31" s="2" t="s">
        <v>368</v>
      </c>
      <c r="C31" s="83" t="s">
        <v>369</v>
      </c>
      <c r="D31" s="21"/>
      <c r="E31" s="22"/>
      <c r="F31" s="20"/>
      <c r="G31" s="440" t="s">
        <v>74</v>
      </c>
      <c r="H31" s="85">
        <f t="shared" ref="H31:S31" si="6">H4-H18</f>
        <v>0</v>
      </c>
      <c r="I31" s="85">
        <f t="shared" si="6"/>
        <v>0</v>
      </c>
      <c r="J31" s="85">
        <f t="shared" si="6"/>
        <v>9.9999999997635314E-4</v>
      </c>
      <c r="K31" s="85">
        <f t="shared" si="6"/>
        <v>-9.9999999997635314E-4</v>
      </c>
      <c r="L31" s="85">
        <f t="shared" si="6"/>
        <v>0</v>
      </c>
      <c r="M31" s="85">
        <f t="shared" si="6"/>
        <v>0</v>
      </c>
      <c r="N31" s="85">
        <f t="shared" si="6"/>
        <v>0</v>
      </c>
      <c r="O31" s="85">
        <f t="shared" si="6"/>
        <v>0</v>
      </c>
      <c r="P31" s="85">
        <f t="shared" si="6"/>
        <v>0</v>
      </c>
      <c r="Q31" s="85">
        <f t="shared" si="6"/>
        <v>0</v>
      </c>
      <c r="R31" s="85">
        <f t="shared" si="6"/>
        <v>0</v>
      </c>
      <c r="S31" s="85">
        <f t="shared" si="6"/>
        <v>0</v>
      </c>
    </row>
    <row r="32" spans="1:19" x14ac:dyDescent="0.2">
      <c r="G32" s="94" t="s">
        <v>75</v>
      </c>
      <c r="H32" s="87">
        <v>2011</v>
      </c>
      <c r="I32" s="87">
        <f t="shared" ref="I32:S32" si="7">H32+1</f>
        <v>2012</v>
      </c>
      <c r="J32" s="87">
        <f t="shared" si="7"/>
        <v>2013</v>
      </c>
      <c r="K32" s="87">
        <f t="shared" si="7"/>
        <v>2014</v>
      </c>
      <c r="L32" s="87">
        <f t="shared" si="7"/>
        <v>2015</v>
      </c>
      <c r="M32" s="87">
        <f t="shared" si="7"/>
        <v>2016</v>
      </c>
      <c r="N32" s="87">
        <f t="shared" si="7"/>
        <v>2017</v>
      </c>
      <c r="O32" s="87">
        <f t="shared" si="7"/>
        <v>2018</v>
      </c>
      <c r="P32" s="87">
        <f t="shared" si="7"/>
        <v>2019</v>
      </c>
      <c r="Q32" s="87">
        <f t="shared" si="7"/>
        <v>2020</v>
      </c>
      <c r="R32" s="87">
        <f t="shared" si="7"/>
        <v>2021</v>
      </c>
      <c r="S32" s="87">
        <f t="shared" si="7"/>
        <v>2022</v>
      </c>
    </row>
    <row r="33" spans="1:19" x14ac:dyDescent="0.2">
      <c r="B33" s="2" t="s">
        <v>76</v>
      </c>
      <c r="C33" s="10">
        <v>3</v>
      </c>
      <c r="G33" s="103" t="s">
        <v>77</v>
      </c>
      <c r="H33" s="77">
        <f>SUM(H34:H37)</f>
        <v>22.265000000000001</v>
      </c>
      <c r="I33" s="77">
        <f t="shared" ref="I33:S33" si="8">SUM(I34:I37)</f>
        <v>21.951999999999998</v>
      </c>
      <c r="J33" s="77">
        <f t="shared" si="8"/>
        <v>89.765000000000001</v>
      </c>
      <c r="K33" s="77">
        <f t="shared" si="8"/>
        <v>139.11099999999999</v>
      </c>
      <c r="L33" s="77">
        <f t="shared" si="8"/>
        <v>29.786999999999999</v>
      </c>
      <c r="M33" s="77">
        <f t="shared" si="8"/>
        <v>28.096</v>
      </c>
      <c r="N33" s="77">
        <f t="shared" si="8"/>
        <v>22</v>
      </c>
      <c r="O33" s="77">
        <f t="shared" si="8"/>
        <v>22</v>
      </c>
      <c r="P33" s="77">
        <f t="shared" si="8"/>
        <v>22</v>
      </c>
      <c r="Q33" s="77">
        <f t="shared" si="8"/>
        <v>22</v>
      </c>
      <c r="R33" s="77">
        <f t="shared" si="8"/>
        <v>22</v>
      </c>
      <c r="S33" s="77">
        <f t="shared" si="8"/>
        <v>22</v>
      </c>
    </row>
    <row r="34" spans="1:19" ht="12" x14ac:dyDescent="0.2">
      <c r="B34" s="2" t="s">
        <v>78</v>
      </c>
      <c r="C34" s="10">
        <v>30</v>
      </c>
      <c r="E34" s="11" t="s">
        <v>11</v>
      </c>
      <c r="G34" s="110" t="s">
        <v>79</v>
      </c>
      <c r="H34" s="76">
        <v>0</v>
      </c>
      <c r="I34" s="76">
        <v>0</v>
      </c>
      <c r="J34" s="76">
        <v>0</v>
      </c>
      <c r="K34" s="76">
        <v>0</v>
      </c>
      <c r="L34" s="76">
        <v>0</v>
      </c>
      <c r="M34" s="76">
        <v>0</v>
      </c>
      <c r="N34" s="76">
        <v>0</v>
      </c>
      <c r="O34" s="76">
        <v>0</v>
      </c>
      <c r="P34" s="76">
        <v>0</v>
      </c>
      <c r="Q34" s="76">
        <v>0</v>
      </c>
      <c r="R34" s="76">
        <v>0</v>
      </c>
      <c r="S34" s="76">
        <v>0</v>
      </c>
    </row>
    <row r="35" spans="1:19" ht="12" x14ac:dyDescent="0.2">
      <c r="B35" s="2" t="s">
        <v>80</v>
      </c>
      <c r="C35" s="10">
        <v>32</v>
      </c>
      <c r="E35" s="11" t="s">
        <v>11</v>
      </c>
      <c r="G35" s="110" t="s">
        <v>81</v>
      </c>
      <c r="H35" s="76">
        <v>15.874000000000001</v>
      </c>
      <c r="I35" s="76">
        <v>14.914</v>
      </c>
      <c r="J35" s="76">
        <v>14.468999999999999</v>
      </c>
      <c r="K35" s="76">
        <v>12.677</v>
      </c>
      <c r="L35" s="76">
        <v>13.847</v>
      </c>
      <c r="M35" s="76">
        <v>14.237</v>
      </c>
      <c r="N35" s="76">
        <v>14</v>
      </c>
      <c r="O35" s="76">
        <v>14</v>
      </c>
      <c r="P35" s="76">
        <v>14</v>
      </c>
      <c r="Q35" s="76">
        <v>14</v>
      </c>
      <c r="R35" s="76">
        <v>14</v>
      </c>
      <c r="S35" s="76">
        <v>14</v>
      </c>
    </row>
    <row r="36" spans="1:19" ht="12" x14ac:dyDescent="0.2">
      <c r="A36" s="13"/>
      <c r="B36" s="2" t="s">
        <v>82</v>
      </c>
      <c r="C36" s="10">
        <v>35</v>
      </c>
      <c r="E36" s="11" t="s">
        <v>11</v>
      </c>
      <c r="F36" s="13"/>
      <c r="G36" s="110" t="s">
        <v>83</v>
      </c>
      <c r="H36" s="76">
        <v>6.391</v>
      </c>
      <c r="I36" s="76">
        <v>7.0380000000000003</v>
      </c>
      <c r="J36" s="76">
        <v>75.296000000000006</v>
      </c>
      <c r="K36" s="76">
        <v>126.434</v>
      </c>
      <c r="L36" s="76">
        <v>15.94</v>
      </c>
      <c r="M36" s="76">
        <v>13.859</v>
      </c>
      <c r="N36" s="76">
        <v>8</v>
      </c>
      <c r="O36" s="76">
        <v>8</v>
      </c>
      <c r="P36" s="76">
        <v>8</v>
      </c>
      <c r="Q36" s="76">
        <v>8</v>
      </c>
      <c r="R36" s="76">
        <v>8</v>
      </c>
      <c r="S36" s="76">
        <v>8</v>
      </c>
    </row>
    <row r="37" spans="1:19" ht="12" x14ac:dyDescent="0.2">
      <c r="B37" s="2" t="s">
        <v>84</v>
      </c>
      <c r="C37" s="10">
        <v>38</v>
      </c>
      <c r="E37" s="11" t="s">
        <v>72</v>
      </c>
      <c r="G37" s="110" t="s">
        <v>85</v>
      </c>
      <c r="H37" s="76">
        <v>0</v>
      </c>
      <c r="I37" s="76">
        <v>0</v>
      </c>
      <c r="J37" s="76">
        <v>0</v>
      </c>
      <c r="K37" s="76">
        <v>0</v>
      </c>
      <c r="L37" s="76">
        <v>0</v>
      </c>
      <c r="M37" s="76">
        <v>0</v>
      </c>
      <c r="N37" s="76">
        <v>0</v>
      </c>
      <c r="O37" s="76">
        <v>0</v>
      </c>
      <c r="P37" s="76">
        <v>0</v>
      </c>
      <c r="Q37" s="76">
        <v>0</v>
      </c>
      <c r="R37" s="76">
        <v>0</v>
      </c>
      <c r="S37" s="76">
        <v>0</v>
      </c>
    </row>
    <row r="38" spans="1:19" x14ac:dyDescent="0.2">
      <c r="B38" s="2" t="s">
        <v>86</v>
      </c>
      <c r="C38" s="10">
        <v>4</v>
      </c>
      <c r="E38" s="23"/>
      <c r="G38" s="110" t="s">
        <v>87</v>
      </c>
      <c r="H38" s="77">
        <f>H39+H40</f>
        <v>0</v>
      </c>
      <c r="I38" s="77">
        <f t="shared" ref="I38:S38" si="9">I39+I40</f>
        <v>0</v>
      </c>
      <c r="J38" s="77">
        <f t="shared" si="9"/>
        <v>0</v>
      </c>
      <c r="K38" s="77">
        <f t="shared" si="9"/>
        <v>0</v>
      </c>
      <c r="L38" s="77">
        <f t="shared" si="9"/>
        <v>0</v>
      </c>
      <c r="M38" s="77">
        <f t="shared" si="9"/>
        <v>0</v>
      </c>
      <c r="N38" s="77">
        <f t="shared" si="9"/>
        <v>0</v>
      </c>
      <c r="O38" s="77">
        <f t="shared" si="9"/>
        <v>0</v>
      </c>
      <c r="P38" s="77">
        <f t="shared" si="9"/>
        <v>0</v>
      </c>
      <c r="Q38" s="77">
        <f t="shared" si="9"/>
        <v>0</v>
      </c>
      <c r="R38" s="77">
        <f t="shared" si="9"/>
        <v>0</v>
      </c>
      <c r="S38" s="77">
        <f t="shared" si="9"/>
        <v>0</v>
      </c>
    </row>
    <row r="39" spans="1:19" ht="12" x14ac:dyDescent="0.2">
      <c r="B39" s="2" t="s">
        <v>88</v>
      </c>
      <c r="C39" s="10">
        <v>41</v>
      </c>
      <c r="E39" s="11" t="s">
        <v>89</v>
      </c>
      <c r="G39" s="110" t="s">
        <v>90</v>
      </c>
      <c r="H39" s="76">
        <v>0</v>
      </c>
      <c r="I39" s="76">
        <v>0</v>
      </c>
      <c r="J39" s="76">
        <v>0</v>
      </c>
      <c r="K39" s="76">
        <v>0</v>
      </c>
      <c r="L39" s="76">
        <v>0</v>
      </c>
      <c r="M39" s="76">
        <v>0</v>
      </c>
      <c r="N39" s="76">
        <v>0</v>
      </c>
      <c r="O39" s="76">
        <v>0</v>
      </c>
      <c r="P39" s="76">
        <v>0</v>
      </c>
      <c r="Q39" s="76">
        <v>0</v>
      </c>
      <c r="R39" s="76">
        <v>0</v>
      </c>
      <c r="S39" s="76">
        <v>0</v>
      </c>
    </row>
    <row r="40" spans="1:19" ht="12" x14ac:dyDescent="0.2">
      <c r="B40" s="2" t="s">
        <v>91</v>
      </c>
      <c r="C40" s="10">
        <v>45</v>
      </c>
      <c r="E40" s="11" t="s">
        <v>89</v>
      </c>
      <c r="G40" s="110" t="s">
        <v>92</v>
      </c>
      <c r="H40" s="76">
        <v>0</v>
      </c>
      <c r="I40" s="76">
        <v>0</v>
      </c>
      <c r="J40" s="76">
        <v>0</v>
      </c>
      <c r="K40" s="76">
        <v>0</v>
      </c>
      <c r="L40" s="76">
        <v>0</v>
      </c>
      <c r="M40" s="76">
        <v>0</v>
      </c>
      <c r="N40" s="76">
        <v>0</v>
      </c>
      <c r="O40" s="76">
        <v>0</v>
      </c>
      <c r="P40" s="76">
        <v>0</v>
      </c>
      <c r="Q40" s="76">
        <v>0</v>
      </c>
      <c r="R40" s="76">
        <v>0</v>
      </c>
      <c r="S40" s="76">
        <v>0</v>
      </c>
    </row>
    <row r="41" spans="1:19" x14ac:dyDescent="0.2">
      <c r="A41" s="13"/>
      <c r="B41" s="2" t="s">
        <v>93</v>
      </c>
      <c r="C41" s="10" t="s">
        <v>94</v>
      </c>
      <c r="E41" s="23"/>
      <c r="F41" s="13"/>
      <c r="G41" s="110" t="s">
        <v>95</v>
      </c>
      <c r="H41" s="77">
        <f>SUM(H42:H45)</f>
        <v>-119.395</v>
      </c>
      <c r="I41" s="77">
        <f t="shared" ref="I41:S41" si="10">SUM(I42:I45)</f>
        <v>-114.59399999999999</v>
      </c>
      <c r="J41" s="77">
        <f t="shared" si="10"/>
        <v>-116.13500000000001</v>
      </c>
      <c r="K41" s="77">
        <f t="shared" si="10"/>
        <v>-128.43899999999999</v>
      </c>
      <c r="L41" s="77">
        <f t="shared" si="10"/>
        <v>-132.01599999999999</v>
      </c>
      <c r="M41" s="77">
        <f t="shared" si="10"/>
        <v>-147.36500000000001</v>
      </c>
      <c r="N41" s="77">
        <f t="shared" si="10"/>
        <v>-131</v>
      </c>
      <c r="O41" s="77">
        <f t="shared" si="10"/>
        <v>-94</v>
      </c>
      <c r="P41" s="77">
        <f t="shared" si="10"/>
        <v>-25</v>
      </c>
      <c r="Q41" s="77">
        <f t="shared" si="10"/>
        <v>-22</v>
      </c>
      <c r="R41" s="77">
        <f t="shared" si="10"/>
        <v>-22</v>
      </c>
      <c r="S41" s="77">
        <f t="shared" si="10"/>
        <v>-22</v>
      </c>
    </row>
    <row r="42" spans="1:19" ht="12" x14ac:dyDescent="0.2">
      <c r="B42" s="2" t="s">
        <v>96</v>
      </c>
      <c r="C42" s="10">
        <v>50</v>
      </c>
      <c r="E42" s="11" t="s">
        <v>89</v>
      </c>
      <c r="G42" s="110" t="s">
        <v>97</v>
      </c>
      <c r="H42" s="76">
        <v>-14.568</v>
      </c>
      <c r="I42" s="76">
        <v>-16.492000000000001</v>
      </c>
      <c r="J42" s="76">
        <v>-18.050999999999998</v>
      </c>
      <c r="K42" s="76">
        <v>-16.443000000000001</v>
      </c>
      <c r="L42" s="76">
        <v>-16.419</v>
      </c>
      <c r="M42" s="76">
        <v>-16.423999999999999</v>
      </c>
      <c r="N42" s="76">
        <v>-16</v>
      </c>
      <c r="O42" s="76">
        <v>-16</v>
      </c>
      <c r="P42" s="76">
        <v>-16</v>
      </c>
      <c r="Q42" s="76">
        <v>-16</v>
      </c>
      <c r="R42" s="76">
        <v>-16</v>
      </c>
      <c r="S42" s="76">
        <v>-16</v>
      </c>
    </row>
    <row r="43" spans="1:19" ht="12" x14ac:dyDescent="0.2">
      <c r="B43" s="2" t="s">
        <v>98</v>
      </c>
      <c r="C43" s="10">
        <v>55</v>
      </c>
      <c r="E43" s="11" t="s">
        <v>89</v>
      </c>
      <c r="G43" s="110" t="s">
        <v>99</v>
      </c>
      <c r="H43" s="76">
        <v>-10.086</v>
      </c>
      <c r="I43" s="76">
        <v>-2.7109999999999999</v>
      </c>
      <c r="J43" s="76">
        <v>-2.3980000000000001</v>
      </c>
      <c r="K43" s="76">
        <v>-8.7799999999999994</v>
      </c>
      <c r="L43" s="76">
        <v>-1.109</v>
      </c>
      <c r="M43" s="76">
        <v>-5.14</v>
      </c>
      <c r="N43" s="76">
        <v>-7</v>
      </c>
      <c r="O43" s="76">
        <v>-6</v>
      </c>
      <c r="P43" s="76">
        <v>-6</v>
      </c>
      <c r="Q43" s="76">
        <v>-6</v>
      </c>
      <c r="R43" s="76">
        <v>-6</v>
      </c>
      <c r="S43" s="76">
        <v>-6</v>
      </c>
    </row>
    <row r="44" spans="1:19" ht="12" x14ac:dyDescent="0.2">
      <c r="A44" s="13"/>
      <c r="B44" s="2" t="s">
        <v>100</v>
      </c>
      <c r="C44" s="10">
        <v>60</v>
      </c>
      <c r="E44" s="11" t="s">
        <v>89</v>
      </c>
      <c r="F44" s="13"/>
      <c r="G44" s="110" t="s">
        <v>101</v>
      </c>
      <c r="H44" s="76">
        <v>-0.97099999999999997</v>
      </c>
      <c r="I44" s="76">
        <v>-1.621</v>
      </c>
      <c r="J44" s="76">
        <v>0</v>
      </c>
      <c r="K44" s="76">
        <v>0</v>
      </c>
      <c r="L44" s="76">
        <v>0</v>
      </c>
      <c r="M44" s="76">
        <v>0</v>
      </c>
      <c r="N44" s="76">
        <v>0</v>
      </c>
      <c r="O44" s="76">
        <v>0</v>
      </c>
      <c r="P44" s="76">
        <v>0</v>
      </c>
      <c r="Q44" s="76">
        <v>0</v>
      </c>
      <c r="R44" s="76">
        <v>0</v>
      </c>
      <c r="S44" s="76">
        <v>0</v>
      </c>
    </row>
    <row r="45" spans="1:19" ht="12" x14ac:dyDescent="0.2">
      <c r="B45" s="2" t="s">
        <v>102</v>
      </c>
      <c r="C45" s="10">
        <v>61</v>
      </c>
      <c r="E45" s="11" t="s">
        <v>89</v>
      </c>
      <c r="G45" s="110" t="s">
        <v>103</v>
      </c>
      <c r="H45" s="76">
        <v>-93.77</v>
      </c>
      <c r="I45" s="76">
        <v>-93.77</v>
      </c>
      <c r="J45" s="76">
        <v>-95.686000000000007</v>
      </c>
      <c r="K45" s="76">
        <v>-103.21599999999999</v>
      </c>
      <c r="L45" s="76">
        <v>-114.488</v>
      </c>
      <c r="M45" s="76">
        <v>-125.801</v>
      </c>
      <c r="N45" s="76">
        <v>-108</v>
      </c>
      <c r="O45" s="76">
        <v>-72</v>
      </c>
      <c r="P45" s="76">
        <v>-3</v>
      </c>
      <c r="Q45" s="76">
        <v>0</v>
      </c>
      <c r="R45" s="76">
        <v>0</v>
      </c>
      <c r="S45" s="76">
        <v>0</v>
      </c>
    </row>
    <row r="46" spans="1:19" x14ac:dyDescent="0.2">
      <c r="B46" s="2" t="s">
        <v>104</v>
      </c>
      <c r="G46" s="110" t="s">
        <v>105</v>
      </c>
      <c r="H46" s="77">
        <f>H33+H38+H41</f>
        <v>-97.13</v>
      </c>
      <c r="I46" s="77">
        <f t="shared" ref="I46:S46" si="11">I33+I38+I41</f>
        <v>-92.641999999999996</v>
      </c>
      <c r="J46" s="77">
        <f t="shared" si="11"/>
        <v>-26.370000000000005</v>
      </c>
      <c r="K46" s="77">
        <f t="shared" si="11"/>
        <v>10.671999999999997</v>
      </c>
      <c r="L46" s="77">
        <f t="shared" si="11"/>
        <v>-102.22899999999998</v>
      </c>
      <c r="M46" s="77">
        <f t="shared" si="11"/>
        <v>-119.26900000000001</v>
      </c>
      <c r="N46" s="77">
        <f t="shared" si="11"/>
        <v>-109</v>
      </c>
      <c r="O46" s="77">
        <f t="shared" si="11"/>
        <v>-72</v>
      </c>
      <c r="P46" s="77">
        <f t="shared" si="11"/>
        <v>-3</v>
      </c>
      <c r="Q46" s="77">
        <f t="shared" si="11"/>
        <v>0</v>
      </c>
      <c r="R46" s="77">
        <f t="shared" si="11"/>
        <v>0</v>
      </c>
      <c r="S46" s="77">
        <f t="shared" si="11"/>
        <v>0</v>
      </c>
    </row>
    <row r="47" spans="1:19" ht="12" x14ac:dyDescent="0.2">
      <c r="B47" s="2" t="s">
        <v>106</v>
      </c>
      <c r="C47" s="10">
        <v>65</v>
      </c>
      <c r="E47" s="11" t="s">
        <v>72</v>
      </c>
      <c r="G47" s="110" t="s">
        <v>107</v>
      </c>
      <c r="H47" s="76">
        <v>4.0000000000000001E-3</v>
      </c>
      <c r="I47" s="76">
        <v>1E-3</v>
      </c>
      <c r="J47" s="76">
        <v>1E-3</v>
      </c>
      <c r="K47" s="76">
        <v>0</v>
      </c>
      <c r="L47" s="76">
        <v>1.2E-2</v>
      </c>
      <c r="M47" s="76">
        <v>2E-3</v>
      </c>
      <c r="N47" s="76">
        <v>0</v>
      </c>
      <c r="O47" s="76">
        <v>0</v>
      </c>
      <c r="P47" s="76">
        <v>0</v>
      </c>
      <c r="Q47" s="76">
        <v>0</v>
      </c>
      <c r="R47" s="76">
        <v>0</v>
      </c>
      <c r="S47" s="76">
        <v>0</v>
      </c>
    </row>
    <row r="48" spans="1:19" x14ac:dyDescent="0.2">
      <c r="B48" s="2" t="s">
        <v>108</v>
      </c>
      <c r="G48" s="110" t="s">
        <v>109</v>
      </c>
      <c r="H48" s="77">
        <f>H46+H47</f>
        <v>-97.125999999999991</v>
      </c>
      <c r="I48" s="77">
        <f t="shared" ref="I48:S48" si="12">I46+I47</f>
        <v>-92.640999999999991</v>
      </c>
      <c r="J48" s="77">
        <f t="shared" si="12"/>
        <v>-26.369000000000003</v>
      </c>
      <c r="K48" s="77">
        <f t="shared" si="12"/>
        <v>10.671999999999997</v>
      </c>
      <c r="L48" s="77">
        <f t="shared" si="12"/>
        <v>-102.21699999999998</v>
      </c>
      <c r="M48" s="77">
        <f t="shared" si="12"/>
        <v>-119.26700000000001</v>
      </c>
      <c r="N48" s="77">
        <f t="shared" si="12"/>
        <v>-109</v>
      </c>
      <c r="O48" s="77">
        <f t="shared" si="12"/>
        <v>-72</v>
      </c>
      <c r="P48" s="77">
        <f t="shared" si="12"/>
        <v>-3</v>
      </c>
      <c r="Q48" s="77">
        <f t="shared" si="12"/>
        <v>0</v>
      </c>
      <c r="R48" s="77">
        <f t="shared" si="12"/>
        <v>0</v>
      </c>
      <c r="S48" s="77">
        <f t="shared" si="12"/>
        <v>0</v>
      </c>
    </row>
    <row r="49" spans="1:19" ht="12" x14ac:dyDescent="0.2">
      <c r="B49" s="2" t="s">
        <v>110</v>
      </c>
      <c r="C49" s="10">
        <v>68</v>
      </c>
      <c r="E49" s="11" t="s">
        <v>89</v>
      </c>
      <c r="G49" s="110" t="s">
        <v>111</v>
      </c>
      <c r="H49" s="76">
        <v>0</v>
      </c>
      <c r="I49" s="76">
        <v>0</v>
      </c>
      <c r="J49" s="76">
        <v>0</v>
      </c>
      <c r="K49" s="76">
        <v>0</v>
      </c>
      <c r="L49" s="76">
        <v>0</v>
      </c>
      <c r="M49" s="76">
        <v>0</v>
      </c>
      <c r="N49" s="76">
        <v>0</v>
      </c>
      <c r="O49" s="76">
        <v>0</v>
      </c>
      <c r="P49" s="76">
        <v>0</v>
      </c>
      <c r="Q49" s="76">
        <v>0</v>
      </c>
      <c r="R49" s="76">
        <v>0</v>
      </c>
      <c r="S49" s="76">
        <v>0</v>
      </c>
    </row>
    <row r="50" spans="1:19" ht="12" x14ac:dyDescent="0.2">
      <c r="B50" s="2" t="s">
        <v>112</v>
      </c>
      <c r="C50" s="10">
        <v>69</v>
      </c>
      <c r="E50" s="11" t="s">
        <v>11</v>
      </c>
      <c r="G50" s="110" t="s">
        <v>113</v>
      </c>
      <c r="H50" s="76">
        <v>0</v>
      </c>
      <c r="I50" s="76">
        <v>0</v>
      </c>
      <c r="J50" s="76">
        <v>0</v>
      </c>
      <c r="K50" s="76">
        <v>0</v>
      </c>
      <c r="L50" s="76">
        <v>0</v>
      </c>
      <c r="M50" s="76">
        <v>0</v>
      </c>
      <c r="N50" s="76">
        <v>0</v>
      </c>
      <c r="O50" s="76">
        <v>0</v>
      </c>
      <c r="P50" s="76">
        <v>0</v>
      </c>
      <c r="Q50" s="76">
        <v>0</v>
      </c>
      <c r="R50" s="76">
        <v>0</v>
      </c>
      <c r="S50" s="76">
        <v>0</v>
      </c>
    </row>
    <row r="51" spans="1:19" x14ac:dyDescent="0.2">
      <c r="B51" s="2" t="s">
        <v>114</v>
      </c>
      <c r="G51" s="110" t="s">
        <v>115</v>
      </c>
      <c r="H51" s="77">
        <f>H48+H49+H50</f>
        <v>-97.125999999999991</v>
      </c>
      <c r="I51" s="77">
        <f t="shared" ref="I51:S51" si="13">I48+I49+I50</f>
        <v>-92.640999999999991</v>
      </c>
      <c r="J51" s="77">
        <f t="shared" si="13"/>
        <v>-26.369000000000003</v>
      </c>
      <c r="K51" s="77">
        <f t="shared" si="13"/>
        <v>10.671999999999997</v>
      </c>
      <c r="L51" s="77">
        <f t="shared" si="13"/>
        <v>-102.21699999999998</v>
      </c>
      <c r="M51" s="77">
        <f t="shared" si="13"/>
        <v>-119.26700000000001</v>
      </c>
      <c r="N51" s="77">
        <f t="shared" si="13"/>
        <v>-109</v>
      </c>
      <c r="O51" s="77">
        <f t="shared" si="13"/>
        <v>-72</v>
      </c>
      <c r="P51" s="77">
        <f t="shared" si="13"/>
        <v>-3</v>
      </c>
      <c r="Q51" s="77">
        <f t="shared" si="13"/>
        <v>0</v>
      </c>
      <c r="R51" s="77">
        <v>0</v>
      </c>
      <c r="S51" s="77">
        <f t="shared" si="13"/>
        <v>0</v>
      </c>
    </row>
    <row r="52" spans="1:19" x14ac:dyDescent="0.2">
      <c r="A52" s="24"/>
      <c r="B52" s="2" t="s">
        <v>370</v>
      </c>
      <c r="C52" s="83" t="s">
        <v>371</v>
      </c>
      <c r="D52" s="25"/>
      <c r="E52" s="26"/>
      <c r="F52" s="24"/>
      <c r="G52" s="440" t="s">
        <v>116</v>
      </c>
      <c r="H52" s="85">
        <f>H30-H51</f>
        <v>9.9999999999056399E-4</v>
      </c>
      <c r="I52" s="85">
        <f t="shared" ref="I52:S52" si="14">I30-I51</f>
        <v>9.9999999999056399E-4</v>
      </c>
      <c r="J52" s="85">
        <f t="shared" si="14"/>
        <v>0</v>
      </c>
      <c r="K52" s="85">
        <f t="shared" si="14"/>
        <v>0</v>
      </c>
      <c r="L52" s="85">
        <f t="shared" si="14"/>
        <v>9.9999999999056399E-4</v>
      </c>
      <c r="M52" s="85">
        <f t="shared" si="14"/>
        <v>0</v>
      </c>
      <c r="N52" s="85">
        <f t="shared" si="14"/>
        <v>0</v>
      </c>
      <c r="O52" s="85">
        <f t="shared" si="14"/>
        <v>0</v>
      </c>
      <c r="P52" s="85">
        <f t="shared" si="14"/>
        <v>0</v>
      </c>
      <c r="Q52" s="85">
        <f t="shared" si="14"/>
        <v>0</v>
      </c>
      <c r="R52" s="85">
        <f t="shared" si="14"/>
        <v>0</v>
      </c>
      <c r="S52" s="85">
        <f t="shared" si="14"/>
        <v>0</v>
      </c>
    </row>
    <row r="53" spans="1:19" x14ac:dyDescent="0.2">
      <c r="G53" s="27" t="s">
        <v>117</v>
      </c>
    </row>
    <row r="54" spans="1:19" ht="12" x14ac:dyDescent="0.2">
      <c r="C54" s="10">
        <v>90</v>
      </c>
      <c r="E54" s="11" t="s">
        <v>11</v>
      </c>
      <c r="G54" s="27" t="s">
        <v>118</v>
      </c>
      <c r="H54" s="76">
        <v>1</v>
      </c>
      <c r="I54" s="76">
        <v>1</v>
      </c>
      <c r="J54" s="76">
        <v>1</v>
      </c>
      <c r="K54" s="76">
        <v>1</v>
      </c>
      <c r="L54" s="76">
        <v>1</v>
      </c>
      <c r="M54" s="76">
        <v>1</v>
      </c>
      <c r="N54" s="76">
        <v>1</v>
      </c>
      <c r="O54" s="76">
        <v>1</v>
      </c>
      <c r="P54" s="76">
        <v>1</v>
      </c>
      <c r="Q54" s="76">
        <v>1</v>
      </c>
      <c r="R54" s="76">
        <v>1</v>
      </c>
      <c r="S54" s="76">
        <v>1</v>
      </c>
    </row>
    <row r="55" spans="1:19" ht="12" x14ac:dyDescent="0.2">
      <c r="E55" s="11" t="s">
        <v>11</v>
      </c>
      <c r="G55" s="27" t="s">
        <v>119</v>
      </c>
      <c r="H55" s="76"/>
      <c r="I55" s="76"/>
      <c r="J55" s="76"/>
      <c r="K55" s="76"/>
      <c r="L55" s="88"/>
      <c r="M55" s="88"/>
      <c r="N55" s="88"/>
      <c r="O55" s="88"/>
      <c r="P55" s="88"/>
      <c r="Q55" s="88"/>
      <c r="R55" s="88"/>
      <c r="S55" s="88"/>
    </row>
    <row r="57" spans="1:19" x14ac:dyDescent="0.2">
      <c r="D57" s="29" t="s">
        <v>120</v>
      </c>
      <c r="E57" s="30" t="s">
        <v>3</v>
      </c>
      <c r="F57" s="9"/>
      <c r="G57" s="94" t="s">
        <v>121</v>
      </c>
      <c r="H57" s="87">
        <f>H32</f>
        <v>2011</v>
      </c>
      <c r="I57" s="87">
        <f t="shared" ref="I57:S57" si="15">I32</f>
        <v>2012</v>
      </c>
      <c r="J57" s="87">
        <f t="shared" si="15"/>
        <v>2013</v>
      </c>
      <c r="K57" s="87">
        <f t="shared" si="15"/>
        <v>2014</v>
      </c>
      <c r="L57" s="87">
        <f t="shared" si="15"/>
        <v>2015</v>
      </c>
      <c r="M57" s="87">
        <f t="shared" si="15"/>
        <v>2016</v>
      </c>
      <c r="N57" s="87">
        <f t="shared" si="15"/>
        <v>2017</v>
      </c>
      <c r="O57" s="87">
        <f t="shared" si="15"/>
        <v>2018</v>
      </c>
      <c r="P57" s="87">
        <f t="shared" si="15"/>
        <v>2019</v>
      </c>
      <c r="Q57" s="87">
        <f t="shared" si="15"/>
        <v>2020</v>
      </c>
      <c r="R57" s="87">
        <f t="shared" si="15"/>
        <v>2021</v>
      </c>
      <c r="S57" s="87">
        <f t="shared" si="15"/>
        <v>2022</v>
      </c>
    </row>
    <row r="58" spans="1:19" ht="11.25" customHeight="1" x14ac:dyDescent="0.2">
      <c r="B58" s="31" t="s">
        <v>122</v>
      </c>
      <c r="C58" s="8" t="s">
        <v>123</v>
      </c>
      <c r="D58" s="32" t="s">
        <v>124</v>
      </c>
      <c r="E58" s="11" t="s">
        <v>89</v>
      </c>
      <c r="F58" s="12"/>
      <c r="G58" s="103" t="s">
        <v>125</v>
      </c>
      <c r="H58" s="76">
        <v>0</v>
      </c>
      <c r="I58" s="76">
        <v>0</v>
      </c>
      <c r="J58" s="76">
        <v>-173.66200000000001</v>
      </c>
      <c r="K58" s="76">
        <v>-12.715999999999999</v>
      </c>
      <c r="L58" s="76">
        <v>-7.7759999999999998</v>
      </c>
      <c r="M58" s="76">
        <v>-5.6950000000000003</v>
      </c>
      <c r="N58" s="76">
        <v>0</v>
      </c>
      <c r="O58" s="76">
        <v>0</v>
      </c>
      <c r="P58" s="76">
        <v>0</v>
      </c>
      <c r="Q58" s="76">
        <v>0</v>
      </c>
      <c r="R58" s="76">
        <v>0</v>
      </c>
      <c r="S58" s="76">
        <v>0</v>
      </c>
    </row>
    <row r="59" spans="1:19" ht="12" x14ac:dyDescent="0.2">
      <c r="B59" s="31" t="s">
        <v>126</v>
      </c>
      <c r="C59" s="33" t="s">
        <v>127</v>
      </c>
      <c r="D59" s="32" t="s">
        <v>128</v>
      </c>
      <c r="E59" s="11" t="s">
        <v>11</v>
      </c>
      <c r="F59" s="12"/>
      <c r="G59" s="158" t="s">
        <v>129</v>
      </c>
      <c r="H59" s="76">
        <v>0</v>
      </c>
      <c r="I59" s="76">
        <v>0</v>
      </c>
      <c r="J59" s="76">
        <v>0</v>
      </c>
      <c r="K59" s="76">
        <v>0</v>
      </c>
      <c r="L59" s="76">
        <v>0</v>
      </c>
      <c r="M59" s="76">
        <v>0</v>
      </c>
      <c r="N59" s="76">
        <v>0</v>
      </c>
      <c r="O59" s="76">
        <v>0</v>
      </c>
      <c r="P59" s="76">
        <v>0</v>
      </c>
      <c r="Q59" s="76">
        <v>0</v>
      </c>
      <c r="R59" s="76">
        <v>0</v>
      </c>
      <c r="S59" s="76">
        <v>0</v>
      </c>
    </row>
    <row r="60" spans="1:19" ht="12" x14ac:dyDescent="0.2">
      <c r="B60" s="31" t="s">
        <v>130</v>
      </c>
      <c r="C60" s="34" t="s">
        <v>372</v>
      </c>
      <c r="D60" s="32" t="s">
        <v>131</v>
      </c>
      <c r="E60" s="11" t="s">
        <v>11</v>
      </c>
      <c r="F60" s="12"/>
      <c r="G60" s="110" t="s">
        <v>132</v>
      </c>
      <c r="H60" s="76">
        <v>0</v>
      </c>
      <c r="I60" s="76">
        <v>0</v>
      </c>
      <c r="J60" s="76">
        <v>199.999</v>
      </c>
      <c r="K60" s="76">
        <v>0</v>
      </c>
      <c r="L60" s="76">
        <v>0</v>
      </c>
      <c r="M60" s="76">
        <v>0</v>
      </c>
      <c r="N60" s="76">
        <v>0</v>
      </c>
      <c r="O60" s="76">
        <v>0</v>
      </c>
      <c r="P60" s="76">
        <v>0</v>
      </c>
      <c r="Q60" s="76">
        <v>0</v>
      </c>
      <c r="R60" s="76">
        <v>0</v>
      </c>
      <c r="S60" s="76">
        <v>0</v>
      </c>
    </row>
    <row r="61" spans="1:19" ht="12" x14ac:dyDescent="0.2">
      <c r="B61" s="31" t="s">
        <v>133</v>
      </c>
      <c r="C61" s="34" t="s">
        <v>134</v>
      </c>
      <c r="D61" s="34" t="s">
        <v>135</v>
      </c>
      <c r="E61" s="11" t="s">
        <v>89</v>
      </c>
      <c r="F61" s="12"/>
      <c r="G61" s="110" t="s">
        <v>136</v>
      </c>
      <c r="H61" s="76">
        <v>0</v>
      </c>
      <c r="I61" s="76">
        <v>0</v>
      </c>
      <c r="J61" s="76">
        <v>0</v>
      </c>
      <c r="K61" s="76">
        <v>0</v>
      </c>
      <c r="L61" s="76">
        <v>0</v>
      </c>
      <c r="M61" s="76">
        <v>0</v>
      </c>
      <c r="N61" s="76">
        <v>0</v>
      </c>
      <c r="O61" s="76">
        <v>0</v>
      </c>
      <c r="P61" s="76">
        <v>0</v>
      </c>
      <c r="Q61" s="76">
        <v>0</v>
      </c>
      <c r="R61" s="76">
        <v>0</v>
      </c>
      <c r="S61" s="76">
        <v>0</v>
      </c>
    </row>
    <row r="62" spans="1:19" ht="12" x14ac:dyDescent="0.2">
      <c r="B62" s="31" t="s">
        <v>137</v>
      </c>
      <c r="C62" s="10">
        <v>253800</v>
      </c>
      <c r="D62" s="34" t="s">
        <v>131</v>
      </c>
      <c r="E62" s="11" t="s">
        <v>11</v>
      </c>
      <c r="F62" s="12"/>
      <c r="G62" s="110" t="s">
        <v>138</v>
      </c>
      <c r="H62" s="76">
        <v>0</v>
      </c>
      <c r="I62" s="76">
        <v>0</v>
      </c>
      <c r="J62" s="76">
        <v>0</v>
      </c>
      <c r="K62" s="76">
        <v>0</v>
      </c>
      <c r="L62" s="76">
        <v>0</v>
      </c>
      <c r="M62" s="76">
        <v>0</v>
      </c>
      <c r="N62" s="76">
        <v>0</v>
      </c>
      <c r="O62" s="76">
        <v>0</v>
      </c>
      <c r="P62" s="76">
        <v>0</v>
      </c>
      <c r="Q62" s="76">
        <v>0</v>
      </c>
      <c r="R62" s="76">
        <v>0</v>
      </c>
      <c r="S62" s="76">
        <v>0</v>
      </c>
    </row>
    <row r="63" spans="1:19" ht="12" x14ac:dyDescent="0.2">
      <c r="B63" s="31" t="s">
        <v>139</v>
      </c>
      <c r="C63" s="10">
        <v>150</v>
      </c>
      <c r="D63" s="34" t="s">
        <v>135</v>
      </c>
      <c r="E63" s="11" t="s">
        <v>89</v>
      </c>
      <c r="F63" s="12"/>
      <c r="G63" s="110" t="s">
        <v>140</v>
      </c>
      <c r="H63" s="76">
        <v>0</v>
      </c>
      <c r="I63" s="76">
        <v>0</v>
      </c>
      <c r="J63" s="76">
        <v>0</v>
      </c>
      <c r="K63" s="76">
        <v>0</v>
      </c>
      <c r="L63" s="76">
        <v>0</v>
      </c>
      <c r="M63" s="76">
        <v>0</v>
      </c>
      <c r="N63" s="76">
        <v>0</v>
      </c>
      <c r="O63" s="76">
        <v>0</v>
      </c>
      <c r="P63" s="76">
        <v>0</v>
      </c>
      <c r="Q63" s="76">
        <v>0</v>
      </c>
      <c r="R63" s="76">
        <v>0</v>
      </c>
      <c r="S63" s="76">
        <v>0</v>
      </c>
    </row>
    <row r="64" spans="1:19" ht="12" x14ac:dyDescent="0.2">
      <c r="B64" s="31" t="s">
        <v>141</v>
      </c>
      <c r="C64" s="34" t="s">
        <v>142</v>
      </c>
      <c r="D64" s="34" t="s">
        <v>131</v>
      </c>
      <c r="E64" s="11" t="s">
        <v>11</v>
      </c>
      <c r="F64" s="12"/>
      <c r="G64" s="110" t="s">
        <v>143</v>
      </c>
      <c r="H64" s="76">
        <v>0</v>
      </c>
      <c r="I64" s="76">
        <v>0</v>
      </c>
      <c r="J64" s="76">
        <v>0</v>
      </c>
      <c r="K64" s="76">
        <v>0</v>
      </c>
      <c r="L64" s="76">
        <v>0</v>
      </c>
      <c r="M64" s="76">
        <v>0</v>
      </c>
      <c r="N64" s="76">
        <v>0</v>
      </c>
      <c r="O64" s="76">
        <v>0</v>
      </c>
      <c r="P64" s="76">
        <v>0</v>
      </c>
      <c r="Q64" s="76">
        <v>0</v>
      </c>
      <c r="R64" s="76">
        <v>0</v>
      </c>
      <c r="S64" s="76">
        <v>0</v>
      </c>
    </row>
    <row r="65" spans="2:19" ht="12" x14ac:dyDescent="0.2">
      <c r="B65" s="31" t="s">
        <v>144</v>
      </c>
      <c r="C65" s="8" t="s">
        <v>373</v>
      </c>
      <c r="D65" s="34" t="s">
        <v>135</v>
      </c>
      <c r="E65" s="11" t="s">
        <v>89</v>
      </c>
      <c r="F65" s="12"/>
      <c r="G65" s="110" t="s">
        <v>145</v>
      </c>
      <c r="H65" s="76">
        <v>0</v>
      </c>
      <c r="I65" s="76">
        <v>0</v>
      </c>
      <c r="J65" s="76">
        <v>0</v>
      </c>
      <c r="K65" s="76">
        <v>0</v>
      </c>
      <c r="L65" s="76">
        <v>0</v>
      </c>
      <c r="M65" s="76">
        <v>0</v>
      </c>
      <c r="N65" s="76">
        <v>0</v>
      </c>
      <c r="O65" s="76">
        <v>0</v>
      </c>
      <c r="P65" s="76">
        <v>0</v>
      </c>
      <c r="Q65" s="76">
        <v>0</v>
      </c>
      <c r="R65" s="76">
        <v>0</v>
      </c>
      <c r="S65" s="76">
        <v>0</v>
      </c>
    </row>
    <row r="66" spans="2:19" ht="12" x14ac:dyDescent="0.2">
      <c r="B66" s="31" t="s">
        <v>146</v>
      </c>
      <c r="C66" s="8" t="s">
        <v>373</v>
      </c>
      <c r="D66" s="34" t="s">
        <v>131</v>
      </c>
      <c r="E66" s="11" t="s">
        <v>11</v>
      </c>
      <c r="F66" s="12"/>
      <c r="G66" s="110" t="s">
        <v>147</v>
      </c>
      <c r="H66" s="76">
        <v>0</v>
      </c>
      <c r="I66" s="76">
        <v>0</v>
      </c>
      <c r="J66" s="76">
        <v>0</v>
      </c>
      <c r="K66" s="76">
        <v>0</v>
      </c>
      <c r="L66" s="76">
        <v>0</v>
      </c>
      <c r="M66" s="76">
        <v>0</v>
      </c>
      <c r="N66" s="76">
        <v>0</v>
      </c>
      <c r="O66" s="76">
        <v>0</v>
      </c>
      <c r="P66" s="76">
        <v>0</v>
      </c>
      <c r="Q66" s="76">
        <v>0</v>
      </c>
      <c r="R66" s="76">
        <v>0</v>
      </c>
      <c r="S66" s="76">
        <v>0</v>
      </c>
    </row>
    <row r="67" spans="2:19" ht="12" x14ac:dyDescent="0.2">
      <c r="B67" s="31" t="s">
        <v>148</v>
      </c>
      <c r="C67" s="8" t="s">
        <v>149</v>
      </c>
      <c r="D67" s="34" t="s">
        <v>135</v>
      </c>
      <c r="E67" s="11" t="s">
        <v>89</v>
      </c>
      <c r="F67" s="12"/>
      <c r="G67" s="110" t="s">
        <v>150</v>
      </c>
      <c r="H67" s="76">
        <v>0</v>
      </c>
      <c r="I67" s="76">
        <v>0</v>
      </c>
      <c r="J67" s="76">
        <v>0</v>
      </c>
      <c r="K67" s="76">
        <v>0</v>
      </c>
      <c r="L67" s="76">
        <v>0</v>
      </c>
      <c r="M67" s="76">
        <v>0</v>
      </c>
      <c r="N67" s="76">
        <v>0</v>
      </c>
      <c r="O67" s="76">
        <v>0</v>
      </c>
      <c r="P67" s="76">
        <v>0</v>
      </c>
      <c r="Q67" s="76">
        <v>0</v>
      </c>
      <c r="R67" s="76">
        <v>0</v>
      </c>
      <c r="S67" s="76">
        <v>0</v>
      </c>
    </row>
    <row r="68" spans="2:19" ht="12" x14ac:dyDescent="0.2">
      <c r="B68" s="31" t="s">
        <v>151</v>
      </c>
      <c r="C68" s="8" t="s">
        <v>149</v>
      </c>
      <c r="D68" s="34" t="s">
        <v>131</v>
      </c>
      <c r="E68" s="11" t="s">
        <v>11</v>
      </c>
      <c r="F68" s="12"/>
      <c r="G68" s="110" t="s">
        <v>152</v>
      </c>
      <c r="H68" s="76">
        <v>0</v>
      </c>
      <c r="I68" s="76">
        <v>0</v>
      </c>
      <c r="J68" s="76">
        <v>0</v>
      </c>
      <c r="K68" s="76">
        <v>0</v>
      </c>
      <c r="L68" s="76">
        <v>0</v>
      </c>
      <c r="M68" s="76">
        <v>0</v>
      </c>
      <c r="N68" s="76">
        <v>0</v>
      </c>
      <c r="O68" s="76">
        <v>0</v>
      </c>
      <c r="P68" s="76">
        <v>0</v>
      </c>
      <c r="Q68" s="76">
        <v>0</v>
      </c>
      <c r="R68" s="76">
        <v>0</v>
      </c>
      <c r="S68" s="76">
        <v>0</v>
      </c>
    </row>
    <row r="69" spans="2:19" ht="12" x14ac:dyDescent="0.2">
      <c r="B69" s="31" t="s">
        <v>153</v>
      </c>
      <c r="C69" s="34" t="s">
        <v>142</v>
      </c>
      <c r="D69" s="34" t="s">
        <v>131</v>
      </c>
      <c r="E69" s="11" t="s">
        <v>11</v>
      </c>
      <c r="F69" s="12"/>
      <c r="G69" s="110" t="s">
        <v>154</v>
      </c>
      <c r="H69" s="76">
        <v>0</v>
      </c>
      <c r="I69" s="76">
        <v>0</v>
      </c>
      <c r="J69" s="76">
        <v>0</v>
      </c>
      <c r="K69" s="76">
        <v>0</v>
      </c>
      <c r="L69" s="76">
        <v>0</v>
      </c>
      <c r="M69" s="76">
        <v>0</v>
      </c>
      <c r="N69" s="76">
        <v>0</v>
      </c>
      <c r="O69" s="76">
        <v>0</v>
      </c>
      <c r="P69" s="76">
        <v>0</v>
      </c>
      <c r="Q69" s="76">
        <v>0</v>
      </c>
      <c r="R69" s="76">
        <v>0</v>
      </c>
      <c r="S69" s="76">
        <v>0</v>
      </c>
    </row>
    <row r="70" spans="2:19" ht="12" x14ac:dyDescent="0.2">
      <c r="B70" s="31" t="s">
        <v>155</v>
      </c>
      <c r="C70" s="35" t="s">
        <v>156</v>
      </c>
      <c r="D70" s="8"/>
      <c r="E70" s="11" t="s">
        <v>72</v>
      </c>
      <c r="F70" s="12"/>
      <c r="G70" s="110" t="s">
        <v>107</v>
      </c>
      <c r="H70" s="76">
        <v>2.5000000000000001E-2</v>
      </c>
      <c r="I70" s="76">
        <v>4.0000000000000001E-3</v>
      </c>
      <c r="J70" s="76">
        <v>2E-3</v>
      </c>
      <c r="K70" s="76">
        <v>0</v>
      </c>
      <c r="L70" s="76">
        <v>1.2999999999999999E-2</v>
      </c>
      <c r="M70" s="76">
        <v>0</v>
      </c>
      <c r="N70" s="76">
        <v>0</v>
      </c>
      <c r="O70" s="76">
        <v>0</v>
      </c>
      <c r="P70" s="76">
        <v>0</v>
      </c>
      <c r="Q70" s="76">
        <v>0</v>
      </c>
      <c r="R70" s="76">
        <v>0</v>
      </c>
      <c r="S70" s="76">
        <v>0</v>
      </c>
    </row>
    <row r="71" spans="2:19" x14ac:dyDescent="0.2">
      <c r="B71" s="31" t="s">
        <v>157</v>
      </c>
      <c r="D71" s="8"/>
      <c r="E71" s="12"/>
      <c r="F71" s="12"/>
      <c r="G71" s="100" t="s">
        <v>158</v>
      </c>
      <c r="H71" s="77">
        <f t="shared" ref="H71:S71" si="16">SUM(H58:H70)</f>
        <v>2.5000000000000001E-2</v>
      </c>
      <c r="I71" s="77">
        <f t="shared" si="16"/>
        <v>4.0000000000000001E-3</v>
      </c>
      <c r="J71" s="77">
        <f t="shared" si="16"/>
        <v>26.338999999999988</v>
      </c>
      <c r="K71" s="77">
        <f t="shared" si="16"/>
        <v>-12.715999999999999</v>
      </c>
      <c r="L71" s="77">
        <f t="shared" si="16"/>
        <v>-7.7629999999999999</v>
      </c>
      <c r="M71" s="77">
        <f t="shared" si="16"/>
        <v>-5.6950000000000003</v>
      </c>
      <c r="N71" s="77">
        <f t="shared" si="16"/>
        <v>0</v>
      </c>
      <c r="O71" s="77">
        <f t="shared" si="16"/>
        <v>0</v>
      </c>
      <c r="P71" s="77">
        <f t="shared" si="16"/>
        <v>0</v>
      </c>
      <c r="Q71" s="77">
        <f t="shared" si="16"/>
        <v>0</v>
      </c>
      <c r="R71" s="77">
        <f t="shared" si="16"/>
        <v>0</v>
      </c>
      <c r="S71" s="77">
        <f t="shared" si="16"/>
        <v>0</v>
      </c>
    </row>
    <row r="72" spans="2:19" x14ac:dyDescent="0.2">
      <c r="D72" s="8"/>
    </row>
    <row r="73" spans="2:19" x14ac:dyDescent="0.2">
      <c r="D73" s="29" t="s">
        <v>120</v>
      </c>
      <c r="E73" s="30" t="s">
        <v>3</v>
      </c>
      <c r="F73" s="9"/>
      <c r="G73" s="94" t="s">
        <v>159</v>
      </c>
      <c r="H73" s="87">
        <f t="shared" ref="H73:S73" si="17">H57</f>
        <v>2011</v>
      </c>
      <c r="I73" s="87">
        <f t="shared" si="17"/>
        <v>2012</v>
      </c>
      <c r="J73" s="87">
        <f t="shared" si="17"/>
        <v>2013</v>
      </c>
      <c r="K73" s="87">
        <f t="shared" si="17"/>
        <v>2014</v>
      </c>
      <c r="L73" s="87">
        <f t="shared" si="17"/>
        <v>2015</v>
      </c>
      <c r="M73" s="87">
        <f t="shared" si="17"/>
        <v>2016</v>
      </c>
      <c r="N73" s="87">
        <f t="shared" si="17"/>
        <v>2017</v>
      </c>
      <c r="O73" s="87">
        <f t="shared" si="17"/>
        <v>2018</v>
      </c>
      <c r="P73" s="87">
        <f t="shared" si="17"/>
        <v>2019</v>
      </c>
      <c r="Q73" s="87">
        <f t="shared" si="17"/>
        <v>2020</v>
      </c>
      <c r="R73" s="87">
        <f t="shared" si="17"/>
        <v>2021</v>
      </c>
      <c r="S73" s="87">
        <f t="shared" si="17"/>
        <v>2022</v>
      </c>
    </row>
    <row r="74" spans="2:19" ht="12" x14ac:dyDescent="0.2">
      <c r="B74" s="2" t="s">
        <v>160</v>
      </c>
      <c r="C74" s="34" t="s">
        <v>161</v>
      </c>
      <c r="D74" s="34" t="s">
        <v>128</v>
      </c>
      <c r="E74" s="11" t="s">
        <v>11</v>
      </c>
      <c r="G74" s="103" t="s">
        <v>162</v>
      </c>
      <c r="H74" s="76">
        <v>0</v>
      </c>
      <c r="I74" s="76">
        <v>0</v>
      </c>
      <c r="J74" s="76">
        <v>0</v>
      </c>
      <c r="K74" s="76">
        <v>0</v>
      </c>
      <c r="L74" s="76">
        <v>0</v>
      </c>
      <c r="M74" s="76">
        <v>0</v>
      </c>
      <c r="N74" s="76">
        <v>0</v>
      </c>
      <c r="O74" s="76">
        <v>0</v>
      </c>
      <c r="P74" s="76">
        <v>0</v>
      </c>
      <c r="Q74" s="76">
        <v>0</v>
      </c>
      <c r="R74" s="76">
        <v>0</v>
      </c>
      <c r="S74" s="76">
        <v>0</v>
      </c>
    </row>
    <row r="75" spans="2:19" ht="12" x14ac:dyDescent="0.2">
      <c r="B75" s="2" t="s">
        <v>163</v>
      </c>
      <c r="C75" s="34" t="s">
        <v>161</v>
      </c>
      <c r="D75" s="34" t="s">
        <v>124</v>
      </c>
      <c r="E75" s="11" t="s">
        <v>89</v>
      </c>
      <c r="F75" s="12"/>
      <c r="G75" s="110" t="s">
        <v>164</v>
      </c>
      <c r="H75" s="76">
        <v>0</v>
      </c>
      <c r="I75" s="76">
        <v>0</v>
      </c>
      <c r="J75" s="76">
        <v>0</v>
      </c>
      <c r="K75" s="76">
        <v>0</v>
      </c>
      <c r="L75" s="76">
        <v>0</v>
      </c>
      <c r="M75" s="76">
        <v>0</v>
      </c>
      <c r="N75" s="76">
        <v>0</v>
      </c>
      <c r="O75" s="76">
        <v>0</v>
      </c>
      <c r="P75" s="76">
        <v>0</v>
      </c>
      <c r="Q75" s="76">
        <v>0</v>
      </c>
      <c r="R75" s="76">
        <v>0</v>
      </c>
      <c r="S75" s="76">
        <v>0</v>
      </c>
    </row>
    <row r="76" spans="2:19" ht="12" x14ac:dyDescent="0.2">
      <c r="B76" s="2" t="s">
        <v>165</v>
      </c>
      <c r="C76" s="34" t="s">
        <v>166</v>
      </c>
      <c r="D76" s="34" t="s">
        <v>131</v>
      </c>
      <c r="E76" s="11" t="s">
        <v>11</v>
      </c>
      <c r="G76" s="110" t="s">
        <v>167</v>
      </c>
      <c r="H76" s="76">
        <v>0</v>
      </c>
      <c r="I76" s="76">
        <v>0</v>
      </c>
      <c r="J76" s="76">
        <v>0</v>
      </c>
      <c r="K76" s="76">
        <v>0</v>
      </c>
      <c r="L76" s="76">
        <v>0</v>
      </c>
      <c r="M76" s="76">
        <v>0</v>
      </c>
      <c r="N76" s="76">
        <v>0</v>
      </c>
      <c r="O76" s="76">
        <v>0</v>
      </c>
      <c r="P76" s="76">
        <v>0</v>
      </c>
      <c r="Q76" s="76">
        <v>0</v>
      </c>
      <c r="R76" s="76">
        <v>0</v>
      </c>
      <c r="S76" s="76">
        <v>0</v>
      </c>
    </row>
    <row r="77" spans="2:19" ht="12" x14ac:dyDescent="0.2">
      <c r="B77" s="2" t="s">
        <v>168</v>
      </c>
      <c r="C77" s="34" t="s">
        <v>166</v>
      </c>
      <c r="D77" s="34" t="s">
        <v>135</v>
      </c>
      <c r="E77" s="11" t="s">
        <v>89</v>
      </c>
      <c r="F77" s="12"/>
      <c r="G77" s="110" t="s">
        <v>169</v>
      </c>
      <c r="H77" s="76">
        <v>0</v>
      </c>
      <c r="I77" s="76">
        <v>0</v>
      </c>
      <c r="J77" s="76">
        <v>0</v>
      </c>
      <c r="K77" s="76">
        <v>0</v>
      </c>
      <c r="L77" s="76">
        <v>0</v>
      </c>
      <c r="M77" s="76">
        <v>0</v>
      </c>
      <c r="N77" s="76">
        <v>0</v>
      </c>
      <c r="O77" s="76">
        <v>0</v>
      </c>
      <c r="P77" s="76">
        <v>0</v>
      </c>
      <c r="Q77" s="76">
        <v>0</v>
      </c>
      <c r="R77" s="76">
        <v>0</v>
      </c>
      <c r="S77" s="76">
        <v>0</v>
      </c>
    </row>
    <row r="78" spans="2:19" ht="12" x14ac:dyDescent="0.2">
      <c r="B78" s="2" t="s">
        <v>170</v>
      </c>
      <c r="C78" s="34" t="s">
        <v>171</v>
      </c>
      <c r="D78" s="34" t="s">
        <v>135</v>
      </c>
      <c r="E78" s="11" t="s">
        <v>89</v>
      </c>
      <c r="F78" s="12"/>
      <c r="G78" s="110" t="s">
        <v>172</v>
      </c>
      <c r="H78" s="76">
        <v>0</v>
      </c>
      <c r="I78" s="76">
        <v>0</v>
      </c>
      <c r="J78" s="76">
        <v>0</v>
      </c>
      <c r="K78" s="76">
        <v>0</v>
      </c>
      <c r="L78" s="76">
        <v>0</v>
      </c>
      <c r="M78" s="76">
        <v>0</v>
      </c>
      <c r="N78" s="76">
        <v>0</v>
      </c>
      <c r="O78" s="76">
        <v>0</v>
      </c>
      <c r="P78" s="76">
        <v>0</v>
      </c>
      <c r="Q78" s="76">
        <v>0</v>
      </c>
      <c r="R78" s="76">
        <v>0</v>
      </c>
      <c r="S78" s="76">
        <v>0</v>
      </c>
    </row>
    <row r="79" spans="2:19" ht="12" x14ac:dyDescent="0.2">
      <c r="B79" s="2" t="s">
        <v>173</v>
      </c>
      <c r="C79" s="34" t="s">
        <v>174</v>
      </c>
      <c r="D79" s="34" t="s">
        <v>135</v>
      </c>
      <c r="E79" s="11" t="s">
        <v>89</v>
      </c>
      <c r="F79" s="12"/>
      <c r="G79" s="110" t="s">
        <v>175</v>
      </c>
      <c r="H79" s="76">
        <v>0</v>
      </c>
      <c r="I79" s="76">
        <v>-3.9E-2</v>
      </c>
      <c r="J79" s="76">
        <v>0</v>
      </c>
      <c r="K79" s="76">
        <v>0</v>
      </c>
      <c r="L79" s="76">
        <v>0</v>
      </c>
      <c r="M79" s="76">
        <v>0</v>
      </c>
      <c r="N79" s="76">
        <v>0</v>
      </c>
      <c r="O79" s="76">
        <v>0</v>
      </c>
      <c r="P79" s="76">
        <v>0</v>
      </c>
      <c r="Q79" s="76">
        <v>0</v>
      </c>
      <c r="R79" s="76">
        <v>0</v>
      </c>
      <c r="S79" s="76">
        <v>0</v>
      </c>
    </row>
    <row r="80" spans="2:19" ht="12" x14ac:dyDescent="0.2">
      <c r="B80" s="2" t="s">
        <v>176</v>
      </c>
      <c r="C80" s="34" t="s">
        <v>177</v>
      </c>
      <c r="D80" s="34" t="s">
        <v>135</v>
      </c>
      <c r="E80" s="11" t="s">
        <v>89</v>
      </c>
      <c r="F80" s="12"/>
      <c r="G80" s="110" t="s">
        <v>178</v>
      </c>
      <c r="H80" s="76">
        <v>0</v>
      </c>
      <c r="I80" s="76">
        <v>0</v>
      </c>
      <c r="J80" s="76">
        <v>0</v>
      </c>
      <c r="K80" s="76">
        <v>0</v>
      </c>
      <c r="L80" s="76">
        <v>0</v>
      </c>
      <c r="M80" s="76">
        <v>0</v>
      </c>
      <c r="N80" s="76">
        <v>0</v>
      </c>
      <c r="O80" s="76">
        <v>0</v>
      </c>
      <c r="P80" s="76">
        <v>0</v>
      </c>
      <c r="Q80" s="76">
        <v>0</v>
      </c>
      <c r="R80" s="76">
        <v>0</v>
      </c>
      <c r="S80" s="76">
        <v>0</v>
      </c>
    </row>
    <row r="81" spans="1:19" ht="12" x14ac:dyDescent="0.2">
      <c r="B81" s="2" t="s">
        <v>179</v>
      </c>
      <c r="C81" s="34" t="s">
        <v>52</v>
      </c>
      <c r="D81" s="34" t="s">
        <v>135</v>
      </c>
      <c r="E81" s="11" t="s">
        <v>89</v>
      </c>
      <c r="F81" s="12"/>
      <c r="G81" s="110" t="s">
        <v>180</v>
      </c>
      <c r="H81" s="76">
        <v>0</v>
      </c>
      <c r="I81" s="76">
        <v>0</v>
      </c>
      <c r="J81" s="76">
        <v>0</v>
      </c>
      <c r="K81" s="76">
        <v>0</v>
      </c>
      <c r="L81" s="76">
        <v>0</v>
      </c>
      <c r="M81" s="76">
        <v>0</v>
      </c>
      <c r="N81" s="76">
        <v>0</v>
      </c>
      <c r="O81" s="76">
        <v>0</v>
      </c>
      <c r="P81" s="76">
        <v>0</v>
      </c>
      <c r="Q81" s="76">
        <v>0</v>
      </c>
      <c r="R81" s="76">
        <v>0</v>
      </c>
      <c r="S81" s="76">
        <v>0</v>
      </c>
    </row>
    <row r="82" spans="1:19" ht="12" x14ac:dyDescent="0.2">
      <c r="B82" s="2" t="s">
        <v>181</v>
      </c>
      <c r="C82" s="34" t="s">
        <v>182</v>
      </c>
      <c r="D82" s="34" t="s">
        <v>131</v>
      </c>
      <c r="E82" s="11" t="s">
        <v>11</v>
      </c>
      <c r="G82" s="110" t="s">
        <v>183</v>
      </c>
      <c r="H82" s="76">
        <v>0</v>
      </c>
      <c r="I82" s="76">
        <v>0</v>
      </c>
      <c r="J82" s="76">
        <v>0</v>
      </c>
      <c r="K82" s="76">
        <v>0</v>
      </c>
      <c r="L82" s="76">
        <v>0</v>
      </c>
      <c r="M82" s="76">
        <v>0</v>
      </c>
      <c r="N82" s="76">
        <v>0</v>
      </c>
      <c r="O82" s="76">
        <v>0</v>
      </c>
      <c r="P82" s="76">
        <v>0</v>
      </c>
      <c r="Q82" s="76">
        <v>0</v>
      </c>
      <c r="R82" s="76">
        <v>0</v>
      </c>
      <c r="S82" s="76">
        <v>0</v>
      </c>
    </row>
    <row r="83" spans="1:19" ht="12" x14ac:dyDescent="0.2">
      <c r="B83" s="2" t="s">
        <v>184</v>
      </c>
      <c r="C83" s="34" t="s">
        <v>182</v>
      </c>
      <c r="D83" s="34" t="s">
        <v>135</v>
      </c>
      <c r="E83" s="11" t="s">
        <v>89</v>
      </c>
      <c r="F83" s="12"/>
      <c r="G83" s="110" t="s">
        <v>374</v>
      </c>
      <c r="H83" s="76">
        <v>0</v>
      </c>
      <c r="I83" s="76">
        <v>0</v>
      </c>
      <c r="J83" s="76">
        <v>0</v>
      </c>
      <c r="K83" s="76">
        <v>0</v>
      </c>
      <c r="L83" s="76">
        <v>0</v>
      </c>
      <c r="M83" s="76">
        <v>0</v>
      </c>
      <c r="N83" s="76">
        <v>0</v>
      </c>
      <c r="O83" s="76">
        <v>0</v>
      </c>
      <c r="P83" s="76">
        <v>0</v>
      </c>
      <c r="Q83" s="76">
        <v>0</v>
      </c>
      <c r="R83" s="76">
        <v>0</v>
      </c>
      <c r="S83" s="76">
        <v>0</v>
      </c>
    </row>
    <row r="84" spans="1:19" ht="12" x14ac:dyDescent="0.2">
      <c r="B84" s="2" t="s">
        <v>185</v>
      </c>
      <c r="C84" s="34" t="s">
        <v>375</v>
      </c>
      <c r="D84" s="34" t="s">
        <v>135</v>
      </c>
      <c r="E84" s="11" t="s">
        <v>89</v>
      </c>
      <c r="F84" s="12"/>
      <c r="G84" s="110" t="s">
        <v>376</v>
      </c>
      <c r="H84" s="76">
        <v>0</v>
      </c>
      <c r="I84" s="76">
        <v>0</v>
      </c>
      <c r="J84" s="76">
        <v>0</v>
      </c>
      <c r="K84" s="76">
        <v>0</v>
      </c>
      <c r="L84" s="76">
        <v>0</v>
      </c>
      <c r="M84" s="76">
        <v>0</v>
      </c>
      <c r="N84" s="76">
        <v>0</v>
      </c>
      <c r="O84" s="76">
        <v>0</v>
      </c>
      <c r="P84" s="76">
        <v>0</v>
      </c>
      <c r="Q84" s="76">
        <v>0</v>
      </c>
      <c r="R84" s="76">
        <v>0</v>
      </c>
      <c r="S84" s="76">
        <v>0</v>
      </c>
    </row>
    <row r="85" spans="1:19" ht="12" x14ac:dyDescent="0.2">
      <c r="B85" s="2" t="s">
        <v>186</v>
      </c>
      <c r="C85" s="36">
        <v>68</v>
      </c>
      <c r="D85" s="34" t="s">
        <v>135</v>
      </c>
      <c r="E85" s="11" t="s">
        <v>89</v>
      </c>
      <c r="F85" s="12"/>
      <c r="G85" s="46" t="s">
        <v>111</v>
      </c>
      <c r="H85" s="76">
        <v>0</v>
      </c>
      <c r="I85" s="76">
        <v>0</v>
      </c>
      <c r="J85" s="76">
        <v>0</v>
      </c>
      <c r="K85" s="76">
        <v>0</v>
      </c>
      <c r="L85" s="76">
        <v>0</v>
      </c>
      <c r="M85" s="76">
        <v>0</v>
      </c>
      <c r="N85" s="76">
        <v>0</v>
      </c>
      <c r="O85" s="76">
        <v>0</v>
      </c>
      <c r="P85" s="76">
        <v>0</v>
      </c>
      <c r="Q85" s="76">
        <v>0</v>
      </c>
      <c r="R85" s="76">
        <v>0</v>
      </c>
      <c r="S85" s="76">
        <v>0</v>
      </c>
    </row>
    <row r="86" spans="1:19" x14ac:dyDescent="0.2">
      <c r="B86" s="2" t="s">
        <v>377</v>
      </c>
      <c r="G86" s="46" t="s">
        <v>158</v>
      </c>
      <c r="H86" s="77">
        <f t="shared" ref="H86:S86" si="18">SUM(H74:H85)</f>
        <v>0</v>
      </c>
      <c r="I86" s="77">
        <f t="shared" si="18"/>
        <v>-3.9E-2</v>
      </c>
      <c r="J86" s="77">
        <f t="shared" si="18"/>
        <v>0</v>
      </c>
      <c r="K86" s="77">
        <f t="shared" si="18"/>
        <v>0</v>
      </c>
      <c r="L86" s="77">
        <f t="shared" si="18"/>
        <v>0</v>
      </c>
      <c r="M86" s="77">
        <f t="shared" si="18"/>
        <v>0</v>
      </c>
      <c r="N86" s="77">
        <f t="shared" si="18"/>
        <v>0</v>
      </c>
      <c r="O86" s="77">
        <f t="shared" si="18"/>
        <v>0</v>
      </c>
      <c r="P86" s="77">
        <f t="shared" si="18"/>
        <v>0</v>
      </c>
      <c r="Q86" s="77">
        <f t="shared" si="18"/>
        <v>0</v>
      </c>
      <c r="R86" s="77">
        <f t="shared" si="18"/>
        <v>0</v>
      </c>
      <c r="S86" s="77">
        <f t="shared" si="18"/>
        <v>0</v>
      </c>
    </row>
    <row r="87" spans="1:19" x14ac:dyDescent="0.2">
      <c r="B87" s="2" t="s">
        <v>378</v>
      </c>
      <c r="G87" s="89" t="s">
        <v>379</v>
      </c>
      <c r="H87" s="98"/>
      <c r="I87" s="85">
        <f t="shared" ref="I87:S87" si="19">(I14+I15)-(H14+H15-I58-I59+I45)</f>
        <v>0</v>
      </c>
      <c r="J87" s="85">
        <f t="shared" si="19"/>
        <v>9.9999999997635314E-4</v>
      </c>
      <c r="K87" s="85">
        <f t="shared" si="19"/>
        <v>-9.9999999997635314E-4</v>
      </c>
      <c r="L87" s="85">
        <f t="shared" si="19"/>
        <v>9.9999999997635314E-4</v>
      </c>
      <c r="M87" s="85">
        <f t="shared" si="19"/>
        <v>9.9999999997635314E-4</v>
      </c>
      <c r="N87" s="85">
        <f t="shared" si="19"/>
        <v>0.375</v>
      </c>
      <c r="O87" s="85">
        <f t="shared" si="19"/>
        <v>0</v>
      </c>
      <c r="P87" s="85">
        <f t="shared" si="19"/>
        <v>0</v>
      </c>
      <c r="Q87" s="85">
        <f t="shared" si="19"/>
        <v>0</v>
      </c>
      <c r="R87" s="85">
        <f t="shared" si="19"/>
        <v>0</v>
      </c>
      <c r="S87" s="85">
        <f t="shared" si="19"/>
        <v>0</v>
      </c>
    </row>
    <row r="88" spans="1:19" x14ac:dyDescent="0.2">
      <c r="B88" s="2" t="s">
        <v>380</v>
      </c>
      <c r="G88" s="89" t="s">
        <v>381</v>
      </c>
      <c r="H88" s="98"/>
      <c r="I88" s="85">
        <f>I24-(H24+(I74+I76)+(I75+I77)+(I78))</f>
        <v>0</v>
      </c>
      <c r="J88" s="85">
        <f>J24-(I24+(J74+J76)+(J75+J77)+(J78))</f>
        <v>0</v>
      </c>
      <c r="K88" s="85">
        <f>K24-(J24+(K74+K76)+(K75+K77)+(K78))</f>
        <v>0</v>
      </c>
      <c r="L88" s="85">
        <f>L24-(K24+(L74+L76)+(L75+L77)+(L78))</f>
        <v>0</v>
      </c>
      <c r="M88" s="85">
        <f>M24-(L24+(M74+M76)+(M75+M77)+(M78))</f>
        <v>0</v>
      </c>
      <c r="N88" s="85">
        <f t="shared" ref="N88:S88" si="20">N24-(M24+(N74+N76)+(N75+N77)+(N78))</f>
        <v>0</v>
      </c>
      <c r="O88" s="85">
        <f t="shared" si="20"/>
        <v>0</v>
      </c>
      <c r="P88" s="85">
        <f t="shared" si="20"/>
        <v>0</v>
      </c>
      <c r="Q88" s="85">
        <f t="shared" si="20"/>
        <v>0</v>
      </c>
      <c r="R88" s="85">
        <f t="shared" si="20"/>
        <v>0</v>
      </c>
      <c r="S88" s="85">
        <f t="shared" si="20"/>
        <v>0</v>
      </c>
    </row>
    <row r="89" spans="1:19" x14ac:dyDescent="0.2">
      <c r="B89" s="2" t="s">
        <v>382</v>
      </c>
      <c r="G89" s="89" t="s">
        <v>383</v>
      </c>
      <c r="H89" s="98"/>
      <c r="I89" s="85">
        <f t="shared" ref="I89:S89" si="21">I28-(H28+(I82+I83))</f>
        <v>0</v>
      </c>
      <c r="J89" s="85">
        <f t="shared" si="21"/>
        <v>0</v>
      </c>
      <c r="K89" s="85">
        <f t="shared" si="21"/>
        <v>0</v>
      </c>
      <c r="L89" s="85">
        <f t="shared" si="21"/>
        <v>0</v>
      </c>
      <c r="M89" s="85">
        <f t="shared" si="21"/>
        <v>0</v>
      </c>
      <c r="N89" s="85">
        <f t="shared" si="21"/>
        <v>0</v>
      </c>
      <c r="O89" s="85">
        <f t="shared" si="21"/>
        <v>0</v>
      </c>
      <c r="P89" s="85">
        <f t="shared" si="21"/>
        <v>0</v>
      </c>
      <c r="Q89" s="85">
        <f t="shared" si="21"/>
        <v>0</v>
      </c>
      <c r="R89" s="85">
        <f t="shared" si="21"/>
        <v>0</v>
      </c>
      <c r="S89" s="85">
        <f t="shared" si="21"/>
        <v>0</v>
      </c>
    </row>
    <row r="90" spans="1:19" x14ac:dyDescent="0.2">
      <c r="B90" s="2" t="s">
        <v>384</v>
      </c>
      <c r="G90" s="89" t="s">
        <v>385</v>
      </c>
      <c r="H90" s="98"/>
      <c r="I90" s="85">
        <f t="shared" ref="I90:S90" si="22">I29-(H29+H30)-I84</f>
        <v>0</v>
      </c>
      <c r="J90" s="85">
        <f t="shared" si="22"/>
        <v>0</v>
      </c>
      <c r="K90" s="85">
        <f t="shared" si="22"/>
        <v>0</v>
      </c>
      <c r="L90" s="85">
        <f t="shared" si="22"/>
        <v>0</v>
      </c>
      <c r="M90" s="85">
        <f t="shared" si="22"/>
        <v>0</v>
      </c>
      <c r="N90" s="85">
        <f t="shared" si="22"/>
        <v>0.39699999999999136</v>
      </c>
      <c r="O90" s="85">
        <f t="shared" si="22"/>
        <v>0</v>
      </c>
      <c r="P90" s="85">
        <f t="shared" si="22"/>
        <v>0</v>
      </c>
      <c r="Q90" s="85">
        <f t="shared" si="22"/>
        <v>0</v>
      </c>
      <c r="R90" s="85">
        <f t="shared" si="22"/>
        <v>0</v>
      </c>
      <c r="S90" s="85">
        <f t="shared" si="22"/>
        <v>0</v>
      </c>
    </row>
    <row r="91" spans="1:19" x14ac:dyDescent="0.2">
      <c r="L91" s="93">
        <f>L90-L87</f>
        <v>-9.9999999997635314E-4</v>
      </c>
    </row>
    <row r="92" spans="1:19" x14ac:dyDescent="0.2">
      <c r="A92" s="13" t="s">
        <v>0</v>
      </c>
      <c r="D92" s="753" t="s">
        <v>187</v>
      </c>
      <c r="E92" s="754"/>
      <c r="G92" s="94" t="s">
        <v>386</v>
      </c>
      <c r="H92" s="87">
        <f>H73</f>
        <v>2011</v>
      </c>
      <c r="I92" s="87">
        <f t="shared" ref="I92:S92" si="23">I73</f>
        <v>2012</v>
      </c>
      <c r="J92" s="87">
        <f t="shared" si="23"/>
        <v>2013</v>
      </c>
      <c r="K92" s="87">
        <f t="shared" si="23"/>
        <v>2014</v>
      </c>
      <c r="L92" s="87">
        <f t="shared" si="23"/>
        <v>2015</v>
      </c>
      <c r="M92" s="87">
        <f t="shared" si="23"/>
        <v>2016</v>
      </c>
      <c r="N92" s="87">
        <f t="shared" si="23"/>
        <v>2017</v>
      </c>
      <c r="O92" s="87">
        <f t="shared" si="23"/>
        <v>2018</v>
      </c>
      <c r="P92" s="87">
        <f t="shared" si="23"/>
        <v>2019</v>
      </c>
      <c r="Q92" s="87">
        <f t="shared" si="23"/>
        <v>2020</v>
      </c>
      <c r="R92" s="87">
        <f t="shared" si="23"/>
        <v>2021</v>
      </c>
      <c r="S92" s="87">
        <f t="shared" si="23"/>
        <v>2022</v>
      </c>
    </row>
    <row r="93" spans="1:19" x14ac:dyDescent="0.2">
      <c r="B93" s="2" t="s">
        <v>387</v>
      </c>
      <c r="C93" s="10" t="s">
        <v>388</v>
      </c>
      <c r="G93" s="95" t="s">
        <v>389</v>
      </c>
      <c r="H93" s="96">
        <f>H5+H11+H12+H13</f>
        <v>4.9459999999999997</v>
      </c>
      <c r="I93" s="96">
        <f>I5+I11+I12+I13</f>
        <v>6.0019999999999998</v>
      </c>
      <c r="J93" s="96">
        <f t="shared" ref="J93:S93" si="24">J5+J11+J12+J13</f>
        <v>32.103000000000002</v>
      </c>
      <c r="K93" s="96">
        <f t="shared" si="24"/>
        <v>14.92</v>
      </c>
      <c r="L93" s="96">
        <f t="shared" si="24"/>
        <v>11.862</v>
      </c>
      <c r="M93" s="96">
        <f t="shared" si="24"/>
        <v>6.7649999999999997</v>
      </c>
      <c r="N93" s="96">
        <f t="shared" si="24"/>
        <v>6</v>
      </c>
      <c r="O93" s="96">
        <f t="shared" si="24"/>
        <v>6</v>
      </c>
      <c r="P93" s="96">
        <f t="shared" si="24"/>
        <v>6</v>
      </c>
      <c r="Q93" s="96">
        <f t="shared" si="24"/>
        <v>6</v>
      </c>
      <c r="R93" s="96">
        <f t="shared" si="24"/>
        <v>6</v>
      </c>
      <c r="S93" s="96">
        <f t="shared" si="24"/>
        <v>6</v>
      </c>
    </row>
    <row r="94" spans="1:19" x14ac:dyDescent="0.2">
      <c r="B94" s="2" t="s">
        <v>390</v>
      </c>
      <c r="G94" s="97" t="s">
        <v>391</v>
      </c>
      <c r="H94" s="98"/>
      <c r="I94" s="96">
        <f>I93-H93</f>
        <v>1.056</v>
      </c>
      <c r="J94" s="96">
        <f t="shared" ref="J94:S94" si="25">J93-I93</f>
        <v>26.101000000000003</v>
      </c>
      <c r="K94" s="96">
        <f t="shared" si="25"/>
        <v>-17.183</v>
      </c>
      <c r="L94" s="96">
        <f t="shared" si="25"/>
        <v>-3.0579999999999998</v>
      </c>
      <c r="M94" s="96">
        <f t="shared" si="25"/>
        <v>-5.0970000000000004</v>
      </c>
      <c r="N94" s="96">
        <f t="shared" si="25"/>
        <v>-0.76499999999999968</v>
      </c>
      <c r="O94" s="96">
        <f t="shared" si="25"/>
        <v>0</v>
      </c>
      <c r="P94" s="96">
        <f t="shared" si="25"/>
        <v>0</v>
      </c>
      <c r="Q94" s="96">
        <f t="shared" si="25"/>
        <v>0</v>
      </c>
      <c r="R94" s="96">
        <f t="shared" si="25"/>
        <v>0</v>
      </c>
      <c r="S94" s="96">
        <f t="shared" si="25"/>
        <v>0</v>
      </c>
    </row>
    <row r="95" spans="1:19" x14ac:dyDescent="0.2">
      <c r="B95" s="2" t="s">
        <v>392</v>
      </c>
      <c r="C95" s="10" t="s">
        <v>42</v>
      </c>
      <c r="G95" s="95" t="s">
        <v>393</v>
      </c>
      <c r="H95" s="96">
        <f>H19</f>
        <v>2.258</v>
      </c>
      <c r="I95" s="96">
        <f t="shared" ref="I95:S95" si="26">I19</f>
        <v>2.1840000000000002</v>
      </c>
      <c r="J95" s="96">
        <f t="shared" si="26"/>
        <v>132.63</v>
      </c>
      <c r="K95" s="96">
        <f t="shared" si="26"/>
        <v>14.276</v>
      </c>
      <c r="L95" s="96">
        <f t="shared" si="26"/>
        <v>6.7220000000000004</v>
      </c>
      <c r="M95" s="96">
        <f t="shared" si="26"/>
        <v>0.78700000000000003</v>
      </c>
      <c r="N95" s="96">
        <f>N19</f>
        <v>1</v>
      </c>
      <c r="O95" s="96">
        <f t="shared" si="26"/>
        <v>1</v>
      </c>
      <c r="P95" s="96">
        <f t="shared" si="26"/>
        <v>1</v>
      </c>
      <c r="Q95" s="96">
        <f t="shared" si="26"/>
        <v>1</v>
      </c>
      <c r="R95" s="96">
        <f t="shared" si="26"/>
        <v>1</v>
      </c>
      <c r="S95" s="96">
        <f t="shared" si="26"/>
        <v>1</v>
      </c>
    </row>
    <row r="96" spans="1:19" x14ac:dyDescent="0.2">
      <c r="B96" s="2" t="s">
        <v>394</v>
      </c>
      <c r="G96" s="97" t="s">
        <v>391</v>
      </c>
      <c r="H96" s="98"/>
      <c r="I96" s="96">
        <f>I95-H95</f>
        <v>-7.3999999999999844E-2</v>
      </c>
      <c r="J96" s="96">
        <f t="shared" ref="J96:S96" si="27">J95-I95</f>
        <v>130.446</v>
      </c>
      <c r="K96" s="96">
        <f t="shared" si="27"/>
        <v>-118.354</v>
      </c>
      <c r="L96" s="96">
        <f t="shared" si="27"/>
        <v>-7.5539999999999994</v>
      </c>
      <c r="M96" s="96">
        <f t="shared" si="27"/>
        <v>-5.9350000000000005</v>
      </c>
      <c r="N96" s="96">
        <f t="shared" si="27"/>
        <v>0.21299999999999997</v>
      </c>
      <c r="O96" s="96">
        <f t="shared" si="27"/>
        <v>0</v>
      </c>
      <c r="P96" s="96">
        <f t="shared" si="27"/>
        <v>0</v>
      </c>
      <c r="Q96" s="96">
        <f t="shared" si="27"/>
        <v>0</v>
      </c>
      <c r="R96" s="96">
        <f t="shared" si="27"/>
        <v>0</v>
      </c>
      <c r="S96" s="96">
        <f t="shared" si="27"/>
        <v>0</v>
      </c>
    </row>
    <row r="97" spans="1:20" s="40" customFormat="1" x14ac:dyDescent="0.2">
      <c r="A97" s="29" t="s">
        <v>395</v>
      </c>
      <c r="B97" s="2" t="s">
        <v>188</v>
      </c>
      <c r="C97" s="10" t="s">
        <v>396</v>
      </c>
      <c r="D97" s="99"/>
      <c r="E97" s="30"/>
      <c r="F97" s="29"/>
      <c r="G97" s="100" t="s">
        <v>386</v>
      </c>
      <c r="H97" s="101"/>
      <c r="I97" s="102">
        <f>I94-I96</f>
        <v>1.1299999999999999</v>
      </c>
      <c r="J97" s="102">
        <f t="shared" ref="J97:S97" si="28">J94-J96</f>
        <v>-104.345</v>
      </c>
      <c r="K97" s="102">
        <f t="shared" si="28"/>
        <v>101.17099999999999</v>
      </c>
      <c r="L97" s="102">
        <f t="shared" si="28"/>
        <v>4.4959999999999996</v>
      </c>
      <c r="M97" s="102">
        <f t="shared" si="28"/>
        <v>0.83800000000000008</v>
      </c>
      <c r="N97" s="102">
        <f t="shared" si="28"/>
        <v>-0.97799999999999965</v>
      </c>
      <c r="O97" s="102">
        <f t="shared" si="28"/>
        <v>0</v>
      </c>
      <c r="P97" s="102">
        <f t="shared" si="28"/>
        <v>0</v>
      </c>
      <c r="Q97" s="102">
        <f t="shared" si="28"/>
        <v>0</v>
      </c>
      <c r="R97" s="102">
        <f t="shared" si="28"/>
        <v>0</v>
      </c>
      <c r="S97" s="102">
        <f t="shared" si="28"/>
        <v>0</v>
      </c>
    </row>
    <row r="98" spans="1:20" x14ac:dyDescent="0.2"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</row>
    <row r="99" spans="1:20" x14ac:dyDescent="0.2">
      <c r="B99" s="2" t="s">
        <v>397</v>
      </c>
      <c r="C99" s="10" t="s">
        <v>398</v>
      </c>
      <c r="G99" s="95" t="s">
        <v>399</v>
      </c>
      <c r="H99" s="96">
        <f>H4-H93</f>
        <v>515.73500000000001</v>
      </c>
      <c r="I99" s="96">
        <f t="shared" ref="I99:S99" si="29">I4-I93</f>
        <v>421.96500000000003</v>
      </c>
      <c r="J99" s="96">
        <f t="shared" si="29"/>
        <v>499.94199999999995</v>
      </c>
      <c r="K99" s="96">
        <f t="shared" si="29"/>
        <v>409.44100000000003</v>
      </c>
      <c r="L99" s="96">
        <f t="shared" si="29"/>
        <v>302.73</v>
      </c>
      <c r="M99" s="96">
        <f t="shared" si="29"/>
        <v>182.625</v>
      </c>
      <c r="N99" s="96">
        <f t="shared" si="29"/>
        <v>75</v>
      </c>
      <c r="O99" s="96">
        <f t="shared" si="29"/>
        <v>3</v>
      </c>
      <c r="P99" s="96">
        <f t="shared" si="29"/>
        <v>0</v>
      </c>
      <c r="Q99" s="96">
        <f t="shared" si="29"/>
        <v>0</v>
      </c>
      <c r="R99" s="96">
        <f t="shared" si="29"/>
        <v>0</v>
      </c>
      <c r="S99" s="96">
        <f t="shared" si="29"/>
        <v>0</v>
      </c>
    </row>
    <row r="100" spans="1:20" x14ac:dyDescent="0.2">
      <c r="B100" s="2" t="s">
        <v>400</v>
      </c>
      <c r="G100" s="97" t="s">
        <v>391</v>
      </c>
      <c r="H100" s="98"/>
      <c r="I100" s="96">
        <f>I99-H99</f>
        <v>-93.769999999999982</v>
      </c>
      <c r="J100" s="96">
        <f t="shared" ref="J100:S100" si="30">J99-I99</f>
        <v>77.976999999999919</v>
      </c>
      <c r="K100" s="96">
        <f t="shared" si="30"/>
        <v>-90.50099999999992</v>
      </c>
      <c r="L100" s="96">
        <f t="shared" si="30"/>
        <v>-106.71100000000001</v>
      </c>
      <c r="M100" s="96">
        <f t="shared" si="30"/>
        <v>-120.10500000000002</v>
      </c>
      <c r="N100" s="96">
        <f t="shared" si="30"/>
        <v>-107.625</v>
      </c>
      <c r="O100" s="96">
        <f t="shared" si="30"/>
        <v>-72</v>
      </c>
      <c r="P100" s="96">
        <f t="shared" si="30"/>
        <v>-3</v>
      </c>
      <c r="Q100" s="96">
        <f t="shared" si="30"/>
        <v>0</v>
      </c>
      <c r="R100" s="96">
        <f t="shared" si="30"/>
        <v>0</v>
      </c>
      <c r="S100" s="96">
        <f t="shared" si="30"/>
        <v>0</v>
      </c>
    </row>
    <row r="101" spans="1:20" x14ac:dyDescent="0.2">
      <c r="B101" s="2" t="s">
        <v>401</v>
      </c>
      <c r="C101" s="10" t="s">
        <v>64</v>
      </c>
      <c r="G101" s="95" t="s">
        <v>402</v>
      </c>
      <c r="H101" s="96">
        <f>H27</f>
        <v>518.423</v>
      </c>
      <c r="I101" s="96">
        <f t="shared" ref="I101:S101" si="31">I27</f>
        <v>425.78300000000002</v>
      </c>
      <c r="J101" s="96">
        <f t="shared" si="31"/>
        <v>399.41399999999999</v>
      </c>
      <c r="K101" s="96">
        <f t="shared" si="31"/>
        <v>410.08600000000001</v>
      </c>
      <c r="L101" s="96">
        <f t="shared" si="31"/>
        <v>307.87</v>
      </c>
      <c r="M101" s="96">
        <f t="shared" si="31"/>
        <v>188.60300000000001</v>
      </c>
      <c r="N101" s="96">
        <f t="shared" si="31"/>
        <v>80</v>
      </c>
      <c r="O101" s="96">
        <f t="shared" si="31"/>
        <v>8</v>
      </c>
      <c r="P101" s="96">
        <f t="shared" si="31"/>
        <v>5</v>
      </c>
      <c r="Q101" s="96">
        <f t="shared" si="31"/>
        <v>5</v>
      </c>
      <c r="R101" s="96">
        <f t="shared" si="31"/>
        <v>5</v>
      </c>
      <c r="S101" s="96">
        <f t="shared" si="31"/>
        <v>5</v>
      </c>
    </row>
    <row r="102" spans="1:20" x14ac:dyDescent="0.2">
      <c r="B102" s="2" t="s">
        <v>403</v>
      </c>
      <c r="G102" s="97" t="s">
        <v>391</v>
      </c>
      <c r="H102" s="98"/>
      <c r="I102" s="96">
        <f>I101-H101</f>
        <v>-92.639999999999986</v>
      </c>
      <c r="J102" s="96">
        <f t="shared" ref="J102:S102" si="32">J101-I101</f>
        <v>-26.369000000000028</v>
      </c>
      <c r="K102" s="96">
        <f t="shared" si="32"/>
        <v>10.672000000000025</v>
      </c>
      <c r="L102" s="96">
        <f t="shared" si="32"/>
        <v>-102.21600000000001</v>
      </c>
      <c r="M102" s="96">
        <f t="shared" si="32"/>
        <v>-119.267</v>
      </c>
      <c r="N102" s="96">
        <f t="shared" si="32"/>
        <v>-108.60300000000001</v>
      </c>
      <c r="O102" s="96">
        <f t="shared" si="32"/>
        <v>-72</v>
      </c>
      <c r="P102" s="96">
        <f t="shared" si="32"/>
        <v>-3</v>
      </c>
      <c r="Q102" s="96">
        <f t="shared" si="32"/>
        <v>0</v>
      </c>
      <c r="R102" s="96">
        <f t="shared" si="32"/>
        <v>0</v>
      </c>
      <c r="S102" s="96">
        <f t="shared" si="32"/>
        <v>0</v>
      </c>
    </row>
    <row r="103" spans="1:20" s="40" customFormat="1" x14ac:dyDescent="0.2">
      <c r="A103" s="29" t="s">
        <v>404</v>
      </c>
      <c r="B103" s="2" t="s">
        <v>189</v>
      </c>
      <c r="C103" s="10" t="s">
        <v>405</v>
      </c>
      <c r="D103" s="10"/>
      <c r="E103" s="9"/>
      <c r="F103" s="8"/>
      <c r="G103" s="100" t="s">
        <v>406</v>
      </c>
      <c r="H103" s="101"/>
      <c r="I103" s="102">
        <f>I102-I100</f>
        <v>1.1299999999999955</v>
      </c>
      <c r="J103" s="102">
        <f t="shared" ref="J103:S103" si="33">J102-J100</f>
        <v>-104.34599999999995</v>
      </c>
      <c r="K103" s="102">
        <f t="shared" si="33"/>
        <v>101.17299999999994</v>
      </c>
      <c r="L103" s="102">
        <f t="shared" si="33"/>
        <v>4.4950000000000045</v>
      </c>
      <c r="M103" s="102">
        <f t="shared" si="33"/>
        <v>0.83800000000002228</v>
      </c>
      <c r="N103" s="102">
        <f t="shared" si="33"/>
        <v>-0.97800000000000864</v>
      </c>
      <c r="O103" s="102">
        <f t="shared" si="33"/>
        <v>0</v>
      </c>
      <c r="P103" s="102">
        <f t="shared" si="33"/>
        <v>0</v>
      </c>
      <c r="Q103" s="102">
        <f t="shared" si="33"/>
        <v>0</v>
      </c>
      <c r="R103" s="102">
        <f t="shared" si="33"/>
        <v>0</v>
      </c>
      <c r="S103" s="102">
        <f t="shared" si="33"/>
        <v>0</v>
      </c>
    </row>
    <row r="104" spans="1:20" x14ac:dyDescent="0.2"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</row>
    <row r="105" spans="1:20" x14ac:dyDescent="0.2">
      <c r="A105" s="13"/>
      <c r="G105" s="94" t="s">
        <v>407</v>
      </c>
      <c r="H105" s="87">
        <f t="shared" ref="H105:S105" si="34">H32</f>
        <v>2011</v>
      </c>
      <c r="I105" s="87">
        <f t="shared" si="34"/>
        <v>2012</v>
      </c>
      <c r="J105" s="87">
        <f t="shared" si="34"/>
        <v>2013</v>
      </c>
      <c r="K105" s="87">
        <f t="shared" si="34"/>
        <v>2014</v>
      </c>
      <c r="L105" s="87">
        <f t="shared" si="34"/>
        <v>2015</v>
      </c>
      <c r="M105" s="87">
        <f t="shared" si="34"/>
        <v>2016</v>
      </c>
      <c r="N105" s="87">
        <f t="shared" si="34"/>
        <v>2017</v>
      </c>
      <c r="O105" s="87">
        <f t="shared" si="34"/>
        <v>2018</v>
      </c>
      <c r="P105" s="87">
        <f t="shared" si="34"/>
        <v>2019</v>
      </c>
      <c r="Q105" s="87">
        <f t="shared" si="34"/>
        <v>2020</v>
      </c>
      <c r="R105" s="87">
        <f t="shared" si="34"/>
        <v>2021</v>
      </c>
      <c r="S105" s="87">
        <f t="shared" si="34"/>
        <v>2022</v>
      </c>
    </row>
    <row r="106" spans="1:20" s="40" customFormat="1" x14ac:dyDescent="0.2">
      <c r="A106" s="29" t="s">
        <v>408</v>
      </c>
      <c r="B106" s="2" t="s">
        <v>192</v>
      </c>
      <c r="C106" s="29" t="s">
        <v>409</v>
      </c>
      <c r="D106" s="10"/>
      <c r="E106" s="9"/>
      <c r="F106" s="8"/>
      <c r="G106" s="103" t="s">
        <v>407</v>
      </c>
      <c r="H106" s="101" t="s">
        <v>358</v>
      </c>
      <c r="I106" s="104">
        <f t="shared" ref="I106:N106" si="35">(I48-I45+I50)+(I58+I59)+(I82+I83+I84+I85)-(I85-I49)</f>
        <v>1.1290000000000049</v>
      </c>
      <c r="J106" s="104">
        <f t="shared" si="35"/>
        <v>-104.345</v>
      </c>
      <c r="K106" s="104">
        <f t="shared" si="35"/>
        <v>101.172</v>
      </c>
      <c r="L106" s="104">
        <f t="shared" si="35"/>
        <v>4.4950000000000152</v>
      </c>
      <c r="M106" s="104">
        <f t="shared" si="35"/>
        <v>0.83899999999999153</v>
      </c>
      <c r="N106" s="104">
        <f t="shared" si="35"/>
        <v>-1</v>
      </c>
      <c r="O106" s="104">
        <f>(O48-O45+O50)+(O58+O59)+(O82+O83+O84+O85)-(O85-O49)</f>
        <v>0</v>
      </c>
      <c r="P106" s="104">
        <f>(P48-P45+P50)+(P58+P59)+(P82+P83+P84+P85)-(P85-P49)</f>
        <v>0</v>
      </c>
      <c r="Q106" s="104">
        <f>(Q48-Q45+Q50)+(Q58+Q59)+(Q82+Q83+Q84+Q85)-(Q85-Q49)</f>
        <v>0</v>
      </c>
      <c r="R106" s="104">
        <f>(R48-R45+R50)+(R58+R59)+(R82+R83+R84+R85)-(R85-R49)</f>
        <v>0</v>
      </c>
      <c r="S106" s="104">
        <f>(S48-S45+S50)+(S58+S59)+(S82+S83+S84+S85)-(S85-S49)</f>
        <v>0</v>
      </c>
    </row>
    <row r="107" spans="1:20" s="40" customFormat="1" x14ac:dyDescent="0.2">
      <c r="A107" s="29" t="s">
        <v>410</v>
      </c>
      <c r="B107" s="2" t="s">
        <v>194</v>
      </c>
      <c r="C107" s="29" t="s">
        <v>411</v>
      </c>
      <c r="D107" s="10"/>
      <c r="E107" s="9"/>
      <c r="F107" s="8"/>
      <c r="G107" s="89" t="s">
        <v>412</v>
      </c>
      <c r="H107" s="101" t="s">
        <v>358</v>
      </c>
      <c r="I107" s="85">
        <f>I97-I106</f>
        <v>9.9999999999500488E-4</v>
      </c>
      <c r="J107" s="85">
        <f t="shared" ref="J107:S107" si="36">J97-J106</f>
        <v>0</v>
      </c>
      <c r="K107" s="85">
        <f t="shared" si="36"/>
        <v>-1.0000000000047748E-3</v>
      </c>
      <c r="L107" s="85">
        <f t="shared" si="36"/>
        <v>9.9999999998434674E-4</v>
      </c>
      <c r="M107" s="85">
        <f t="shared" si="36"/>
        <v>-9.9999999999145217E-4</v>
      </c>
      <c r="N107" s="85">
        <f t="shared" si="36"/>
        <v>2.2000000000000353E-2</v>
      </c>
      <c r="O107" s="85">
        <f t="shared" si="36"/>
        <v>0</v>
      </c>
      <c r="P107" s="85">
        <f t="shared" si="36"/>
        <v>0</v>
      </c>
      <c r="Q107" s="85">
        <f t="shared" si="36"/>
        <v>0</v>
      </c>
      <c r="R107" s="85">
        <f t="shared" si="36"/>
        <v>0</v>
      </c>
      <c r="S107" s="85">
        <f t="shared" si="36"/>
        <v>0</v>
      </c>
    </row>
    <row r="108" spans="1:20" s="40" customFormat="1" x14ac:dyDescent="0.2">
      <c r="A108" s="29"/>
      <c r="B108" s="2"/>
      <c r="C108" s="29"/>
      <c r="D108" s="10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</row>
    <row r="109" spans="1:20" s="40" customFormat="1" x14ac:dyDescent="0.2">
      <c r="A109" s="29"/>
      <c r="B109" s="2"/>
      <c r="C109" s="29"/>
      <c r="D109" s="10"/>
      <c r="E109" s="9"/>
      <c r="F109" s="8"/>
      <c r="G109" s="94" t="s">
        <v>413</v>
      </c>
      <c r="H109" s="87">
        <f>H105</f>
        <v>2011</v>
      </c>
      <c r="I109" s="87">
        <f t="shared" ref="I109:S109" si="37">I105</f>
        <v>2012</v>
      </c>
      <c r="J109" s="87">
        <f t="shared" si="37"/>
        <v>2013</v>
      </c>
      <c r="K109" s="87">
        <f t="shared" si="37"/>
        <v>2014</v>
      </c>
      <c r="L109" s="87">
        <f t="shared" si="37"/>
        <v>2015</v>
      </c>
      <c r="M109" s="87">
        <f t="shared" si="37"/>
        <v>2016</v>
      </c>
      <c r="N109" s="87">
        <f t="shared" si="37"/>
        <v>2017</v>
      </c>
      <c r="O109" s="87">
        <f t="shared" si="37"/>
        <v>2018</v>
      </c>
      <c r="P109" s="87">
        <f t="shared" si="37"/>
        <v>2019</v>
      </c>
      <c r="Q109" s="87">
        <f t="shared" si="37"/>
        <v>2020</v>
      </c>
      <c r="R109" s="87">
        <f t="shared" si="37"/>
        <v>2021</v>
      </c>
      <c r="S109" s="87">
        <f t="shared" si="37"/>
        <v>2022</v>
      </c>
    </row>
    <row r="110" spans="1:20" x14ac:dyDescent="0.2">
      <c r="A110" s="8" t="s">
        <v>414</v>
      </c>
      <c r="B110" s="2" t="s">
        <v>415</v>
      </c>
      <c r="C110" s="34" t="s">
        <v>190</v>
      </c>
      <c r="G110" s="103" t="s">
        <v>191</v>
      </c>
      <c r="H110" s="105">
        <f t="shared" ref="H110:S110" si="38">H33+H38+H41-H45</f>
        <v>-3.3599999999999994</v>
      </c>
      <c r="I110" s="77">
        <f t="shared" si="38"/>
        <v>1.1280000000000001</v>
      </c>
      <c r="J110" s="77">
        <f t="shared" si="38"/>
        <v>69.316000000000003</v>
      </c>
      <c r="K110" s="77">
        <f t="shared" si="38"/>
        <v>113.88799999999999</v>
      </c>
      <c r="L110" s="77">
        <f t="shared" si="38"/>
        <v>12.259000000000015</v>
      </c>
      <c r="M110" s="77">
        <f t="shared" si="38"/>
        <v>6.5319999999999965</v>
      </c>
      <c r="N110" s="77">
        <f t="shared" si="38"/>
        <v>-1</v>
      </c>
      <c r="O110" s="77">
        <f t="shared" si="38"/>
        <v>0</v>
      </c>
      <c r="P110" s="77">
        <f t="shared" si="38"/>
        <v>0</v>
      </c>
      <c r="Q110" s="77">
        <f t="shared" si="38"/>
        <v>0</v>
      </c>
      <c r="R110" s="77">
        <f t="shared" si="38"/>
        <v>0</v>
      </c>
      <c r="S110" s="77">
        <f t="shared" si="38"/>
        <v>0</v>
      </c>
    </row>
    <row r="111" spans="1:20" x14ac:dyDescent="0.2">
      <c r="A111" s="8" t="s">
        <v>416</v>
      </c>
      <c r="B111" s="2" t="s">
        <v>197</v>
      </c>
      <c r="C111" s="8" t="s">
        <v>417</v>
      </c>
      <c r="E111" s="106">
        <v>0</v>
      </c>
      <c r="G111" s="46" t="s">
        <v>193</v>
      </c>
      <c r="H111" s="107">
        <f t="shared" ref="H111:S111" si="39">H110/H33</f>
        <v>-0.150909499214013</v>
      </c>
      <c r="I111" s="108">
        <f t="shared" si="39"/>
        <v>5.1384839650145779E-2</v>
      </c>
      <c r="J111" s="108">
        <f t="shared" si="39"/>
        <v>0.77219406227371468</v>
      </c>
      <c r="K111" s="108">
        <f t="shared" si="39"/>
        <v>0.81868435997153355</v>
      </c>
      <c r="L111" s="108">
        <f t="shared" si="39"/>
        <v>0.41155537650653018</v>
      </c>
      <c r="M111" s="108">
        <f t="shared" si="39"/>
        <v>0.23248861047835978</v>
      </c>
      <c r="N111" s="108">
        <f t="shared" si="39"/>
        <v>-4.5454545454545456E-2</v>
      </c>
      <c r="O111" s="108">
        <f t="shared" si="39"/>
        <v>0</v>
      </c>
      <c r="P111" s="108">
        <f t="shared" si="39"/>
        <v>0</v>
      </c>
      <c r="Q111" s="108">
        <f t="shared" si="39"/>
        <v>0</v>
      </c>
      <c r="R111" s="108">
        <f t="shared" si="39"/>
        <v>0</v>
      </c>
      <c r="S111" s="108">
        <f t="shared" si="39"/>
        <v>0</v>
      </c>
    </row>
    <row r="112" spans="1:20" x14ac:dyDescent="0.2">
      <c r="A112" s="8" t="s">
        <v>418</v>
      </c>
      <c r="B112" s="2" t="s">
        <v>200</v>
      </c>
      <c r="C112" s="34" t="s">
        <v>195</v>
      </c>
      <c r="E112" s="109"/>
      <c r="G112" s="110" t="s">
        <v>196</v>
      </c>
      <c r="H112" s="111">
        <f t="shared" ref="H112:S112" si="40">-H33/(H38+H41)</f>
        <v>0.18648184597344949</v>
      </c>
      <c r="I112" s="111">
        <f t="shared" si="40"/>
        <v>0.19156325811124492</v>
      </c>
      <c r="J112" s="111">
        <f t="shared" si="40"/>
        <v>0.77293666853231147</v>
      </c>
      <c r="K112" s="111">
        <f t="shared" si="40"/>
        <v>1.083090027172432</v>
      </c>
      <c r="L112" s="111">
        <f t="shared" si="40"/>
        <v>0.22563174160707794</v>
      </c>
      <c r="M112" s="111">
        <f t="shared" si="40"/>
        <v>0.19065585451090827</v>
      </c>
      <c r="N112" s="111">
        <f t="shared" si="40"/>
        <v>0.16793893129770993</v>
      </c>
      <c r="O112" s="111">
        <f t="shared" si="40"/>
        <v>0.23404255319148937</v>
      </c>
      <c r="P112" s="111">
        <f t="shared" si="40"/>
        <v>0.88</v>
      </c>
      <c r="Q112" s="111">
        <f t="shared" si="40"/>
        <v>1</v>
      </c>
      <c r="R112" s="111">
        <f t="shared" si="40"/>
        <v>1</v>
      </c>
      <c r="S112" s="111">
        <f t="shared" si="40"/>
        <v>1</v>
      </c>
    </row>
    <row r="113" spans="1:20" x14ac:dyDescent="0.2">
      <c r="A113" s="8" t="s">
        <v>419</v>
      </c>
      <c r="B113" s="2" t="s">
        <v>420</v>
      </c>
      <c r="C113" s="8" t="s">
        <v>198</v>
      </c>
      <c r="E113" s="109"/>
      <c r="G113" s="103" t="s">
        <v>199</v>
      </c>
      <c r="H113" s="105">
        <f t="shared" ref="H113:S113" si="41">H46</f>
        <v>-97.13</v>
      </c>
      <c r="I113" s="105">
        <f t="shared" si="41"/>
        <v>-92.641999999999996</v>
      </c>
      <c r="J113" s="105">
        <f t="shared" si="41"/>
        <v>-26.370000000000005</v>
      </c>
      <c r="K113" s="105">
        <f t="shared" si="41"/>
        <v>10.671999999999997</v>
      </c>
      <c r="L113" s="105">
        <f t="shared" si="41"/>
        <v>-102.22899999999998</v>
      </c>
      <c r="M113" s="105">
        <f t="shared" si="41"/>
        <v>-119.26900000000001</v>
      </c>
      <c r="N113" s="105">
        <f t="shared" si="41"/>
        <v>-109</v>
      </c>
      <c r="O113" s="105">
        <f t="shared" si="41"/>
        <v>-72</v>
      </c>
      <c r="P113" s="105">
        <f t="shared" si="41"/>
        <v>-3</v>
      </c>
      <c r="Q113" s="105">
        <f t="shared" si="41"/>
        <v>0</v>
      </c>
      <c r="R113" s="105">
        <f t="shared" si="41"/>
        <v>0</v>
      </c>
      <c r="S113" s="105">
        <f t="shared" si="41"/>
        <v>0</v>
      </c>
    </row>
    <row r="114" spans="1:20" x14ac:dyDescent="0.2">
      <c r="A114" s="8" t="s">
        <v>421</v>
      </c>
      <c r="B114" s="2" t="s">
        <v>422</v>
      </c>
      <c r="C114" s="8" t="s">
        <v>201</v>
      </c>
      <c r="D114" s="106">
        <v>-0.3</v>
      </c>
      <c r="E114" s="106">
        <v>0</v>
      </c>
      <c r="G114" s="110" t="s">
        <v>202</v>
      </c>
      <c r="H114" s="112">
        <f t="shared" ref="H114:S114" si="42">H46/H33</f>
        <v>-4.3624522793622278</v>
      </c>
      <c r="I114" s="113">
        <f t="shared" si="42"/>
        <v>-4.2202077259475219</v>
      </c>
      <c r="J114" s="113">
        <f t="shared" si="42"/>
        <v>-0.29376705843034595</v>
      </c>
      <c r="K114" s="113">
        <f t="shared" si="42"/>
        <v>7.6715716226610386E-2</v>
      </c>
      <c r="L114" s="113">
        <f t="shared" si="42"/>
        <v>-3.432000537147077</v>
      </c>
      <c r="M114" s="113">
        <f t="shared" si="42"/>
        <v>-4.2450526765375853</v>
      </c>
      <c r="N114" s="113">
        <f t="shared" si="42"/>
        <v>-4.9545454545454541</v>
      </c>
      <c r="O114" s="113">
        <f t="shared" si="42"/>
        <v>-3.2727272727272729</v>
      </c>
      <c r="P114" s="113">
        <f t="shared" si="42"/>
        <v>-0.13636363636363635</v>
      </c>
      <c r="Q114" s="113">
        <f t="shared" si="42"/>
        <v>0</v>
      </c>
      <c r="R114" s="113">
        <f t="shared" si="42"/>
        <v>0</v>
      </c>
      <c r="S114" s="113">
        <f t="shared" si="42"/>
        <v>0</v>
      </c>
    </row>
    <row r="115" spans="1:20" x14ac:dyDescent="0.2">
      <c r="A115" s="8" t="s">
        <v>423</v>
      </c>
      <c r="B115" s="2" t="s">
        <v>424</v>
      </c>
      <c r="C115" s="8" t="s">
        <v>204</v>
      </c>
      <c r="E115" s="109"/>
      <c r="G115" s="46" t="s">
        <v>205</v>
      </c>
      <c r="H115" s="105">
        <f t="shared" ref="H115:S115" si="43">H29+H30</f>
        <v>518.423</v>
      </c>
      <c r="I115" s="105">
        <f t="shared" si="43"/>
        <v>425.78300000000002</v>
      </c>
      <c r="J115" s="105">
        <f t="shared" si="43"/>
        <v>399.41399999999999</v>
      </c>
      <c r="K115" s="105">
        <f t="shared" si="43"/>
        <v>410.08600000000001</v>
      </c>
      <c r="L115" s="105">
        <f t="shared" si="43"/>
        <v>307.87</v>
      </c>
      <c r="M115" s="105">
        <f t="shared" si="43"/>
        <v>188.60300000000001</v>
      </c>
      <c r="N115" s="105">
        <f t="shared" si="43"/>
        <v>80</v>
      </c>
      <c r="O115" s="105">
        <f t="shared" si="43"/>
        <v>8</v>
      </c>
      <c r="P115" s="105">
        <f t="shared" si="43"/>
        <v>5</v>
      </c>
      <c r="Q115" s="105">
        <f t="shared" si="43"/>
        <v>5</v>
      </c>
      <c r="R115" s="105">
        <f t="shared" si="43"/>
        <v>5</v>
      </c>
      <c r="S115" s="105">
        <f t="shared" si="43"/>
        <v>5</v>
      </c>
    </row>
    <row r="116" spans="1:20" x14ac:dyDescent="0.2">
      <c r="C116" s="8"/>
      <c r="D116" s="8"/>
      <c r="E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</row>
    <row r="117" spans="1:20" x14ac:dyDescent="0.2">
      <c r="E117" s="8"/>
      <c r="G117" s="94" t="s">
        <v>206</v>
      </c>
      <c r="H117" s="87">
        <f t="shared" ref="H117:S117" si="44">H105</f>
        <v>2011</v>
      </c>
      <c r="I117" s="87">
        <f t="shared" si="44"/>
        <v>2012</v>
      </c>
      <c r="J117" s="87">
        <f t="shared" si="44"/>
        <v>2013</v>
      </c>
      <c r="K117" s="87">
        <f t="shared" si="44"/>
        <v>2014</v>
      </c>
      <c r="L117" s="87">
        <f t="shared" si="44"/>
        <v>2015</v>
      </c>
      <c r="M117" s="87">
        <f t="shared" si="44"/>
        <v>2016</v>
      </c>
      <c r="N117" s="87">
        <f t="shared" si="44"/>
        <v>2017</v>
      </c>
      <c r="O117" s="87">
        <f t="shared" si="44"/>
        <v>2018</v>
      </c>
      <c r="P117" s="87">
        <f t="shared" si="44"/>
        <v>2019</v>
      </c>
      <c r="Q117" s="87">
        <f t="shared" si="44"/>
        <v>2020</v>
      </c>
      <c r="R117" s="87">
        <f t="shared" si="44"/>
        <v>2021</v>
      </c>
      <c r="S117" s="87">
        <f t="shared" si="44"/>
        <v>2022</v>
      </c>
    </row>
    <row r="118" spans="1:20" x14ac:dyDescent="0.2">
      <c r="A118" s="34" t="s">
        <v>425</v>
      </c>
      <c r="B118" s="2" t="s">
        <v>426</v>
      </c>
      <c r="C118" s="10" t="s">
        <v>208</v>
      </c>
      <c r="E118" s="109"/>
      <c r="F118" s="37"/>
      <c r="G118" s="103" t="s">
        <v>209</v>
      </c>
      <c r="H118" s="105">
        <f t="shared" ref="H118:S118" si="45">H6+H12</f>
        <v>1.6879999999999999</v>
      </c>
      <c r="I118" s="77">
        <f t="shared" si="45"/>
        <v>3.25</v>
      </c>
      <c r="J118" s="77">
        <f t="shared" si="45"/>
        <v>25.004000000000001</v>
      </c>
      <c r="K118" s="77">
        <f t="shared" si="45"/>
        <v>11.433</v>
      </c>
      <c r="L118" s="77">
        <f t="shared" si="45"/>
        <v>10.436999999999999</v>
      </c>
      <c r="M118" s="77">
        <f t="shared" si="45"/>
        <v>4.4269999999999996</v>
      </c>
      <c r="N118" s="77">
        <f t="shared" si="45"/>
        <v>3</v>
      </c>
      <c r="O118" s="77">
        <f t="shared" si="45"/>
        <v>3</v>
      </c>
      <c r="P118" s="77">
        <f t="shared" si="45"/>
        <v>3</v>
      </c>
      <c r="Q118" s="77">
        <f t="shared" si="45"/>
        <v>3</v>
      </c>
      <c r="R118" s="77">
        <f t="shared" si="45"/>
        <v>3</v>
      </c>
      <c r="S118" s="77">
        <f t="shared" si="45"/>
        <v>3</v>
      </c>
    </row>
    <row r="119" spans="1:20" x14ac:dyDescent="0.2">
      <c r="A119" s="8" t="s">
        <v>427</v>
      </c>
      <c r="B119" s="2" t="s">
        <v>428</v>
      </c>
      <c r="C119" s="8" t="s">
        <v>42</v>
      </c>
      <c r="E119" s="109"/>
      <c r="F119" s="37"/>
      <c r="G119" s="110" t="s">
        <v>211</v>
      </c>
      <c r="H119" s="105">
        <f t="shared" ref="H119:S119" si="46">H19</f>
        <v>2.258</v>
      </c>
      <c r="I119" s="105">
        <f t="shared" si="46"/>
        <v>2.1840000000000002</v>
      </c>
      <c r="J119" s="105">
        <f t="shared" si="46"/>
        <v>132.63</v>
      </c>
      <c r="K119" s="105">
        <f t="shared" si="46"/>
        <v>14.276</v>
      </c>
      <c r="L119" s="105">
        <f t="shared" si="46"/>
        <v>6.7220000000000004</v>
      </c>
      <c r="M119" s="105">
        <f t="shared" si="46"/>
        <v>0.78700000000000003</v>
      </c>
      <c r="N119" s="105">
        <f t="shared" si="46"/>
        <v>1</v>
      </c>
      <c r="O119" s="105">
        <f t="shared" si="46"/>
        <v>1</v>
      </c>
      <c r="P119" s="105">
        <f t="shared" si="46"/>
        <v>1</v>
      </c>
      <c r="Q119" s="105">
        <f t="shared" si="46"/>
        <v>1</v>
      </c>
      <c r="R119" s="105">
        <f t="shared" si="46"/>
        <v>1</v>
      </c>
      <c r="S119" s="105">
        <f t="shared" si="46"/>
        <v>1</v>
      </c>
    </row>
    <row r="120" spans="1:20" x14ac:dyDescent="0.2">
      <c r="A120" s="8" t="s">
        <v>429</v>
      </c>
      <c r="B120" s="2" t="s">
        <v>203</v>
      </c>
      <c r="C120" s="8" t="s">
        <v>430</v>
      </c>
      <c r="E120" s="109"/>
      <c r="F120" s="37"/>
      <c r="G120" s="110" t="s">
        <v>212</v>
      </c>
      <c r="H120" s="105">
        <f t="shared" ref="H120:S120" si="47">H119-H118</f>
        <v>0.57000000000000006</v>
      </c>
      <c r="I120" s="77">
        <f t="shared" si="47"/>
        <v>-1.0659999999999998</v>
      </c>
      <c r="J120" s="77">
        <f t="shared" si="47"/>
        <v>107.62599999999999</v>
      </c>
      <c r="K120" s="77">
        <f t="shared" si="47"/>
        <v>2.843</v>
      </c>
      <c r="L120" s="77">
        <f t="shared" si="47"/>
        <v>-3.714999999999999</v>
      </c>
      <c r="M120" s="77">
        <f>M119-M118</f>
        <v>-3.6399999999999997</v>
      </c>
      <c r="N120" s="77">
        <f t="shared" si="47"/>
        <v>-2</v>
      </c>
      <c r="O120" s="77">
        <f t="shared" si="47"/>
        <v>-2</v>
      </c>
      <c r="P120" s="77">
        <f t="shared" si="47"/>
        <v>-2</v>
      </c>
      <c r="Q120" s="77">
        <f t="shared" si="47"/>
        <v>-2</v>
      </c>
      <c r="R120" s="77">
        <f t="shared" si="47"/>
        <v>-2</v>
      </c>
      <c r="S120" s="77">
        <f t="shared" si="47"/>
        <v>-2</v>
      </c>
    </row>
    <row r="121" spans="1:20" x14ac:dyDescent="0.2">
      <c r="A121" s="34" t="s">
        <v>431</v>
      </c>
      <c r="B121" s="2" t="s">
        <v>207</v>
      </c>
      <c r="C121" s="8" t="s">
        <v>432</v>
      </c>
      <c r="E121" s="106">
        <v>0.4</v>
      </c>
      <c r="F121" s="114" t="s">
        <v>433</v>
      </c>
      <c r="G121" s="46" t="s">
        <v>213</v>
      </c>
      <c r="H121" s="115">
        <f t="shared" ref="H121:S121" si="48">H120/H33</f>
        <v>2.5600718616662927E-2</v>
      </c>
      <c r="I121" s="108">
        <f t="shared" si="48"/>
        <v>-4.8560495626822152E-2</v>
      </c>
      <c r="J121" s="108">
        <f t="shared" si="48"/>
        <v>1.1989751016543195</v>
      </c>
      <c r="K121" s="108">
        <f t="shared" si="48"/>
        <v>2.0436917281882815E-2</v>
      </c>
      <c r="L121" s="108">
        <f t="shared" si="48"/>
        <v>-0.12471883707657699</v>
      </c>
      <c r="M121" s="108">
        <f t="shared" si="48"/>
        <v>-0.12955580865603644</v>
      </c>
      <c r="N121" s="108">
        <f t="shared" si="48"/>
        <v>-9.0909090909090912E-2</v>
      </c>
      <c r="O121" s="108">
        <f t="shared" si="48"/>
        <v>-9.0909090909090912E-2</v>
      </c>
      <c r="P121" s="108">
        <f t="shared" si="48"/>
        <v>-9.0909090909090912E-2</v>
      </c>
      <c r="Q121" s="108">
        <f t="shared" si="48"/>
        <v>-9.0909090909090912E-2</v>
      </c>
      <c r="R121" s="108">
        <f t="shared" si="48"/>
        <v>-9.0909090909090912E-2</v>
      </c>
      <c r="S121" s="108">
        <f t="shared" si="48"/>
        <v>-9.0909090909090912E-2</v>
      </c>
    </row>
    <row r="122" spans="1:20" x14ac:dyDescent="0.2">
      <c r="A122" s="8" t="s">
        <v>434</v>
      </c>
      <c r="B122" s="2" t="s">
        <v>210</v>
      </c>
      <c r="C122" s="8" t="s">
        <v>435</v>
      </c>
      <c r="D122" s="116">
        <v>0</v>
      </c>
      <c r="E122" s="116">
        <v>5</v>
      </c>
      <c r="F122" s="37"/>
      <c r="G122" s="100" t="s">
        <v>215</v>
      </c>
      <c r="H122" s="111">
        <f t="shared" ref="H122:S122" si="49">H120/H110</f>
        <v>-0.16964285714285718</v>
      </c>
      <c r="I122" s="111">
        <f t="shared" si="49"/>
        <v>-0.94503546099290758</v>
      </c>
      <c r="J122" s="111">
        <f t="shared" si="49"/>
        <v>1.552686248485198</v>
      </c>
      <c r="K122" s="111">
        <f t="shared" si="49"/>
        <v>2.4963121663388595E-2</v>
      </c>
      <c r="L122" s="111">
        <f t="shared" si="49"/>
        <v>-0.30304266253364831</v>
      </c>
      <c r="M122" s="111">
        <f>M120/M110</f>
        <v>-0.5572565829761178</v>
      </c>
      <c r="N122" s="111">
        <f t="shared" si="49"/>
        <v>2</v>
      </c>
      <c r="O122" s="111" t="e">
        <f t="shared" si="49"/>
        <v>#DIV/0!</v>
      </c>
      <c r="P122" s="111" t="e">
        <f t="shared" si="49"/>
        <v>#DIV/0!</v>
      </c>
      <c r="Q122" s="111" t="e">
        <f t="shared" si="49"/>
        <v>#DIV/0!</v>
      </c>
      <c r="R122" s="111" t="e">
        <f t="shared" si="49"/>
        <v>#DIV/0!</v>
      </c>
      <c r="S122" s="111" t="e">
        <f t="shared" si="49"/>
        <v>#DIV/0!</v>
      </c>
    </row>
    <row r="123" spans="1:20" x14ac:dyDescent="0.2">
      <c r="A123" s="8" t="s">
        <v>436</v>
      </c>
      <c r="B123" s="2" t="s">
        <v>437</v>
      </c>
      <c r="C123" s="8" t="s">
        <v>217</v>
      </c>
      <c r="E123" s="109"/>
      <c r="F123" s="37"/>
      <c r="G123" s="110" t="s">
        <v>218</v>
      </c>
      <c r="H123" s="105">
        <f t="shared" ref="H123:S123" si="50">-(H75+H77+H78+H79+H80+H81)</f>
        <v>0</v>
      </c>
      <c r="I123" s="105">
        <f t="shared" si="50"/>
        <v>3.9E-2</v>
      </c>
      <c r="J123" s="105">
        <f t="shared" si="50"/>
        <v>0</v>
      </c>
      <c r="K123" s="105">
        <f t="shared" si="50"/>
        <v>0</v>
      </c>
      <c r="L123" s="105">
        <f t="shared" si="50"/>
        <v>0</v>
      </c>
      <c r="M123" s="105">
        <f t="shared" si="50"/>
        <v>0</v>
      </c>
      <c r="N123" s="105">
        <f t="shared" si="50"/>
        <v>0</v>
      </c>
      <c r="O123" s="105">
        <f t="shared" si="50"/>
        <v>0</v>
      </c>
      <c r="P123" s="105">
        <f t="shared" si="50"/>
        <v>0</v>
      </c>
      <c r="Q123" s="105">
        <f t="shared" si="50"/>
        <v>0</v>
      </c>
      <c r="R123" s="105">
        <f t="shared" si="50"/>
        <v>0</v>
      </c>
      <c r="S123" s="105">
        <f t="shared" si="50"/>
        <v>0</v>
      </c>
    </row>
    <row r="124" spans="1:20" x14ac:dyDescent="0.2">
      <c r="A124" s="8" t="s">
        <v>438</v>
      </c>
      <c r="B124" s="2" t="s">
        <v>439</v>
      </c>
      <c r="C124" s="8" t="s">
        <v>440</v>
      </c>
      <c r="E124" s="116">
        <v>1.2</v>
      </c>
      <c r="F124" s="114" t="s">
        <v>433</v>
      </c>
      <c r="G124" s="110" t="s">
        <v>220</v>
      </c>
      <c r="H124" s="117" t="e">
        <f t="shared" ref="H124:S124" si="51">H110/H123</f>
        <v>#DIV/0!</v>
      </c>
      <c r="I124" s="111">
        <f t="shared" si="51"/>
        <v>28.923076923076927</v>
      </c>
      <c r="J124" s="111" t="e">
        <f t="shared" si="51"/>
        <v>#DIV/0!</v>
      </c>
      <c r="K124" s="111" t="e">
        <f t="shared" si="51"/>
        <v>#DIV/0!</v>
      </c>
      <c r="L124" s="111" t="e">
        <f t="shared" si="51"/>
        <v>#DIV/0!</v>
      </c>
      <c r="M124" s="111" t="e">
        <f t="shared" si="51"/>
        <v>#DIV/0!</v>
      </c>
      <c r="N124" s="111" t="e">
        <f t="shared" si="51"/>
        <v>#DIV/0!</v>
      </c>
      <c r="O124" s="111" t="e">
        <f t="shared" si="51"/>
        <v>#DIV/0!</v>
      </c>
      <c r="P124" s="111" t="e">
        <f t="shared" si="51"/>
        <v>#DIV/0!</v>
      </c>
      <c r="Q124" s="111" t="e">
        <f t="shared" si="51"/>
        <v>#DIV/0!</v>
      </c>
      <c r="R124" s="111" t="e">
        <f t="shared" si="51"/>
        <v>#DIV/0!</v>
      </c>
      <c r="S124" s="111" t="e">
        <f t="shared" si="51"/>
        <v>#DIV/0!</v>
      </c>
    </row>
    <row r="125" spans="1:20" x14ac:dyDescent="0.2">
      <c r="A125" s="38" t="s">
        <v>441</v>
      </c>
      <c r="B125" s="2" t="s">
        <v>442</v>
      </c>
      <c r="C125" s="8" t="s">
        <v>222</v>
      </c>
      <c r="E125" s="116">
        <v>0</v>
      </c>
      <c r="F125" s="37"/>
      <c r="G125" s="103" t="s">
        <v>223</v>
      </c>
      <c r="H125" s="105">
        <f t="shared" ref="H125:S125" si="52">H5-H20</f>
        <v>2.6879999999999997</v>
      </c>
      <c r="I125" s="105">
        <f t="shared" si="52"/>
        <v>3.8179999999999996</v>
      </c>
      <c r="J125" s="105">
        <f t="shared" si="52"/>
        <v>-100.52699999999999</v>
      </c>
      <c r="K125" s="105">
        <f t="shared" si="52"/>
        <v>0.64400000000000013</v>
      </c>
      <c r="L125" s="105">
        <f t="shared" si="52"/>
        <v>5.14</v>
      </c>
      <c r="M125" s="105">
        <f t="shared" si="52"/>
        <v>5.9779999999999998</v>
      </c>
      <c r="N125" s="105">
        <f t="shared" si="52"/>
        <v>5</v>
      </c>
      <c r="O125" s="105">
        <f t="shared" si="52"/>
        <v>5</v>
      </c>
      <c r="P125" s="105">
        <f t="shared" si="52"/>
        <v>5</v>
      </c>
      <c r="Q125" s="105">
        <f t="shared" si="52"/>
        <v>5</v>
      </c>
      <c r="R125" s="105">
        <f t="shared" si="52"/>
        <v>5</v>
      </c>
      <c r="S125" s="105">
        <f t="shared" si="52"/>
        <v>5</v>
      </c>
    </row>
    <row r="126" spans="1:20" x14ac:dyDescent="0.2">
      <c r="A126" s="34" t="s">
        <v>443</v>
      </c>
      <c r="B126" s="2" t="s">
        <v>444</v>
      </c>
      <c r="C126" s="8" t="s">
        <v>225</v>
      </c>
      <c r="E126" s="116">
        <v>1</v>
      </c>
      <c r="F126" s="114" t="s">
        <v>433</v>
      </c>
      <c r="G126" s="110" t="s">
        <v>226</v>
      </c>
      <c r="H126" s="117">
        <f t="shared" ref="H126:S126" si="53">H5/H20</f>
        <v>2.1904340124003543</v>
      </c>
      <c r="I126" s="117">
        <f t="shared" si="53"/>
        <v>2.7481684981684977</v>
      </c>
      <c r="J126" s="117">
        <f t="shared" si="53"/>
        <v>0.24204931011083466</v>
      </c>
      <c r="K126" s="117">
        <f t="shared" si="53"/>
        <v>1.0451106752591763</v>
      </c>
      <c r="L126" s="117">
        <f t="shared" si="53"/>
        <v>1.7646533769711394</v>
      </c>
      <c r="M126" s="117">
        <f t="shared" si="53"/>
        <v>8.595933926302413</v>
      </c>
      <c r="N126" s="117">
        <f t="shared" si="53"/>
        <v>6</v>
      </c>
      <c r="O126" s="117">
        <f t="shared" si="53"/>
        <v>6</v>
      </c>
      <c r="P126" s="117">
        <f t="shared" si="53"/>
        <v>6</v>
      </c>
      <c r="Q126" s="117">
        <f t="shared" si="53"/>
        <v>6</v>
      </c>
      <c r="R126" s="117">
        <f t="shared" si="53"/>
        <v>6</v>
      </c>
      <c r="S126" s="117">
        <f t="shared" si="53"/>
        <v>6</v>
      </c>
    </row>
    <row r="127" spans="1:20" x14ac:dyDescent="0.2">
      <c r="A127" s="34" t="s">
        <v>445</v>
      </c>
      <c r="B127" s="2" t="s">
        <v>214</v>
      </c>
      <c r="C127" s="34" t="s">
        <v>228</v>
      </c>
      <c r="E127" s="116">
        <v>1</v>
      </c>
      <c r="F127" s="37"/>
      <c r="G127" s="46" t="s">
        <v>229</v>
      </c>
      <c r="H127" s="117">
        <f t="shared" ref="H127:S127" si="54">-H6/((H38+H41-H45+H47)/12)</f>
        <v>0.79060145974005702</v>
      </c>
      <c r="I127" s="117">
        <f t="shared" si="54"/>
        <v>1.8729289727704945</v>
      </c>
      <c r="J127" s="117">
        <f t="shared" si="54"/>
        <v>14.673708920187796</v>
      </c>
      <c r="K127" s="117">
        <f t="shared" si="54"/>
        <v>5.4393212544106575</v>
      </c>
      <c r="L127" s="117">
        <f t="shared" si="54"/>
        <v>7.1502626170358559</v>
      </c>
      <c r="M127" s="117">
        <f t="shared" si="54"/>
        <v>2.463778870234671</v>
      </c>
      <c r="N127" s="117">
        <f t="shared" si="54"/>
        <v>1.5652173913043477</v>
      </c>
      <c r="O127" s="117">
        <f t="shared" si="54"/>
        <v>1.6363636363636365</v>
      </c>
      <c r="P127" s="117">
        <f t="shared" si="54"/>
        <v>1.6363636363636365</v>
      </c>
      <c r="Q127" s="117">
        <f t="shared" si="54"/>
        <v>1.6363636363636365</v>
      </c>
      <c r="R127" s="117">
        <f t="shared" si="54"/>
        <v>1.6363636363636365</v>
      </c>
      <c r="S127" s="117">
        <f t="shared" si="54"/>
        <v>1.6363636363636365</v>
      </c>
    </row>
    <row r="128" spans="1:20" x14ac:dyDescent="0.2">
      <c r="A128" s="34"/>
      <c r="C128" s="34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</row>
    <row r="129" spans="1:21" x14ac:dyDescent="0.2">
      <c r="C129" s="8"/>
      <c r="F129" s="37"/>
      <c r="G129" s="94" t="s">
        <v>230</v>
      </c>
      <c r="H129" s="87">
        <f t="shared" ref="H129:S129" si="55">H117</f>
        <v>2011</v>
      </c>
      <c r="I129" s="87">
        <f t="shared" si="55"/>
        <v>2012</v>
      </c>
      <c r="J129" s="87">
        <f t="shared" si="55"/>
        <v>2013</v>
      </c>
      <c r="K129" s="87">
        <f t="shared" si="55"/>
        <v>2014</v>
      </c>
      <c r="L129" s="87">
        <f t="shared" si="55"/>
        <v>2015</v>
      </c>
      <c r="M129" s="87">
        <f t="shared" si="55"/>
        <v>2016</v>
      </c>
      <c r="N129" s="87">
        <f t="shared" si="55"/>
        <v>2017</v>
      </c>
      <c r="O129" s="87">
        <f t="shared" si="55"/>
        <v>2018</v>
      </c>
      <c r="P129" s="87">
        <f t="shared" si="55"/>
        <v>2019</v>
      </c>
      <c r="Q129" s="87">
        <f t="shared" si="55"/>
        <v>2020</v>
      </c>
      <c r="R129" s="87">
        <f t="shared" si="55"/>
        <v>2021</v>
      </c>
      <c r="S129" s="87">
        <f t="shared" si="55"/>
        <v>2022</v>
      </c>
    </row>
    <row r="130" spans="1:21" x14ac:dyDescent="0.2">
      <c r="A130" s="34" t="s">
        <v>446</v>
      </c>
      <c r="B130" s="2" t="s">
        <v>216</v>
      </c>
      <c r="C130" s="34" t="s">
        <v>232</v>
      </c>
      <c r="E130" s="106">
        <v>0.6</v>
      </c>
      <c r="F130" s="37"/>
      <c r="G130" s="103" t="s">
        <v>233</v>
      </c>
      <c r="H130" s="115">
        <f t="shared" ref="H130:S130" si="56">H17/H4</f>
        <v>0</v>
      </c>
      <c r="I130" s="115">
        <f t="shared" si="56"/>
        <v>0</v>
      </c>
      <c r="J130" s="115">
        <f t="shared" si="56"/>
        <v>0</v>
      </c>
      <c r="K130" s="115">
        <f t="shared" si="56"/>
        <v>0</v>
      </c>
      <c r="L130" s="115">
        <f t="shared" si="56"/>
        <v>0</v>
      </c>
      <c r="M130" s="115">
        <f t="shared" si="56"/>
        <v>0</v>
      </c>
      <c r="N130" s="115">
        <f t="shared" si="56"/>
        <v>0</v>
      </c>
      <c r="O130" s="115">
        <f t="shared" si="56"/>
        <v>0</v>
      </c>
      <c r="P130" s="115">
        <f t="shared" si="56"/>
        <v>0</v>
      </c>
      <c r="Q130" s="115">
        <f t="shared" si="56"/>
        <v>0</v>
      </c>
      <c r="R130" s="115">
        <f t="shared" si="56"/>
        <v>0</v>
      </c>
      <c r="S130" s="115">
        <f t="shared" si="56"/>
        <v>0</v>
      </c>
    </row>
    <row r="131" spans="1:21" x14ac:dyDescent="0.2">
      <c r="A131" s="34" t="s">
        <v>447</v>
      </c>
      <c r="B131" s="2" t="s">
        <v>219</v>
      </c>
      <c r="C131" s="34" t="s">
        <v>235</v>
      </c>
      <c r="E131" s="106">
        <v>0.4</v>
      </c>
      <c r="F131" s="37"/>
      <c r="G131" s="46" t="s">
        <v>236</v>
      </c>
      <c r="H131" s="115" t="e">
        <f t="shared" ref="H131:S131" si="57">H27/H17</f>
        <v>#DIV/0!</v>
      </c>
      <c r="I131" s="115" t="e">
        <f t="shared" si="57"/>
        <v>#DIV/0!</v>
      </c>
      <c r="J131" s="115" t="e">
        <f t="shared" si="57"/>
        <v>#DIV/0!</v>
      </c>
      <c r="K131" s="115" t="e">
        <f t="shared" si="57"/>
        <v>#DIV/0!</v>
      </c>
      <c r="L131" s="115" t="e">
        <f t="shared" si="57"/>
        <v>#DIV/0!</v>
      </c>
      <c r="M131" s="115" t="e">
        <f t="shared" si="57"/>
        <v>#DIV/0!</v>
      </c>
      <c r="N131" s="115" t="e">
        <f t="shared" si="57"/>
        <v>#DIV/0!</v>
      </c>
      <c r="O131" s="115" t="e">
        <f t="shared" si="57"/>
        <v>#DIV/0!</v>
      </c>
      <c r="P131" s="115" t="e">
        <f t="shared" si="57"/>
        <v>#DIV/0!</v>
      </c>
      <c r="Q131" s="115" t="e">
        <f t="shared" si="57"/>
        <v>#DIV/0!</v>
      </c>
      <c r="R131" s="115" t="e">
        <f t="shared" si="57"/>
        <v>#DIV/0!</v>
      </c>
      <c r="S131" s="115" t="e">
        <f t="shared" si="57"/>
        <v>#DIV/0!</v>
      </c>
    </row>
    <row r="132" spans="1:21" x14ac:dyDescent="0.2">
      <c r="A132" s="34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</row>
    <row r="133" spans="1:21" x14ac:dyDescent="0.2">
      <c r="C133" s="8"/>
      <c r="F133" s="37"/>
      <c r="G133" s="94" t="s">
        <v>237</v>
      </c>
      <c r="H133" s="87">
        <f t="shared" ref="H133:S133" si="58">H117</f>
        <v>2011</v>
      </c>
      <c r="I133" s="87">
        <f t="shared" si="58"/>
        <v>2012</v>
      </c>
      <c r="J133" s="87">
        <f t="shared" si="58"/>
        <v>2013</v>
      </c>
      <c r="K133" s="87">
        <f t="shared" si="58"/>
        <v>2014</v>
      </c>
      <c r="L133" s="87">
        <f t="shared" si="58"/>
        <v>2015</v>
      </c>
      <c r="M133" s="87">
        <f t="shared" si="58"/>
        <v>2016</v>
      </c>
      <c r="N133" s="87">
        <f t="shared" si="58"/>
        <v>2017</v>
      </c>
      <c r="O133" s="87">
        <f t="shared" si="58"/>
        <v>2018</v>
      </c>
      <c r="P133" s="87">
        <f t="shared" si="58"/>
        <v>2019</v>
      </c>
      <c r="Q133" s="87">
        <f t="shared" si="58"/>
        <v>2020</v>
      </c>
      <c r="R133" s="87">
        <f t="shared" si="58"/>
        <v>2021</v>
      </c>
      <c r="S133" s="87">
        <f t="shared" si="58"/>
        <v>2022</v>
      </c>
    </row>
    <row r="134" spans="1:21" x14ac:dyDescent="0.2">
      <c r="A134" s="34" t="s">
        <v>448</v>
      </c>
      <c r="B134" s="2" t="s">
        <v>221</v>
      </c>
      <c r="C134" s="39" t="s">
        <v>239</v>
      </c>
      <c r="E134" s="109"/>
      <c r="F134" s="37"/>
      <c r="G134" s="110" t="s">
        <v>240</v>
      </c>
      <c r="H134" s="118">
        <f t="shared" ref="H134:S134" si="59">H10/H4</f>
        <v>0.99050090170373029</v>
      </c>
      <c r="I134" s="118">
        <f t="shared" si="59"/>
        <v>0.98597555418992588</v>
      </c>
      <c r="J134" s="118">
        <f t="shared" si="59"/>
        <v>0.93966111889031956</v>
      </c>
      <c r="K134" s="118">
        <f t="shared" si="59"/>
        <v>0.9648412554405329</v>
      </c>
      <c r="L134" s="118">
        <f t="shared" si="59"/>
        <v>0.96229401891974364</v>
      </c>
      <c r="M134" s="118">
        <f t="shared" si="59"/>
        <v>0.96428005702518615</v>
      </c>
      <c r="N134" s="118">
        <f t="shared" si="59"/>
        <v>0.92592592592592593</v>
      </c>
      <c r="O134" s="118">
        <f t="shared" si="59"/>
        <v>0.33333333333333331</v>
      </c>
      <c r="P134" s="118">
        <f t="shared" si="59"/>
        <v>0</v>
      </c>
      <c r="Q134" s="118">
        <f t="shared" si="59"/>
        <v>0</v>
      </c>
      <c r="R134" s="118">
        <f t="shared" si="59"/>
        <v>0</v>
      </c>
      <c r="S134" s="118">
        <f t="shared" si="59"/>
        <v>0</v>
      </c>
    </row>
    <row r="135" spans="1:21" x14ac:dyDescent="0.2">
      <c r="A135" s="34" t="s">
        <v>449</v>
      </c>
      <c r="B135" s="2" t="s">
        <v>224</v>
      </c>
      <c r="C135" s="39" t="s">
        <v>242</v>
      </c>
      <c r="E135" s="109"/>
      <c r="F135" s="37"/>
      <c r="G135" s="110" t="s">
        <v>243</v>
      </c>
      <c r="H135" s="118">
        <f t="shared" ref="H135:S135" si="60">-(H58)/H15</f>
        <v>0</v>
      </c>
      <c r="I135" s="118">
        <f t="shared" si="60"/>
        <v>0</v>
      </c>
      <c r="J135" s="118">
        <f t="shared" si="60"/>
        <v>0.36037610164954315</v>
      </c>
      <c r="K135" s="118">
        <f t="shared" si="60"/>
        <v>3.2066735931085263E-2</v>
      </c>
      <c r="L135" s="118">
        <f t="shared" si="60"/>
        <v>2.6359858166606777E-2</v>
      </c>
      <c r="M135" s="118">
        <f t="shared" si="60"/>
        <v>3.163080546082668E-2</v>
      </c>
      <c r="N135" s="118">
        <f t="shared" si="60"/>
        <v>0</v>
      </c>
      <c r="O135" s="118">
        <f t="shared" si="60"/>
        <v>0</v>
      </c>
      <c r="P135" s="118" t="e">
        <f t="shared" si="60"/>
        <v>#DIV/0!</v>
      </c>
      <c r="Q135" s="118" t="e">
        <f t="shared" si="60"/>
        <v>#DIV/0!</v>
      </c>
      <c r="R135" s="118" t="e">
        <f t="shared" si="60"/>
        <v>#DIV/0!</v>
      </c>
      <c r="S135" s="118" t="e">
        <f t="shared" si="60"/>
        <v>#DIV/0!</v>
      </c>
    </row>
    <row r="136" spans="1:21" x14ac:dyDescent="0.2">
      <c r="A136" s="34" t="s">
        <v>450</v>
      </c>
      <c r="B136" s="2" t="s">
        <v>227</v>
      </c>
      <c r="C136" s="8" t="s">
        <v>245</v>
      </c>
      <c r="E136" s="109"/>
      <c r="F136" s="37"/>
      <c r="G136" s="103" t="s">
        <v>246</v>
      </c>
      <c r="H136" s="111">
        <f t="shared" ref="H136:S136" si="61">H33/H4</f>
        <v>4.2761306827020763E-2</v>
      </c>
      <c r="I136" s="111">
        <f t="shared" si="61"/>
        <v>5.1293674512287155E-2</v>
      </c>
      <c r="J136" s="111">
        <f t="shared" si="61"/>
        <v>0.16871693183847233</v>
      </c>
      <c r="K136" s="111">
        <f t="shared" si="61"/>
        <v>0.32781287630107381</v>
      </c>
      <c r="L136" s="111">
        <f t="shared" si="61"/>
        <v>9.4684543790051867E-2</v>
      </c>
      <c r="M136" s="111">
        <f t="shared" si="61"/>
        <v>0.14834996567928613</v>
      </c>
      <c r="N136" s="111">
        <f t="shared" si="61"/>
        <v>0.27160493827160492</v>
      </c>
      <c r="O136" s="111">
        <f t="shared" si="61"/>
        <v>2.4444444444444446</v>
      </c>
      <c r="P136" s="111">
        <f t="shared" si="61"/>
        <v>3.6666666666666665</v>
      </c>
      <c r="Q136" s="111">
        <f t="shared" si="61"/>
        <v>3.6666666666666665</v>
      </c>
      <c r="R136" s="111">
        <f t="shared" si="61"/>
        <v>3.6666666666666665</v>
      </c>
      <c r="S136" s="111">
        <f t="shared" si="61"/>
        <v>3.6666666666666665</v>
      </c>
    </row>
    <row r="137" spans="1:21" x14ac:dyDescent="0.2">
      <c r="A137" s="34" t="s">
        <v>451</v>
      </c>
      <c r="B137" s="2" t="s">
        <v>231</v>
      </c>
      <c r="C137" s="39" t="s">
        <v>248</v>
      </c>
      <c r="E137" s="109"/>
      <c r="F137" s="37"/>
      <c r="G137" s="46" t="s">
        <v>249</v>
      </c>
      <c r="H137" s="111">
        <f t="shared" ref="H137:S137" si="62">H33/H15</f>
        <v>4.5683977265732402E-2</v>
      </c>
      <c r="I137" s="111">
        <f t="shared" si="62"/>
        <v>5.5051071203765699E-2</v>
      </c>
      <c r="J137" s="111">
        <f t="shared" si="62"/>
        <v>0.18627656461730971</v>
      </c>
      <c r="K137" s="111">
        <f t="shared" si="62"/>
        <v>0.35080494668993412</v>
      </c>
      <c r="L137" s="111">
        <f t="shared" si="62"/>
        <v>0.10097493508342541</v>
      </c>
      <c r="M137" s="111">
        <f t="shared" si="62"/>
        <v>0.15604900969752175</v>
      </c>
      <c r="N137" s="111">
        <f t="shared" si="62"/>
        <v>0.29333333333333333</v>
      </c>
      <c r="O137" s="111">
        <f t="shared" si="62"/>
        <v>7.333333333333333</v>
      </c>
      <c r="P137" s="111" t="e">
        <f t="shared" si="62"/>
        <v>#DIV/0!</v>
      </c>
      <c r="Q137" s="111" t="e">
        <f t="shared" si="62"/>
        <v>#DIV/0!</v>
      </c>
      <c r="R137" s="111" t="e">
        <f t="shared" si="62"/>
        <v>#DIV/0!</v>
      </c>
      <c r="S137" s="111" t="e">
        <f t="shared" si="62"/>
        <v>#DIV/0!</v>
      </c>
    </row>
    <row r="138" spans="1:21" x14ac:dyDescent="0.2">
      <c r="A138" s="8" t="s">
        <v>452</v>
      </c>
      <c r="B138" s="2" t="s">
        <v>234</v>
      </c>
      <c r="C138" s="39" t="s">
        <v>251</v>
      </c>
      <c r="D138" s="106">
        <v>0.5</v>
      </c>
      <c r="E138" s="106">
        <f>1/3</f>
        <v>0.33333333333333331</v>
      </c>
      <c r="F138" s="114" t="s">
        <v>433</v>
      </c>
      <c r="G138" s="100" t="s">
        <v>252</v>
      </c>
      <c r="H138" s="118">
        <f t="shared" ref="H138:S138" si="63">H27/H4</f>
        <v>0.99566337162293217</v>
      </c>
      <c r="I138" s="118">
        <f t="shared" si="63"/>
        <v>0.99489680279086934</v>
      </c>
      <c r="J138" s="118">
        <f t="shared" si="63"/>
        <v>0.75071469518555767</v>
      </c>
      <c r="K138" s="118">
        <f t="shared" si="63"/>
        <v>0.96636118776230606</v>
      </c>
      <c r="L138" s="118">
        <f t="shared" si="63"/>
        <v>0.97863264164377972</v>
      </c>
      <c r="M138" s="118">
        <f t="shared" si="63"/>
        <v>0.99584455356671431</v>
      </c>
      <c r="N138" s="118">
        <f t="shared" si="63"/>
        <v>0.98765432098765427</v>
      </c>
      <c r="O138" s="118">
        <f t="shared" si="63"/>
        <v>0.88888888888888884</v>
      </c>
      <c r="P138" s="118">
        <f t="shared" si="63"/>
        <v>0.83333333333333337</v>
      </c>
      <c r="Q138" s="118">
        <f t="shared" si="63"/>
        <v>0.83333333333333337</v>
      </c>
      <c r="R138" s="118">
        <f t="shared" si="63"/>
        <v>0.83333333333333337</v>
      </c>
      <c r="S138" s="118">
        <f t="shared" si="63"/>
        <v>0.83333333333333337</v>
      </c>
    </row>
    <row r="139" spans="1:21" x14ac:dyDescent="0.2"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</row>
    <row r="140" spans="1:21" x14ac:dyDescent="0.2">
      <c r="A140" s="40"/>
      <c r="C140" s="2"/>
      <c r="D140" s="41"/>
      <c r="E140" s="42"/>
      <c r="F140" s="37"/>
      <c r="G140" s="94" t="s">
        <v>253</v>
      </c>
      <c r="H140" s="87">
        <f t="shared" ref="H140:S140" si="64">H133</f>
        <v>2011</v>
      </c>
      <c r="I140" s="87">
        <f t="shared" si="64"/>
        <v>2012</v>
      </c>
      <c r="J140" s="87">
        <f t="shared" si="64"/>
        <v>2013</v>
      </c>
      <c r="K140" s="87">
        <f t="shared" si="64"/>
        <v>2014</v>
      </c>
      <c r="L140" s="87">
        <f t="shared" si="64"/>
        <v>2015</v>
      </c>
      <c r="M140" s="87">
        <f t="shared" si="64"/>
        <v>2016</v>
      </c>
      <c r="N140" s="87">
        <f t="shared" si="64"/>
        <v>2017</v>
      </c>
      <c r="O140" s="87">
        <f t="shared" si="64"/>
        <v>2018</v>
      </c>
      <c r="P140" s="87">
        <f t="shared" si="64"/>
        <v>2019</v>
      </c>
      <c r="Q140" s="87">
        <f t="shared" si="64"/>
        <v>2020</v>
      </c>
      <c r="R140" s="87">
        <f t="shared" si="64"/>
        <v>2021</v>
      </c>
      <c r="S140" s="87">
        <f t="shared" si="64"/>
        <v>2022</v>
      </c>
    </row>
    <row r="141" spans="1:21" x14ac:dyDescent="0.2">
      <c r="A141" s="8" t="s">
        <v>453</v>
      </c>
      <c r="B141" s="2" t="s">
        <v>238</v>
      </c>
      <c r="C141" s="8" t="s">
        <v>255</v>
      </c>
      <c r="D141" s="43"/>
      <c r="E141" s="106">
        <v>0.05</v>
      </c>
      <c r="G141" s="103" t="s">
        <v>256</v>
      </c>
      <c r="H141" s="108">
        <f t="shared" ref="H141:S141" si="65">H35/H33</f>
        <v>0.71295755670334604</v>
      </c>
      <c r="I141" s="108">
        <f t="shared" si="65"/>
        <v>0.67939139941690962</v>
      </c>
      <c r="J141" s="108">
        <f t="shared" si="65"/>
        <v>0.16118754525706008</v>
      </c>
      <c r="K141" s="108">
        <f t="shared" si="65"/>
        <v>9.1128667035676555E-2</v>
      </c>
      <c r="L141" s="108">
        <f t="shared" si="65"/>
        <v>0.46486722395675967</v>
      </c>
      <c r="M141" s="108">
        <f t="shared" si="65"/>
        <v>0.50672693621867881</v>
      </c>
      <c r="N141" s="108">
        <f t="shared" si="65"/>
        <v>0.63636363636363635</v>
      </c>
      <c r="O141" s="108">
        <f t="shared" si="65"/>
        <v>0.63636363636363635</v>
      </c>
      <c r="P141" s="108">
        <f t="shared" si="65"/>
        <v>0.63636363636363635</v>
      </c>
      <c r="Q141" s="108">
        <f t="shared" si="65"/>
        <v>0.63636363636363635</v>
      </c>
      <c r="R141" s="108">
        <f t="shared" si="65"/>
        <v>0.63636363636363635</v>
      </c>
      <c r="S141" s="108">
        <f t="shared" si="65"/>
        <v>0.63636363636363635</v>
      </c>
    </row>
    <row r="142" spans="1:21" x14ac:dyDescent="0.2">
      <c r="A142" s="8" t="s">
        <v>454</v>
      </c>
      <c r="B142" s="2" t="s">
        <v>241</v>
      </c>
      <c r="C142" s="8" t="s">
        <v>258</v>
      </c>
      <c r="E142" s="106">
        <v>0.95</v>
      </c>
      <c r="G142" s="110" t="s">
        <v>259</v>
      </c>
      <c r="H142" s="118">
        <f t="shared" ref="H142:S142" si="66">(H36+H34)/H33</f>
        <v>0.28704244329665396</v>
      </c>
      <c r="I142" s="118">
        <f t="shared" si="66"/>
        <v>0.32060860058309043</v>
      </c>
      <c r="J142" s="118">
        <f t="shared" si="66"/>
        <v>0.83881245474293997</v>
      </c>
      <c r="K142" s="118">
        <f t="shared" si="66"/>
        <v>0.90887133296432354</v>
      </c>
      <c r="L142" s="118">
        <f t="shared" si="66"/>
        <v>0.53513277604324039</v>
      </c>
      <c r="M142" s="118">
        <f t="shared" si="66"/>
        <v>0.49327306378132119</v>
      </c>
      <c r="N142" s="118">
        <f t="shared" si="66"/>
        <v>0.36363636363636365</v>
      </c>
      <c r="O142" s="118">
        <f t="shared" si="66"/>
        <v>0.36363636363636365</v>
      </c>
      <c r="P142" s="118">
        <f t="shared" si="66"/>
        <v>0.36363636363636365</v>
      </c>
      <c r="Q142" s="118">
        <f t="shared" si="66"/>
        <v>0.36363636363636365</v>
      </c>
      <c r="R142" s="118">
        <f t="shared" si="66"/>
        <v>0.36363636363636365</v>
      </c>
      <c r="S142" s="118">
        <f t="shared" si="66"/>
        <v>0.36363636363636365</v>
      </c>
    </row>
    <row r="143" spans="1:21" x14ac:dyDescent="0.2">
      <c r="A143" s="8" t="s">
        <v>455</v>
      </c>
      <c r="B143" s="2" t="s">
        <v>244</v>
      </c>
      <c r="C143" s="8" t="s">
        <v>261</v>
      </c>
      <c r="E143" s="106">
        <v>0.95</v>
      </c>
      <c r="G143" s="46" t="s">
        <v>262</v>
      </c>
      <c r="H143" s="108">
        <f t="shared" ref="H143:S143" si="67">H38/(H38+H41)</f>
        <v>0</v>
      </c>
      <c r="I143" s="108">
        <f t="shared" si="67"/>
        <v>0</v>
      </c>
      <c r="J143" s="108">
        <f t="shared" si="67"/>
        <v>0</v>
      </c>
      <c r="K143" s="108">
        <f t="shared" si="67"/>
        <v>0</v>
      </c>
      <c r="L143" s="108">
        <f t="shared" si="67"/>
        <v>0</v>
      </c>
      <c r="M143" s="108">
        <f t="shared" si="67"/>
        <v>0</v>
      </c>
      <c r="N143" s="108">
        <f t="shared" si="67"/>
        <v>0</v>
      </c>
      <c r="O143" s="108">
        <f t="shared" si="67"/>
        <v>0</v>
      </c>
      <c r="P143" s="108">
        <f t="shared" si="67"/>
        <v>0</v>
      </c>
      <c r="Q143" s="108">
        <f t="shared" si="67"/>
        <v>0</v>
      </c>
      <c r="R143" s="108">
        <f t="shared" si="67"/>
        <v>0</v>
      </c>
      <c r="S143" s="108">
        <f t="shared" si="67"/>
        <v>0</v>
      </c>
    </row>
    <row r="144" spans="1:21" x14ac:dyDescent="0.2">
      <c r="C144" s="8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</row>
    <row r="145" spans="1:19" x14ac:dyDescent="0.2">
      <c r="A145" s="40"/>
      <c r="C145" s="119"/>
      <c r="D145" s="41"/>
      <c r="E145" s="42"/>
      <c r="F145" s="37"/>
      <c r="G145" s="94"/>
      <c r="H145" s="87">
        <f>H140</f>
        <v>2011</v>
      </c>
      <c r="I145" s="87">
        <f t="shared" ref="I145:S145" si="68">I140</f>
        <v>2012</v>
      </c>
      <c r="J145" s="87">
        <f t="shared" si="68"/>
        <v>2013</v>
      </c>
      <c r="K145" s="87">
        <f t="shared" si="68"/>
        <v>2014</v>
      </c>
      <c r="L145" s="87">
        <f t="shared" si="68"/>
        <v>2015</v>
      </c>
      <c r="M145" s="87">
        <f t="shared" si="68"/>
        <v>2016</v>
      </c>
      <c r="N145" s="87">
        <f t="shared" si="68"/>
        <v>2017</v>
      </c>
      <c r="O145" s="87">
        <f t="shared" si="68"/>
        <v>2018</v>
      </c>
      <c r="P145" s="87">
        <f t="shared" si="68"/>
        <v>2019</v>
      </c>
      <c r="Q145" s="87">
        <f t="shared" si="68"/>
        <v>2020</v>
      </c>
      <c r="R145" s="87">
        <f t="shared" si="68"/>
        <v>2021</v>
      </c>
      <c r="S145" s="87">
        <f t="shared" si="68"/>
        <v>2022</v>
      </c>
    </row>
    <row r="146" spans="1:19" x14ac:dyDescent="0.2">
      <c r="A146" s="4" t="s">
        <v>456</v>
      </c>
      <c r="B146" s="2" t="s">
        <v>247</v>
      </c>
      <c r="C146" s="8" t="s">
        <v>264</v>
      </c>
      <c r="D146" s="120">
        <v>0.5</v>
      </c>
      <c r="E146" s="121" t="s">
        <v>265</v>
      </c>
      <c r="F146" s="4"/>
      <c r="G146" s="103" t="s">
        <v>266</v>
      </c>
      <c r="H146" s="111">
        <f t="shared" ref="H146:S146" si="69">IF(H141&lt;$D$146,$E$146,H35/H4)</f>
        <v>3.0486996836834836E-2</v>
      </c>
      <c r="I146" s="111">
        <f t="shared" si="69"/>
        <v>3.4848481308138238E-2</v>
      </c>
      <c r="J146" s="111" t="str">
        <f t="shared" si="69"/>
        <v>N/A</v>
      </c>
      <c r="K146" s="111" t="str">
        <f t="shared" si="69"/>
        <v>N/A</v>
      </c>
      <c r="L146" s="111" t="str">
        <f t="shared" si="69"/>
        <v>N/A</v>
      </c>
      <c r="M146" s="111">
        <f t="shared" si="69"/>
        <v>7.5172923596810826E-2</v>
      </c>
      <c r="N146" s="111">
        <f t="shared" si="69"/>
        <v>0.1728395061728395</v>
      </c>
      <c r="O146" s="111">
        <f t="shared" si="69"/>
        <v>1.5555555555555556</v>
      </c>
      <c r="P146" s="111">
        <f t="shared" si="69"/>
        <v>2.3333333333333335</v>
      </c>
      <c r="Q146" s="111">
        <f t="shared" si="69"/>
        <v>2.3333333333333335</v>
      </c>
      <c r="R146" s="111">
        <f t="shared" si="69"/>
        <v>2.3333333333333335</v>
      </c>
      <c r="S146" s="111">
        <f t="shared" si="69"/>
        <v>2.3333333333333335</v>
      </c>
    </row>
    <row r="147" spans="1:19" x14ac:dyDescent="0.2">
      <c r="A147" s="4" t="s">
        <v>457</v>
      </c>
      <c r="B147" s="2" t="s">
        <v>250</v>
      </c>
      <c r="C147" s="8" t="s">
        <v>267</v>
      </c>
      <c r="D147" s="120">
        <v>0.5</v>
      </c>
      <c r="E147" s="121" t="s">
        <v>265</v>
      </c>
      <c r="F147" s="4"/>
      <c r="G147" s="110" t="s">
        <v>268</v>
      </c>
      <c r="H147" s="111">
        <f t="shared" ref="H147:S147" si="70">IF(H141&lt;$D$147,$E$147,H35/H15)</f>
        <v>3.2570736811867784E-2</v>
      </c>
      <c r="I147" s="111">
        <f t="shared" si="70"/>
        <v>3.7401224304526318E-2</v>
      </c>
      <c r="J147" s="111" t="str">
        <f t="shared" si="70"/>
        <v>N/A</v>
      </c>
      <c r="K147" s="111" t="str">
        <f t="shared" si="70"/>
        <v>N/A</v>
      </c>
      <c r="L147" s="111" t="str">
        <f t="shared" si="70"/>
        <v>N/A</v>
      </c>
      <c r="M147" s="111">
        <f t="shared" si="70"/>
        <v>7.9074236583984103E-2</v>
      </c>
      <c r="N147" s="111">
        <f t="shared" si="70"/>
        <v>0.18666666666666668</v>
      </c>
      <c r="O147" s="111">
        <f t="shared" si="70"/>
        <v>4.666666666666667</v>
      </c>
      <c r="P147" s="111" t="e">
        <f t="shared" si="70"/>
        <v>#DIV/0!</v>
      </c>
      <c r="Q147" s="111" t="e">
        <f t="shared" si="70"/>
        <v>#DIV/0!</v>
      </c>
      <c r="R147" s="111" t="e">
        <f t="shared" si="70"/>
        <v>#DIV/0!</v>
      </c>
      <c r="S147" s="111" t="e">
        <f t="shared" si="70"/>
        <v>#DIV/0!</v>
      </c>
    </row>
    <row r="148" spans="1:19" x14ac:dyDescent="0.2">
      <c r="A148" s="4" t="s">
        <v>458</v>
      </c>
      <c r="B148" s="2" t="s">
        <v>254</v>
      </c>
      <c r="C148" s="8" t="s">
        <v>201</v>
      </c>
      <c r="D148" s="120">
        <v>0.5</v>
      </c>
      <c r="E148" s="121" t="s">
        <v>265</v>
      </c>
      <c r="F148" s="4"/>
      <c r="G148" s="103" t="s">
        <v>269</v>
      </c>
      <c r="H148" s="118">
        <f t="shared" ref="H148:S148" si="71">IF(H141&lt;$D$148,$E$148,H46/H33)</f>
        <v>-4.3624522793622278</v>
      </c>
      <c r="I148" s="118">
        <f t="shared" si="71"/>
        <v>-4.2202077259475219</v>
      </c>
      <c r="J148" s="118" t="str">
        <f t="shared" si="71"/>
        <v>N/A</v>
      </c>
      <c r="K148" s="118" t="str">
        <f t="shared" si="71"/>
        <v>N/A</v>
      </c>
      <c r="L148" s="118" t="str">
        <f t="shared" si="71"/>
        <v>N/A</v>
      </c>
      <c r="M148" s="118">
        <f t="shared" si="71"/>
        <v>-4.2450526765375853</v>
      </c>
      <c r="N148" s="118">
        <f t="shared" si="71"/>
        <v>-4.9545454545454541</v>
      </c>
      <c r="O148" s="118">
        <f t="shared" si="71"/>
        <v>-3.2727272727272729</v>
      </c>
      <c r="P148" s="118">
        <f t="shared" si="71"/>
        <v>-0.13636363636363635</v>
      </c>
      <c r="Q148" s="118">
        <f t="shared" si="71"/>
        <v>0</v>
      </c>
      <c r="R148" s="118">
        <f t="shared" si="71"/>
        <v>0</v>
      </c>
      <c r="S148" s="118">
        <f t="shared" si="71"/>
        <v>0</v>
      </c>
    </row>
    <row r="149" spans="1:19" x14ac:dyDescent="0.2">
      <c r="A149" s="4" t="s">
        <v>459</v>
      </c>
      <c r="B149" s="2" t="s">
        <v>257</v>
      </c>
      <c r="C149" s="8" t="s">
        <v>270</v>
      </c>
      <c r="D149" s="120">
        <v>0.5</v>
      </c>
      <c r="E149" s="121" t="s">
        <v>265</v>
      </c>
      <c r="F149" s="4"/>
      <c r="G149" s="110" t="s">
        <v>271</v>
      </c>
      <c r="H149" s="118">
        <f t="shared" ref="H149:S149" si="72">IF(H141&lt;$D$148,$E$149,H51/H33)</f>
        <v>-4.3622726251964963</v>
      </c>
      <c r="I149" s="118">
        <f t="shared" si="72"/>
        <v>-4.220162172011662</v>
      </c>
      <c r="J149" s="118" t="str">
        <f t="shared" si="72"/>
        <v>N/A</v>
      </c>
      <c r="K149" s="118" t="str">
        <f t="shared" si="72"/>
        <v>N/A</v>
      </c>
      <c r="L149" s="118" t="str">
        <f t="shared" si="72"/>
        <v>N/A</v>
      </c>
      <c r="M149" s="118">
        <f t="shared" si="72"/>
        <v>-4.2449814920273354</v>
      </c>
      <c r="N149" s="118">
        <f t="shared" si="72"/>
        <v>-4.9545454545454541</v>
      </c>
      <c r="O149" s="118">
        <f t="shared" si="72"/>
        <v>-3.2727272727272729</v>
      </c>
      <c r="P149" s="118">
        <f t="shared" si="72"/>
        <v>-0.13636363636363635</v>
      </c>
      <c r="Q149" s="118">
        <f t="shared" si="72"/>
        <v>0</v>
      </c>
      <c r="R149" s="118">
        <f t="shared" si="72"/>
        <v>0</v>
      </c>
      <c r="S149" s="118">
        <f t="shared" si="72"/>
        <v>0</v>
      </c>
    </row>
    <row r="150" spans="1:19" x14ac:dyDescent="0.2">
      <c r="A150" s="4" t="s">
        <v>460</v>
      </c>
      <c r="B150" s="2" t="s">
        <v>260</v>
      </c>
      <c r="C150" s="8" t="s">
        <v>272</v>
      </c>
      <c r="D150" s="120">
        <v>0.5</v>
      </c>
      <c r="E150" s="121" t="s">
        <v>265</v>
      </c>
      <c r="F150" s="4"/>
      <c r="G150" s="110" t="s">
        <v>273</v>
      </c>
      <c r="H150" s="118">
        <f t="shared" ref="H150:S150" si="73">IF(H141&lt;$D$150,$E$150,H51/H4)</f>
        <v>-0.18653647818914074</v>
      </c>
      <c r="I150" s="118">
        <f t="shared" si="73"/>
        <v>-0.21646762484023296</v>
      </c>
      <c r="J150" s="118" t="str">
        <f t="shared" si="73"/>
        <v>N/A</v>
      </c>
      <c r="K150" s="118" t="str">
        <f t="shared" si="73"/>
        <v>N/A</v>
      </c>
      <c r="L150" s="118" t="str">
        <f t="shared" si="73"/>
        <v>N/A</v>
      </c>
      <c r="M150" s="118">
        <f t="shared" si="73"/>
        <v>-0.62974285865146007</v>
      </c>
      <c r="N150" s="118">
        <f t="shared" si="73"/>
        <v>-1.345679012345679</v>
      </c>
      <c r="O150" s="118">
        <f t="shared" si="73"/>
        <v>-8</v>
      </c>
      <c r="P150" s="118">
        <f t="shared" si="73"/>
        <v>-0.5</v>
      </c>
      <c r="Q150" s="118">
        <f t="shared" si="73"/>
        <v>0</v>
      </c>
      <c r="R150" s="118">
        <f t="shared" si="73"/>
        <v>0</v>
      </c>
      <c r="S150" s="118">
        <f t="shared" si="73"/>
        <v>0</v>
      </c>
    </row>
    <row r="151" spans="1:19" x14ac:dyDescent="0.2">
      <c r="A151" s="4" t="s">
        <v>461</v>
      </c>
      <c r="B151" s="2" t="s">
        <v>263</v>
      </c>
      <c r="C151" s="8" t="s">
        <v>274</v>
      </c>
      <c r="D151" s="120">
        <v>0.5</v>
      </c>
      <c r="E151" s="121" t="s">
        <v>265</v>
      </c>
      <c r="F151" s="4"/>
      <c r="G151" s="46" t="s">
        <v>275</v>
      </c>
      <c r="H151" s="118">
        <f>IF(H141&lt;$D$151,$E$151,H51/H27)</f>
        <v>-0.18734894092275997</v>
      </c>
      <c r="I151" s="118">
        <f>IF(I141&lt;$D$151,$E$151,I51/((H27+I27)/2))</f>
        <v>-0.19623048360209527</v>
      </c>
      <c r="J151" s="118" t="str">
        <f>IF(J141&lt;$D$151,$E$151,J51/((I27+J27)/2))</f>
        <v>N/A</v>
      </c>
      <c r="K151" s="118" t="str">
        <f>IF(K141&lt;$D$151,$E$151,K51/((J27+K27)/2))</f>
        <v>N/A</v>
      </c>
      <c r="L151" s="118" t="str">
        <f>IF(L141&lt;$D$151,$E$151,L51/((K27+L27)/2))</f>
        <v>N/A</v>
      </c>
      <c r="M151" s="118">
        <f>IF(M141&lt;$D$151,$E$151,M51/((L27+M27)/2))</f>
        <v>-0.48045714469870471</v>
      </c>
      <c r="N151" s="118">
        <f t="shared" ref="N151:S151" si="74">IF(N141&lt;$D$151,$E$151,N51/((M27+N27)/2))</f>
        <v>-0.81160672069932205</v>
      </c>
      <c r="O151" s="118">
        <f t="shared" si="74"/>
        <v>-1.6363636363636365</v>
      </c>
      <c r="P151" s="118">
        <f t="shared" si="74"/>
        <v>-0.46153846153846156</v>
      </c>
      <c r="Q151" s="118">
        <f t="shared" si="74"/>
        <v>0</v>
      </c>
      <c r="R151" s="118">
        <f t="shared" si="74"/>
        <v>0</v>
      </c>
      <c r="S151" s="118">
        <f t="shared" si="74"/>
        <v>0</v>
      </c>
    </row>
    <row r="152" spans="1:19" x14ac:dyDescent="0.2">
      <c r="C152" s="119"/>
      <c r="D152" s="41"/>
      <c r="E152" s="42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</row>
    <row r="153" spans="1:19" x14ac:dyDescent="0.2">
      <c r="G153" s="94" t="s">
        <v>462</v>
      </c>
      <c r="H153" s="87">
        <f>H145</f>
        <v>2011</v>
      </c>
      <c r="I153" s="87">
        <f t="shared" ref="I153:S153" si="75">I145</f>
        <v>2012</v>
      </c>
      <c r="J153" s="87">
        <f t="shared" si="75"/>
        <v>2013</v>
      </c>
      <c r="K153" s="87">
        <f t="shared" si="75"/>
        <v>2014</v>
      </c>
      <c r="L153" s="87">
        <f t="shared" si="75"/>
        <v>2015</v>
      </c>
      <c r="M153" s="87">
        <f t="shared" si="75"/>
        <v>2016</v>
      </c>
      <c r="N153" s="87">
        <f t="shared" si="75"/>
        <v>2017</v>
      </c>
      <c r="O153" s="87">
        <f t="shared" si="75"/>
        <v>2018</v>
      </c>
      <c r="P153" s="87">
        <f t="shared" si="75"/>
        <v>2019</v>
      </c>
      <c r="Q153" s="87">
        <f t="shared" si="75"/>
        <v>2020</v>
      </c>
      <c r="R153" s="87">
        <f t="shared" si="75"/>
        <v>2021</v>
      </c>
      <c r="S153" s="87">
        <f t="shared" si="75"/>
        <v>2022</v>
      </c>
    </row>
    <row r="154" spans="1:19" x14ac:dyDescent="0.2">
      <c r="G154" s="95" t="s">
        <v>276</v>
      </c>
      <c r="H154" s="96">
        <f t="shared" ref="H154:S154" si="76">H33</f>
        <v>22.265000000000001</v>
      </c>
      <c r="I154" s="96">
        <f t="shared" si="76"/>
        <v>21.951999999999998</v>
      </c>
      <c r="J154" s="96">
        <f t="shared" si="76"/>
        <v>89.765000000000001</v>
      </c>
      <c r="K154" s="96">
        <f t="shared" si="76"/>
        <v>139.11099999999999</v>
      </c>
      <c r="L154" s="96">
        <f>L33</f>
        <v>29.786999999999999</v>
      </c>
      <c r="M154" s="96">
        <f t="shared" si="76"/>
        <v>28.096</v>
      </c>
      <c r="N154" s="96">
        <f t="shared" si="76"/>
        <v>22</v>
      </c>
      <c r="O154" s="96">
        <f t="shared" si="76"/>
        <v>22</v>
      </c>
      <c r="P154" s="96">
        <f t="shared" si="76"/>
        <v>22</v>
      </c>
      <c r="Q154" s="96">
        <f t="shared" si="76"/>
        <v>22</v>
      </c>
      <c r="R154" s="96">
        <f t="shared" si="76"/>
        <v>22</v>
      </c>
      <c r="S154" s="96">
        <f t="shared" si="76"/>
        <v>22</v>
      </c>
    </row>
    <row r="155" spans="1:19" x14ac:dyDescent="0.2">
      <c r="G155" s="95" t="s">
        <v>277</v>
      </c>
      <c r="H155" s="96">
        <f t="shared" ref="H155:S156" si="77">H35</f>
        <v>15.874000000000001</v>
      </c>
      <c r="I155" s="96">
        <f t="shared" si="77"/>
        <v>14.914</v>
      </c>
      <c r="J155" s="96">
        <f t="shared" si="77"/>
        <v>14.468999999999999</v>
      </c>
      <c r="K155" s="96">
        <f t="shared" si="77"/>
        <v>12.677</v>
      </c>
      <c r="L155" s="96">
        <f t="shared" si="77"/>
        <v>13.847</v>
      </c>
      <c r="M155" s="96">
        <f t="shared" si="77"/>
        <v>14.237</v>
      </c>
      <c r="N155" s="96">
        <f t="shared" si="77"/>
        <v>14</v>
      </c>
      <c r="O155" s="96">
        <f t="shared" si="77"/>
        <v>14</v>
      </c>
      <c r="P155" s="96">
        <f t="shared" si="77"/>
        <v>14</v>
      </c>
      <c r="Q155" s="96">
        <f t="shared" si="77"/>
        <v>14</v>
      </c>
      <c r="R155" s="96">
        <f t="shared" si="77"/>
        <v>14</v>
      </c>
      <c r="S155" s="96">
        <f t="shared" si="77"/>
        <v>14</v>
      </c>
    </row>
    <row r="156" spans="1:19" x14ac:dyDescent="0.2">
      <c r="G156" s="95" t="s">
        <v>278</v>
      </c>
      <c r="H156" s="96">
        <f t="shared" si="77"/>
        <v>6.391</v>
      </c>
      <c r="I156" s="96">
        <f t="shared" si="77"/>
        <v>7.0380000000000003</v>
      </c>
      <c r="J156" s="96">
        <f t="shared" si="77"/>
        <v>75.296000000000006</v>
      </c>
      <c r="K156" s="96">
        <f t="shared" si="77"/>
        <v>126.434</v>
      </c>
      <c r="L156" s="96">
        <f t="shared" si="77"/>
        <v>15.94</v>
      </c>
      <c r="M156" s="96">
        <f t="shared" si="77"/>
        <v>13.859</v>
      </c>
      <c r="N156" s="96">
        <f t="shared" si="77"/>
        <v>8</v>
      </c>
      <c r="O156" s="96">
        <f t="shared" si="77"/>
        <v>8</v>
      </c>
      <c r="P156" s="96">
        <f t="shared" si="77"/>
        <v>8</v>
      </c>
      <c r="Q156" s="96">
        <f t="shared" si="77"/>
        <v>8</v>
      </c>
      <c r="R156" s="96">
        <f t="shared" si="77"/>
        <v>8</v>
      </c>
      <c r="S156" s="96">
        <f t="shared" si="77"/>
        <v>8</v>
      </c>
    </row>
    <row r="157" spans="1:19" x14ac:dyDescent="0.2">
      <c r="G157" s="95" t="s">
        <v>279</v>
      </c>
      <c r="H157" s="96">
        <f t="shared" ref="H157:S157" si="78">H38+H41</f>
        <v>-119.395</v>
      </c>
      <c r="I157" s="96">
        <f t="shared" si="78"/>
        <v>-114.59399999999999</v>
      </c>
      <c r="J157" s="96">
        <f t="shared" si="78"/>
        <v>-116.13500000000001</v>
      </c>
      <c r="K157" s="96">
        <f t="shared" si="78"/>
        <v>-128.43899999999999</v>
      </c>
      <c r="L157" s="96">
        <f t="shared" si="78"/>
        <v>-132.01599999999999</v>
      </c>
      <c r="M157" s="96">
        <f t="shared" si="78"/>
        <v>-147.36500000000001</v>
      </c>
      <c r="N157" s="96">
        <f t="shared" si="78"/>
        <v>-131</v>
      </c>
      <c r="O157" s="96">
        <f t="shared" si="78"/>
        <v>-94</v>
      </c>
      <c r="P157" s="96">
        <f t="shared" si="78"/>
        <v>-25</v>
      </c>
      <c r="Q157" s="96">
        <f t="shared" si="78"/>
        <v>-22</v>
      </c>
      <c r="R157" s="96">
        <f t="shared" si="78"/>
        <v>-22</v>
      </c>
      <c r="S157" s="96">
        <f t="shared" si="78"/>
        <v>-22</v>
      </c>
    </row>
    <row r="158" spans="1:19" x14ac:dyDescent="0.2">
      <c r="G158" s="95" t="s">
        <v>280</v>
      </c>
      <c r="H158" s="96">
        <f t="shared" ref="H158:S158" si="79">H41</f>
        <v>-119.395</v>
      </c>
      <c r="I158" s="96">
        <f t="shared" si="79"/>
        <v>-114.59399999999999</v>
      </c>
      <c r="J158" s="96">
        <f t="shared" si="79"/>
        <v>-116.13500000000001</v>
      </c>
      <c r="K158" s="96">
        <f t="shared" si="79"/>
        <v>-128.43899999999999</v>
      </c>
      <c r="L158" s="96">
        <f t="shared" si="79"/>
        <v>-132.01599999999999</v>
      </c>
      <c r="M158" s="96">
        <f t="shared" si="79"/>
        <v>-147.36500000000001</v>
      </c>
      <c r="N158" s="96">
        <f t="shared" si="79"/>
        <v>-131</v>
      </c>
      <c r="O158" s="96">
        <f t="shared" si="79"/>
        <v>-94</v>
      </c>
      <c r="P158" s="96">
        <f t="shared" si="79"/>
        <v>-25</v>
      </c>
      <c r="Q158" s="96">
        <f t="shared" si="79"/>
        <v>-22</v>
      </c>
      <c r="R158" s="96">
        <f t="shared" si="79"/>
        <v>-22</v>
      </c>
      <c r="S158" s="96">
        <f t="shared" si="79"/>
        <v>-22</v>
      </c>
    </row>
    <row r="159" spans="1:19" x14ac:dyDescent="0.2">
      <c r="G159" s="95" t="s">
        <v>281</v>
      </c>
      <c r="H159" s="96">
        <f t="shared" ref="H159:S159" si="80">H38</f>
        <v>0</v>
      </c>
      <c r="I159" s="96">
        <f t="shared" si="80"/>
        <v>0</v>
      </c>
      <c r="J159" s="96">
        <f t="shared" si="80"/>
        <v>0</v>
      </c>
      <c r="K159" s="96">
        <f t="shared" si="80"/>
        <v>0</v>
      </c>
      <c r="L159" s="96">
        <f t="shared" si="80"/>
        <v>0</v>
      </c>
      <c r="M159" s="96">
        <f t="shared" si="80"/>
        <v>0</v>
      </c>
      <c r="N159" s="96">
        <f t="shared" si="80"/>
        <v>0</v>
      </c>
      <c r="O159" s="96">
        <f t="shared" si="80"/>
        <v>0</v>
      </c>
      <c r="P159" s="96">
        <f t="shared" si="80"/>
        <v>0</v>
      </c>
      <c r="Q159" s="96">
        <f t="shared" si="80"/>
        <v>0</v>
      </c>
      <c r="R159" s="96">
        <f t="shared" si="80"/>
        <v>0</v>
      </c>
      <c r="S159" s="96">
        <f t="shared" si="80"/>
        <v>0</v>
      </c>
    </row>
    <row r="160" spans="1:19" x14ac:dyDescent="0.2">
      <c r="G160" s="95" t="s">
        <v>282</v>
      </c>
      <c r="H160" s="96">
        <f t="shared" ref="H160:S160" si="81">H46</f>
        <v>-97.13</v>
      </c>
      <c r="I160" s="96">
        <f t="shared" si="81"/>
        <v>-92.641999999999996</v>
      </c>
      <c r="J160" s="96">
        <f t="shared" si="81"/>
        <v>-26.370000000000005</v>
      </c>
      <c r="K160" s="96">
        <f t="shared" si="81"/>
        <v>10.671999999999997</v>
      </c>
      <c r="L160" s="96">
        <f t="shared" si="81"/>
        <v>-102.22899999999998</v>
      </c>
      <c r="M160" s="96">
        <f t="shared" si="81"/>
        <v>-119.26900000000001</v>
      </c>
      <c r="N160" s="96">
        <f t="shared" si="81"/>
        <v>-109</v>
      </c>
      <c r="O160" s="96">
        <f t="shared" si="81"/>
        <v>-72</v>
      </c>
      <c r="P160" s="96">
        <f t="shared" si="81"/>
        <v>-3</v>
      </c>
      <c r="Q160" s="96">
        <f t="shared" si="81"/>
        <v>0</v>
      </c>
      <c r="R160" s="96">
        <f t="shared" si="81"/>
        <v>0</v>
      </c>
      <c r="S160" s="96">
        <f t="shared" si="81"/>
        <v>0</v>
      </c>
    </row>
    <row r="161" spans="1:19" x14ac:dyDescent="0.2">
      <c r="G161" s="95" t="s">
        <v>283</v>
      </c>
      <c r="H161" s="96">
        <f t="shared" ref="H161:S161" si="82">H51</f>
        <v>-97.125999999999991</v>
      </c>
      <c r="I161" s="96">
        <f t="shared" si="82"/>
        <v>-92.640999999999991</v>
      </c>
      <c r="J161" s="96">
        <f t="shared" si="82"/>
        <v>-26.369000000000003</v>
      </c>
      <c r="K161" s="96">
        <f t="shared" si="82"/>
        <v>10.671999999999997</v>
      </c>
      <c r="L161" s="96">
        <f t="shared" si="82"/>
        <v>-102.21699999999998</v>
      </c>
      <c r="M161" s="96">
        <f t="shared" si="82"/>
        <v>-119.26700000000001</v>
      </c>
      <c r="N161" s="96">
        <f t="shared" si="82"/>
        <v>-109</v>
      </c>
      <c r="O161" s="96">
        <f t="shared" si="82"/>
        <v>-72</v>
      </c>
      <c r="P161" s="96">
        <f t="shared" si="82"/>
        <v>-3</v>
      </c>
      <c r="Q161" s="96">
        <f t="shared" si="82"/>
        <v>0</v>
      </c>
      <c r="R161" s="96">
        <f t="shared" si="82"/>
        <v>0</v>
      </c>
      <c r="S161" s="96">
        <f t="shared" si="82"/>
        <v>0</v>
      </c>
    </row>
    <row r="162" spans="1:19" x14ac:dyDescent="0.2">
      <c r="G162" s="95" t="s">
        <v>284</v>
      </c>
      <c r="H162" s="96">
        <f t="shared" ref="H162:S163" si="83">H4</f>
        <v>520.68100000000004</v>
      </c>
      <c r="I162" s="96">
        <f t="shared" si="83"/>
        <v>427.96700000000004</v>
      </c>
      <c r="J162" s="96">
        <f t="shared" si="83"/>
        <v>532.04499999999996</v>
      </c>
      <c r="K162" s="96">
        <f t="shared" si="83"/>
        <v>424.36100000000005</v>
      </c>
      <c r="L162" s="96">
        <f t="shared" si="83"/>
        <v>314.59200000000004</v>
      </c>
      <c r="M162" s="96">
        <f t="shared" si="83"/>
        <v>189.39</v>
      </c>
      <c r="N162" s="96">
        <f t="shared" si="83"/>
        <v>81</v>
      </c>
      <c r="O162" s="96">
        <f t="shared" si="83"/>
        <v>9</v>
      </c>
      <c r="P162" s="96">
        <f t="shared" si="83"/>
        <v>6</v>
      </c>
      <c r="Q162" s="96">
        <f t="shared" si="83"/>
        <v>6</v>
      </c>
      <c r="R162" s="96">
        <f t="shared" si="83"/>
        <v>6</v>
      </c>
      <c r="S162" s="96">
        <f t="shared" si="83"/>
        <v>6</v>
      </c>
    </row>
    <row r="163" spans="1:19" x14ac:dyDescent="0.2">
      <c r="G163" s="95" t="s">
        <v>285</v>
      </c>
      <c r="H163" s="96">
        <f t="shared" si="83"/>
        <v>4.9459999999999997</v>
      </c>
      <c r="I163" s="96">
        <f t="shared" si="83"/>
        <v>6.0019999999999998</v>
      </c>
      <c r="J163" s="96">
        <f t="shared" si="83"/>
        <v>32.103000000000002</v>
      </c>
      <c r="K163" s="96">
        <f t="shared" si="83"/>
        <v>14.92</v>
      </c>
      <c r="L163" s="96">
        <f t="shared" si="83"/>
        <v>11.862</v>
      </c>
      <c r="M163" s="96">
        <f t="shared" si="83"/>
        <v>6.7649999999999997</v>
      </c>
      <c r="N163" s="96">
        <f t="shared" si="83"/>
        <v>6</v>
      </c>
      <c r="O163" s="96">
        <f t="shared" si="83"/>
        <v>6</v>
      </c>
      <c r="P163" s="96">
        <f t="shared" si="83"/>
        <v>6</v>
      </c>
      <c r="Q163" s="96">
        <f t="shared" si="83"/>
        <v>6</v>
      </c>
      <c r="R163" s="96">
        <f t="shared" si="83"/>
        <v>6</v>
      </c>
      <c r="S163" s="96">
        <f t="shared" si="83"/>
        <v>6</v>
      </c>
    </row>
    <row r="164" spans="1:19" x14ac:dyDescent="0.2">
      <c r="G164" s="95" t="s">
        <v>286</v>
      </c>
      <c r="H164" s="96">
        <f t="shared" ref="H164:S164" si="84">H10</f>
        <v>515.73500000000001</v>
      </c>
      <c r="I164" s="96">
        <f t="shared" si="84"/>
        <v>421.96500000000003</v>
      </c>
      <c r="J164" s="96">
        <f t="shared" si="84"/>
        <v>499.94200000000001</v>
      </c>
      <c r="K164" s="96">
        <f t="shared" si="84"/>
        <v>409.44100000000003</v>
      </c>
      <c r="L164" s="96">
        <f t="shared" si="84"/>
        <v>302.73</v>
      </c>
      <c r="M164" s="96">
        <f t="shared" si="84"/>
        <v>182.625</v>
      </c>
      <c r="N164" s="96">
        <f t="shared" si="84"/>
        <v>75</v>
      </c>
      <c r="O164" s="96">
        <f t="shared" si="84"/>
        <v>3</v>
      </c>
      <c r="P164" s="96">
        <f t="shared" si="84"/>
        <v>0</v>
      </c>
      <c r="Q164" s="96">
        <f t="shared" si="84"/>
        <v>0</v>
      </c>
      <c r="R164" s="96">
        <f t="shared" si="84"/>
        <v>0</v>
      </c>
      <c r="S164" s="96">
        <f t="shared" si="84"/>
        <v>0</v>
      </c>
    </row>
    <row r="165" spans="1:19" x14ac:dyDescent="0.2">
      <c r="G165" s="95" t="s">
        <v>287</v>
      </c>
      <c r="H165" s="96">
        <f t="shared" ref="H165:S166" si="85">H19</f>
        <v>2.258</v>
      </c>
      <c r="I165" s="96">
        <f t="shared" si="85"/>
        <v>2.1840000000000002</v>
      </c>
      <c r="J165" s="96">
        <f t="shared" si="85"/>
        <v>132.63</v>
      </c>
      <c r="K165" s="96">
        <f t="shared" si="85"/>
        <v>14.276</v>
      </c>
      <c r="L165" s="96">
        <f t="shared" si="85"/>
        <v>6.7220000000000004</v>
      </c>
      <c r="M165" s="96">
        <f t="shared" si="85"/>
        <v>0.78700000000000003</v>
      </c>
      <c r="N165" s="96">
        <f t="shared" si="85"/>
        <v>1</v>
      </c>
      <c r="O165" s="96">
        <f t="shared" si="85"/>
        <v>1</v>
      </c>
      <c r="P165" s="96">
        <f t="shared" si="85"/>
        <v>1</v>
      </c>
      <c r="Q165" s="96">
        <f t="shared" si="85"/>
        <v>1</v>
      </c>
      <c r="R165" s="96">
        <f t="shared" si="85"/>
        <v>1</v>
      </c>
      <c r="S165" s="96">
        <f t="shared" si="85"/>
        <v>1</v>
      </c>
    </row>
    <row r="166" spans="1:19" x14ac:dyDescent="0.2">
      <c r="G166" s="95" t="s">
        <v>288</v>
      </c>
      <c r="H166" s="96">
        <f t="shared" si="85"/>
        <v>2.258</v>
      </c>
      <c r="I166" s="96">
        <f t="shared" si="85"/>
        <v>2.1840000000000002</v>
      </c>
      <c r="J166" s="96">
        <f t="shared" si="85"/>
        <v>132.63</v>
      </c>
      <c r="K166" s="96">
        <f t="shared" si="85"/>
        <v>14.276</v>
      </c>
      <c r="L166" s="96">
        <f t="shared" si="85"/>
        <v>6.7220000000000004</v>
      </c>
      <c r="M166" s="96">
        <f t="shared" si="85"/>
        <v>0.78700000000000003</v>
      </c>
      <c r="N166" s="96">
        <f t="shared" si="85"/>
        <v>1</v>
      </c>
      <c r="O166" s="96">
        <f t="shared" si="85"/>
        <v>1</v>
      </c>
      <c r="P166" s="96">
        <f t="shared" si="85"/>
        <v>1</v>
      </c>
      <c r="Q166" s="96">
        <f t="shared" si="85"/>
        <v>1</v>
      </c>
      <c r="R166" s="96">
        <f t="shared" si="85"/>
        <v>1</v>
      </c>
      <c r="S166" s="96">
        <f t="shared" si="85"/>
        <v>1</v>
      </c>
    </row>
    <row r="167" spans="1:19" x14ac:dyDescent="0.2">
      <c r="G167" s="95" t="s">
        <v>289</v>
      </c>
      <c r="H167" s="96">
        <f t="shared" ref="H167:S167" si="86">H24</f>
        <v>0</v>
      </c>
      <c r="I167" s="96">
        <f t="shared" si="86"/>
        <v>0</v>
      </c>
      <c r="J167" s="96">
        <f t="shared" si="86"/>
        <v>0</v>
      </c>
      <c r="K167" s="96">
        <f t="shared" si="86"/>
        <v>0</v>
      </c>
      <c r="L167" s="96">
        <f t="shared" si="86"/>
        <v>0</v>
      </c>
      <c r="M167" s="96">
        <f t="shared" si="86"/>
        <v>0</v>
      </c>
      <c r="N167" s="96">
        <f t="shared" si="86"/>
        <v>0</v>
      </c>
      <c r="O167" s="96">
        <f t="shared" si="86"/>
        <v>0</v>
      </c>
      <c r="P167" s="96">
        <f t="shared" si="86"/>
        <v>0</v>
      </c>
      <c r="Q167" s="96">
        <f t="shared" si="86"/>
        <v>0</v>
      </c>
      <c r="R167" s="96">
        <f t="shared" si="86"/>
        <v>0</v>
      </c>
      <c r="S167" s="96">
        <f t="shared" si="86"/>
        <v>0</v>
      </c>
    </row>
    <row r="168" spans="1:19" x14ac:dyDescent="0.2">
      <c r="G168" s="95" t="s">
        <v>290</v>
      </c>
      <c r="H168" s="96">
        <f t="shared" ref="H168:S168" si="87">H27</f>
        <v>518.423</v>
      </c>
      <c r="I168" s="96">
        <f t="shared" si="87"/>
        <v>425.78300000000002</v>
      </c>
      <c r="J168" s="96">
        <f t="shared" si="87"/>
        <v>399.41399999999999</v>
      </c>
      <c r="K168" s="96">
        <f t="shared" si="87"/>
        <v>410.08600000000001</v>
      </c>
      <c r="L168" s="96">
        <f t="shared" si="87"/>
        <v>307.87</v>
      </c>
      <c r="M168" s="96">
        <f t="shared" si="87"/>
        <v>188.60300000000001</v>
      </c>
      <c r="N168" s="96">
        <f t="shared" si="87"/>
        <v>80</v>
      </c>
      <c r="O168" s="96">
        <f t="shared" si="87"/>
        <v>8</v>
      </c>
      <c r="P168" s="96">
        <f t="shared" si="87"/>
        <v>5</v>
      </c>
      <c r="Q168" s="96">
        <f t="shared" si="87"/>
        <v>5</v>
      </c>
      <c r="R168" s="96">
        <f t="shared" si="87"/>
        <v>5</v>
      </c>
      <c r="S168" s="96">
        <f t="shared" si="87"/>
        <v>5</v>
      </c>
    </row>
    <row r="169" spans="1:19" x14ac:dyDescent="0.2">
      <c r="C169" s="119"/>
      <c r="D169" s="41"/>
      <c r="E169" s="42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</row>
    <row r="170" spans="1:19" x14ac:dyDescent="0.2">
      <c r="C170" s="119" t="s">
        <v>463</v>
      </c>
      <c r="D170" s="41"/>
      <c r="E170" s="42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</row>
    <row r="171" spans="1:19" x14ac:dyDescent="0.2">
      <c r="C171" s="119"/>
      <c r="D171" s="41"/>
      <c r="E171" s="42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</row>
    <row r="172" spans="1:19" s="40" customFormat="1" x14ac:dyDescent="0.2">
      <c r="A172" s="29"/>
      <c r="B172" s="2"/>
      <c r="C172" s="29" t="s">
        <v>464</v>
      </c>
      <c r="D172" s="99"/>
      <c r="E172" s="30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</row>
    <row r="173" spans="1:19" x14ac:dyDescent="0.2">
      <c r="C173" s="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</row>
    <row r="174" spans="1:19" x14ac:dyDescent="0.2">
      <c r="C174" s="8" t="s">
        <v>291</v>
      </c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</row>
    <row r="175" spans="1:19" x14ac:dyDescent="0.2">
      <c r="C175" s="8" t="s">
        <v>292</v>
      </c>
      <c r="F175" s="12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  <c r="R175" s="44"/>
    </row>
    <row r="176" spans="1:19" x14ac:dyDescent="0.2">
      <c r="C176" s="8"/>
      <c r="F176" s="12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</row>
    <row r="177" spans="3:6" x14ac:dyDescent="0.2">
      <c r="C177" s="8" t="s">
        <v>293</v>
      </c>
      <c r="F177" s="12"/>
    </row>
    <row r="178" spans="3:6" x14ac:dyDescent="0.2">
      <c r="C178" s="8" t="s">
        <v>294</v>
      </c>
      <c r="F178" s="12"/>
    </row>
  </sheetData>
  <mergeCells count="1">
    <mergeCell ref="D92:E92"/>
  </mergeCells>
  <conditionalFormatting sqref="H141:Q141">
    <cfRule type="cellIs" dxfId="202" priority="51" stopIfTrue="1" operator="greaterThan">
      <formula>$E$141</formula>
    </cfRule>
    <cfRule type="cellIs" dxfId="201" priority="52" stopIfTrue="1" operator="lessThanOrEqual">
      <formula>$E$141</formula>
    </cfRule>
  </conditionalFormatting>
  <conditionalFormatting sqref="H143:Q143">
    <cfRule type="cellIs" dxfId="200" priority="49" stopIfTrue="1" operator="lessThanOrEqual">
      <formula>$E$143</formula>
    </cfRule>
    <cfRule type="cellIs" dxfId="199" priority="50" stopIfTrue="1" operator="greaterThan">
      <formula>$E$143</formula>
    </cfRule>
  </conditionalFormatting>
  <conditionalFormatting sqref="H121:Q121">
    <cfRule type="cellIs" dxfId="198" priority="47" operator="greaterThan">
      <formula>$E$121</formula>
    </cfRule>
    <cfRule type="cellIs" dxfId="197" priority="48" operator="lessThanOrEqual">
      <formula>$E$121</formula>
    </cfRule>
  </conditionalFormatting>
  <conditionalFormatting sqref="H124:Q124">
    <cfRule type="cellIs" dxfId="196" priority="45" stopIfTrue="1" operator="greaterThanOrEqual">
      <formula>$E$124</formula>
    </cfRule>
    <cfRule type="cellIs" dxfId="195" priority="46" stopIfTrue="1" operator="lessThan">
      <formula>$E$124</formula>
    </cfRule>
  </conditionalFormatting>
  <conditionalFormatting sqref="H126:Q126">
    <cfRule type="cellIs" dxfId="194" priority="43" stopIfTrue="1" operator="lessThan">
      <formula>$E$126</formula>
    </cfRule>
    <cfRule type="cellIs" dxfId="193" priority="44" stopIfTrue="1" operator="greaterThanOrEqual">
      <formula>$E$126</formula>
    </cfRule>
  </conditionalFormatting>
  <conditionalFormatting sqref="H125:Q125">
    <cfRule type="cellIs" dxfId="192" priority="41" stopIfTrue="1" operator="greaterThan">
      <formula>$E$125</formula>
    </cfRule>
    <cfRule type="cellIs" dxfId="191" priority="42" stopIfTrue="1" operator="lessThanOrEqual">
      <formula>$E$125</formula>
    </cfRule>
  </conditionalFormatting>
  <conditionalFormatting sqref="H122:Q122">
    <cfRule type="cellIs" dxfId="190" priority="30" stopIfTrue="1" operator="between">
      <formula>$D$122</formula>
      <formula>$E$122</formula>
    </cfRule>
    <cfRule type="cellIs" dxfId="189" priority="39" stopIfTrue="1" operator="lessThanOrEqual">
      <formula>$D$122</formula>
    </cfRule>
    <cfRule type="cellIs" dxfId="188" priority="40" stopIfTrue="1" operator="greaterThan">
      <formula>$E$122</formula>
    </cfRule>
  </conditionalFormatting>
  <conditionalFormatting sqref="H142:Q142">
    <cfRule type="cellIs" dxfId="187" priority="37" stopIfTrue="1" operator="greaterThan">
      <formula>$E$142</formula>
    </cfRule>
    <cfRule type="cellIs" dxfId="186" priority="38" stopIfTrue="1" operator="lessThanOrEqual">
      <formula>$E$142</formula>
    </cfRule>
  </conditionalFormatting>
  <conditionalFormatting sqref="H130:Q130">
    <cfRule type="cellIs" dxfId="185" priority="35" stopIfTrue="1" operator="greaterThan">
      <formula>$E$130</formula>
    </cfRule>
    <cfRule type="cellIs" dxfId="184" priority="36" stopIfTrue="1" operator="lessThanOrEqual">
      <formula>$E$130</formula>
    </cfRule>
  </conditionalFormatting>
  <conditionalFormatting sqref="H131:Q131">
    <cfRule type="cellIs" dxfId="183" priority="33" stopIfTrue="1" operator="lessThan">
      <formula>$E$131</formula>
    </cfRule>
    <cfRule type="cellIs" dxfId="182" priority="34" stopIfTrue="1" operator="greaterThanOrEqual">
      <formula>$E$131</formula>
    </cfRule>
  </conditionalFormatting>
  <conditionalFormatting sqref="H114:Q114">
    <cfRule type="cellIs" dxfId="181" priority="53" stopIfTrue="1" operator="lessThan">
      <formula>$D$114</formula>
    </cfRule>
    <cfRule type="cellIs" dxfId="180" priority="54" stopIfTrue="1" operator="between">
      <formula>$D$114</formula>
      <formula>$E$114</formula>
    </cfRule>
    <cfRule type="cellIs" dxfId="179" priority="55" stopIfTrue="1" operator="greaterThan">
      <formula>$E$114</formula>
    </cfRule>
  </conditionalFormatting>
  <conditionalFormatting sqref="H138:Q138">
    <cfRule type="cellIs" dxfId="178" priority="56" stopIfTrue="1" operator="lessThan">
      <formula>$E$138</formula>
    </cfRule>
    <cfRule type="cellIs" dxfId="177" priority="57" stopIfTrue="1" operator="between">
      <formula>$D$138</formula>
      <formula>$E$138</formula>
    </cfRule>
    <cfRule type="cellIs" dxfId="176" priority="58" stopIfTrue="1" operator="greaterThanOrEqual">
      <formula>$D$138</formula>
    </cfRule>
  </conditionalFormatting>
  <conditionalFormatting sqref="H111:Q111">
    <cfRule type="cellIs" dxfId="175" priority="31" stopIfTrue="1" operator="lessThan">
      <formula>$E$111</formula>
    </cfRule>
    <cfRule type="cellIs" dxfId="174" priority="32" stopIfTrue="1" operator="greaterThan">
      <formula>$E$111</formula>
    </cfRule>
  </conditionalFormatting>
  <conditionalFormatting sqref="R141:S141">
    <cfRule type="cellIs" dxfId="173" priority="22" stopIfTrue="1" operator="greaterThan">
      <formula>$E$141</formula>
    </cfRule>
    <cfRule type="cellIs" dxfId="172" priority="23" stopIfTrue="1" operator="lessThanOrEqual">
      <formula>$E$141</formula>
    </cfRule>
  </conditionalFormatting>
  <conditionalFormatting sqref="R143:S143">
    <cfRule type="cellIs" dxfId="171" priority="20" stopIfTrue="1" operator="lessThanOrEqual">
      <formula>$E$143</formula>
    </cfRule>
    <cfRule type="cellIs" dxfId="170" priority="21" stopIfTrue="1" operator="greaterThan">
      <formula>$E$143</formula>
    </cfRule>
  </conditionalFormatting>
  <conditionalFormatting sqref="R121:S121">
    <cfRule type="cellIs" dxfId="169" priority="18" operator="greaterThan">
      <formula>$E$121</formula>
    </cfRule>
    <cfRule type="cellIs" dxfId="168" priority="19" operator="lessThanOrEqual">
      <formula>$E$121</formula>
    </cfRule>
  </conditionalFormatting>
  <conditionalFormatting sqref="R124:S124">
    <cfRule type="cellIs" dxfId="167" priority="16" stopIfTrue="1" operator="greaterThanOrEqual">
      <formula>$E$124</formula>
    </cfRule>
    <cfRule type="cellIs" dxfId="166" priority="17" stopIfTrue="1" operator="lessThan">
      <formula>$E$124</formula>
    </cfRule>
  </conditionalFormatting>
  <conditionalFormatting sqref="R126:S126">
    <cfRule type="cellIs" dxfId="165" priority="14" stopIfTrue="1" operator="lessThan">
      <formula>$E$126</formula>
    </cfRule>
    <cfRule type="cellIs" dxfId="164" priority="15" stopIfTrue="1" operator="greaterThanOrEqual">
      <formula>$E$126</formula>
    </cfRule>
  </conditionalFormatting>
  <conditionalFormatting sqref="R125:S125">
    <cfRule type="cellIs" dxfId="163" priority="12" stopIfTrue="1" operator="greaterThan">
      <formula>$E$125</formula>
    </cfRule>
    <cfRule type="cellIs" dxfId="162" priority="13" stopIfTrue="1" operator="lessThanOrEqual">
      <formula>$E$125</formula>
    </cfRule>
  </conditionalFormatting>
  <conditionalFormatting sqref="R122:S122">
    <cfRule type="cellIs" dxfId="161" priority="1" stopIfTrue="1" operator="between">
      <formula>$D$122</formula>
      <formula>$E$122</formula>
    </cfRule>
    <cfRule type="cellIs" dxfId="160" priority="10" stopIfTrue="1" operator="lessThanOrEqual">
      <formula>$D$122</formula>
    </cfRule>
    <cfRule type="cellIs" dxfId="159" priority="11" stopIfTrue="1" operator="greaterThan">
      <formula>$E$122</formula>
    </cfRule>
  </conditionalFormatting>
  <conditionalFormatting sqref="R142:S142">
    <cfRule type="cellIs" dxfId="158" priority="8" stopIfTrue="1" operator="greaterThan">
      <formula>$E$142</formula>
    </cfRule>
    <cfRule type="cellIs" dxfId="157" priority="9" stopIfTrue="1" operator="lessThanOrEqual">
      <formula>$E$142</formula>
    </cfRule>
  </conditionalFormatting>
  <conditionalFormatting sqref="R130:S130">
    <cfRule type="cellIs" dxfId="156" priority="6" stopIfTrue="1" operator="greaterThan">
      <formula>$E$130</formula>
    </cfRule>
    <cfRule type="cellIs" dxfId="155" priority="7" stopIfTrue="1" operator="lessThanOrEqual">
      <formula>$E$130</formula>
    </cfRule>
  </conditionalFormatting>
  <conditionalFormatting sqref="R131:S131">
    <cfRule type="cellIs" dxfId="154" priority="4" stopIfTrue="1" operator="lessThan">
      <formula>$E$131</formula>
    </cfRule>
    <cfRule type="cellIs" dxfId="153" priority="5" stopIfTrue="1" operator="greaterThanOrEqual">
      <formula>$E$131</formula>
    </cfRule>
  </conditionalFormatting>
  <conditionalFormatting sqref="R114:S114">
    <cfRule type="cellIs" dxfId="152" priority="24" stopIfTrue="1" operator="lessThan">
      <formula>$D$114</formula>
    </cfRule>
    <cfRule type="cellIs" dxfId="151" priority="25" stopIfTrue="1" operator="between">
      <formula>$D$114</formula>
      <formula>$E$114</formula>
    </cfRule>
    <cfRule type="cellIs" dxfId="150" priority="26" stopIfTrue="1" operator="greaterThan">
      <formula>$E$114</formula>
    </cfRule>
  </conditionalFormatting>
  <conditionalFormatting sqref="R138:S138">
    <cfRule type="cellIs" dxfId="149" priority="27" stopIfTrue="1" operator="lessThan">
      <formula>$E$138</formula>
    </cfRule>
    <cfRule type="cellIs" dxfId="148" priority="28" stopIfTrue="1" operator="between">
      <formula>$D$138</formula>
      <formula>$E$138</formula>
    </cfRule>
    <cfRule type="cellIs" dxfId="147" priority="29" stopIfTrue="1" operator="greaterThanOrEqual">
      <formula>$D$138</formula>
    </cfRule>
  </conditionalFormatting>
  <conditionalFormatting sqref="R111:S111">
    <cfRule type="cellIs" dxfId="146" priority="2" stopIfTrue="1" operator="lessThan">
      <formula>$E$111</formula>
    </cfRule>
    <cfRule type="cellIs" dxfId="145" priority="3" stopIfTrue="1" operator="greaterThan">
      <formula>$E$111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CFCF9B-43E4-4809-B52A-56742D5EFB07}">
  <dimension ref="A1:S150"/>
  <sheetViews>
    <sheetView topLeftCell="B1" workbookViewId="0">
      <selection activeCell="R9" sqref="R9"/>
    </sheetView>
  </sheetViews>
  <sheetFormatPr defaultRowHeight="11.25" outlineLevelCol="1" x14ac:dyDescent="0.2"/>
  <cols>
    <col min="1" max="2" width="9.140625" style="676"/>
    <col min="3" max="5" width="9.28515625" style="676" bestFit="1" customWidth="1"/>
    <col min="6" max="6" width="3.5703125" style="676" customWidth="1"/>
    <col min="7" max="7" width="49.85546875" style="676" customWidth="1"/>
    <col min="8" max="12" width="10.140625" style="676" hidden="1" customWidth="1" outlineLevel="1"/>
    <col min="13" max="13" width="10.140625" style="676" bestFit="1" customWidth="1" collapsed="1"/>
    <col min="14" max="19" width="10.140625" style="676" bestFit="1" customWidth="1"/>
    <col min="20" max="16384" width="9.140625" style="676"/>
  </cols>
  <sheetData>
    <row r="1" spans="1:19" x14ac:dyDescent="0.2">
      <c r="A1" s="657">
        <v>2017</v>
      </c>
      <c r="B1" s="671"/>
      <c r="C1" s="658"/>
      <c r="D1" s="658"/>
      <c r="E1" s="657"/>
      <c r="F1" s="657"/>
      <c r="G1" s="670"/>
      <c r="H1" s="670"/>
      <c r="I1" s="670"/>
      <c r="J1" s="670"/>
      <c r="K1" s="670"/>
      <c r="L1" s="670"/>
      <c r="M1" s="670"/>
      <c r="N1" s="670"/>
      <c r="O1" s="670"/>
      <c r="P1" s="670"/>
      <c r="Q1" s="670"/>
      <c r="R1" s="670"/>
    </row>
    <row r="2" spans="1:19" x14ac:dyDescent="0.2">
      <c r="A2" s="658" t="s">
        <v>0</v>
      </c>
      <c r="B2" s="677" t="s">
        <v>1</v>
      </c>
      <c r="C2" s="658" t="s">
        <v>2</v>
      </c>
      <c r="D2" s="658"/>
      <c r="E2" s="657" t="s">
        <v>3</v>
      </c>
      <c r="F2" s="657"/>
      <c r="G2" s="678" t="s">
        <v>611</v>
      </c>
      <c r="H2" s="679"/>
      <c r="I2" s="680"/>
      <c r="J2" s="681"/>
      <c r="K2" s="744"/>
      <c r="L2" s="744"/>
      <c r="M2" s="743" t="s">
        <v>473</v>
      </c>
      <c r="N2" s="742" t="s">
        <v>610</v>
      </c>
      <c r="O2" s="744"/>
      <c r="P2" s="742"/>
      <c r="Q2" s="742"/>
      <c r="R2" s="742"/>
      <c r="S2" s="682"/>
    </row>
    <row r="3" spans="1:19" x14ac:dyDescent="0.2">
      <c r="A3" s="657"/>
      <c r="B3" s="683"/>
      <c r="C3" s="658"/>
      <c r="D3" s="658"/>
      <c r="E3" s="657"/>
      <c r="F3" s="657"/>
      <c r="G3" s="684" t="s">
        <v>4</v>
      </c>
      <c r="H3" s="685">
        <v>40908</v>
      </c>
      <c r="I3" s="685">
        <v>41274</v>
      </c>
      <c r="J3" s="685">
        <v>41639</v>
      </c>
      <c r="K3" s="685">
        <v>42004</v>
      </c>
      <c r="L3" s="685">
        <v>42369</v>
      </c>
      <c r="M3" s="685">
        <v>42735</v>
      </c>
      <c r="N3" s="686">
        <v>43100</v>
      </c>
      <c r="O3" s="685">
        <v>43465</v>
      </c>
      <c r="P3" s="685">
        <v>43830</v>
      </c>
      <c r="Q3" s="685">
        <v>44196</v>
      </c>
      <c r="R3" s="685">
        <v>44561</v>
      </c>
      <c r="S3" s="685">
        <v>44926</v>
      </c>
    </row>
    <row r="4" spans="1:19" x14ac:dyDescent="0.2">
      <c r="A4" s="659"/>
      <c r="B4" s="671" t="s">
        <v>5</v>
      </c>
      <c r="C4" s="658">
        <v>1</v>
      </c>
      <c r="D4" s="658"/>
      <c r="E4" s="677"/>
      <c r="F4" s="659"/>
      <c r="G4" s="687" t="s">
        <v>6</v>
      </c>
      <c r="H4" s="688">
        <f t="shared" ref="H4:S4" si="0">H5+H10</f>
        <v>12498.413</v>
      </c>
      <c r="I4" s="688">
        <f t="shared" si="0"/>
        <v>12173.442999999999</v>
      </c>
      <c r="J4" s="688">
        <f t="shared" si="0"/>
        <v>11715.913</v>
      </c>
      <c r="K4" s="688">
        <f t="shared" si="0"/>
        <v>11213.396000000001</v>
      </c>
      <c r="L4" s="688">
        <f t="shared" si="0"/>
        <v>10724.312000000002</v>
      </c>
      <c r="M4" s="688">
        <f t="shared" si="0"/>
        <v>10231</v>
      </c>
      <c r="N4" s="688">
        <f t="shared" si="0"/>
        <v>9772</v>
      </c>
      <c r="O4" s="688">
        <f t="shared" si="0"/>
        <v>9223</v>
      </c>
      <c r="P4" s="688">
        <f t="shared" si="0"/>
        <v>8740</v>
      </c>
      <c r="Q4" s="688">
        <f t="shared" si="0"/>
        <v>8705</v>
      </c>
      <c r="R4" s="688">
        <f t="shared" si="0"/>
        <v>8707</v>
      </c>
      <c r="S4" s="688">
        <f t="shared" si="0"/>
        <v>8229</v>
      </c>
    </row>
    <row r="5" spans="1:19" x14ac:dyDescent="0.2">
      <c r="A5" s="660"/>
      <c r="B5" s="671" t="s">
        <v>7</v>
      </c>
      <c r="C5" s="658">
        <v>10</v>
      </c>
      <c r="D5" s="658"/>
      <c r="E5" s="673"/>
      <c r="F5" s="660"/>
      <c r="G5" s="689" t="s">
        <v>8</v>
      </c>
      <c r="H5" s="688">
        <f t="shared" ref="H5:S5" si="1">SUM(H6:H9)</f>
        <v>360.38400000000001</v>
      </c>
      <c r="I5" s="688">
        <f t="shared" si="1"/>
        <v>348.447</v>
      </c>
      <c r="J5" s="688">
        <f t="shared" si="1"/>
        <v>390.03700000000003</v>
      </c>
      <c r="K5" s="688">
        <f t="shared" si="1"/>
        <v>390.74299999999999</v>
      </c>
      <c r="L5" s="688">
        <f t="shared" si="1"/>
        <v>406.91500000000002</v>
      </c>
      <c r="M5" s="688">
        <f t="shared" si="1"/>
        <v>412</v>
      </c>
      <c r="N5" s="688">
        <f t="shared" si="1"/>
        <v>450</v>
      </c>
      <c r="O5" s="688">
        <f t="shared" si="1"/>
        <v>448</v>
      </c>
      <c r="P5" s="688">
        <f t="shared" si="1"/>
        <v>397</v>
      </c>
      <c r="Q5" s="688">
        <f t="shared" si="1"/>
        <v>352</v>
      </c>
      <c r="R5" s="688">
        <f t="shared" si="1"/>
        <v>402</v>
      </c>
      <c r="S5" s="688">
        <f t="shared" si="1"/>
        <v>486</v>
      </c>
    </row>
    <row r="6" spans="1:19" x14ac:dyDescent="0.2">
      <c r="A6" s="660"/>
      <c r="B6" s="671" t="s">
        <v>9</v>
      </c>
      <c r="C6" s="672" t="s">
        <v>10</v>
      </c>
      <c r="D6" s="672"/>
      <c r="E6" s="690" t="s">
        <v>11</v>
      </c>
      <c r="F6" s="660"/>
      <c r="G6" s="689" t="s">
        <v>12</v>
      </c>
      <c r="H6" s="691">
        <v>24.224</v>
      </c>
      <c r="I6" s="691">
        <v>4.0979999999999999</v>
      </c>
      <c r="J6" s="691">
        <v>3.3559999999999999</v>
      </c>
      <c r="K6" s="691">
        <v>9.6609999999999996</v>
      </c>
      <c r="L6" s="691">
        <v>4.2089999999999996</v>
      </c>
      <c r="M6" s="691">
        <v>5</v>
      </c>
      <c r="N6" s="691">
        <v>19</v>
      </c>
      <c r="O6" s="691">
        <v>7</v>
      </c>
      <c r="P6" s="691">
        <v>2</v>
      </c>
      <c r="Q6" s="691">
        <v>2</v>
      </c>
      <c r="R6" s="691">
        <v>2</v>
      </c>
      <c r="S6" s="691">
        <v>2</v>
      </c>
    </row>
    <row r="7" spans="1:19" x14ac:dyDescent="0.2">
      <c r="A7" s="660"/>
      <c r="B7" s="671" t="s">
        <v>13</v>
      </c>
      <c r="C7" s="672" t="s">
        <v>14</v>
      </c>
      <c r="D7" s="672"/>
      <c r="E7" s="690" t="s">
        <v>11</v>
      </c>
      <c r="F7" s="660"/>
      <c r="G7" s="689" t="s">
        <v>15</v>
      </c>
      <c r="H7" s="691">
        <v>332.58300000000003</v>
      </c>
      <c r="I7" s="691">
        <v>339.601</v>
      </c>
      <c r="J7" s="691">
        <v>385.31400000000002</v>
      </c>
      <c r="K7" s="691">
        <v>379.04899999999998</v>
      </c>
      <c r="L7" s="691">
        <v>401.90300000000002</v>
      </c>
      <c r="M7" s="691">
        <v>405</v>
      </c>
      <c r="N7" s="691">
        <v>427</v>
      </c>
      <c r="O7" s="691">
        <v>440</v>
      </c>
      <c r="P7" s="691">
        <v>395</v>
      </c>
      <c r="Q7" s="691">
        <v>350</v>
      </c>
      <c r="R7" s="691">
        <v>400</v>
      </c>
      <c r="S7" s="691">
        <v>478</v>
      </c>
    </row>
    <row r="8" spans="1:19" x14ac:dyDescent="0.2">
      <c r="A8" s="660"/>
      <c r="B8" s="671" t="s">
        <v>16</v>
      </c>
      <c r="C8" s="672" t="s">
        <v>17</v>
      </c>
      <c r="D8" s="672"/>
      <c r="E8" s="690" t="s">
        <v>11</v>
      </c>
      <c r="F8" s="660"/>
      <c r="G8" s="689" t="s">
        <v>18</v>
      </c>
      <c r="H8" s="691">
        <v>0</v>
      </c>
      <c r="I8" s="691">
        <v>0</v>
      </c>
      <c r="J8" s="691">
        <v>0</v>
      </c>
      <c r="K8" s="691">
        <v>0</v>
      </c>
      <c r="L8" s="691">
        <v>0</v>
      </c>
      <c r="M8" s="691">
        <v>0</v>
      </c>
      <c r="N8" s="691">
        <v>0</v>
      </c>
      <c r="O8" s="691">
        <v>0</v>
      </c>
      <c r="P8" s="691">
        <v>0</v>
      </c>
      <c r="Q8" s="691">
        <v>0</v>
      </c>
      <c r="R8" s="691">
        <v>0</v>
      </c>
      <c r="S8" s="691">
        <v>0</v>
      </c>
    </row>
    <row r="9" spans="1:19" x14ac:dyDescent="0.2">
      <c r="A9" s="660"/>
      <c r="B9" s="671" t="s">
        <v>19</v>
      </c>
      <c r="C9" s="672">
        <v>108</v>
      </c>
      <c r="D9" s="672"/>
      <c r="E9" s="674"/>
      <c r="F9" s="660"/>
      <c r="G9" s="689" t="s">
        <v>20</v>
      </c>
      <c r="H9" s="691">
        <v>3.577</v>
      </c>
      <c r="I9" s="691">
        <v>4.7480000000000002</v>
      </c>
      <c r="J9" s="691">
        <v>1.367</v>
      </c>
      <c r="K9" s="691">
        <v>2.0329999999999999</v>
      </c>
      <c r="L9" s="691">
        <v>0.80300000000000005</v>
      </c>
      <c r="M9" s="691">
        <v>2</v>
      </c>
      <c r="N9" s="691">
        <v>4</v>
      </c>
      <c r="O9" s="691">
        <v>1</v>
      </c>
      <c r="P9" s="691">
        <v>0</v>
      </c>
      <c r="Q9" s="691">
        <v>0</v>
      </c>
      <c r="R9" s="691">
        <v>0</v>
      </c>
      <c r="S9" s="691">
        <v>6</v>
      </c>
    </row>
    <row r="10" spans="1:19" x14ac:dyDescent="0.2">
      <c r="A10" s="661"/>
      <c r="B10" s="671" t="s">
        <v>21</v>
      </c>
      <c r="C10" s="692">
        <v>15</v>
      </c>
      <c r="D10" s="692"/>
      <c r="E10" s="674"/>
      <c r="F10" s="661"/>
      <c r="G10" s="689" t="s">
        <v>22</v>
      </c>
      <c r="H10" s="688">
        <f>SUM(H11:H16)</f>
        <v>12138.029</v>
      </c>
      <c r="I10" s="688">
        <f t="shared" ref="I10:S10" si="2">SUM(I11:I16)</f>
        <v>11824.995999999999</v>
      </c>
      <c r="J10" s="688">
        <f t="shared" si="2"/>
        <v>11325.876</v>
      </c>
      <c r="K10" s="688">
        <f t="shared" si="2"/>
        <v>10822.653</v>
      </c>
      <c r="L10" s="688">
        <f t="shared" si="2"/>
        <v>10317.397000000001</v>
      </c>
      <c r="M10" s="688">
        <f t="shared" si="2"/>
        <v>9819</v>
      </c>
      <c r="N10" s="688">
        <f t="shared" si="2"/>
        <v>9322</v>
      </c>
      <c r="O10" s="688">
        <f t="shared" si="2"/>
        <v>8775</v>
      </c>
      <c r="P10" s="688">
        <f t="shared" si="2"/>
        <v>8343</v>
      </c>
      <c r="Q10" s="688">
        <f t="shared" si="2"/>
        <v>8353</v>
      </c>
      <c r="R10" s="688">
        <f t="shared" si="2"/>
        <v>8305</v>
      </c>
      <c r="S10" s="688">
        <f t="shared" si="2"/>
        <v>7743</v>
      </c>
    </row>
    <row r="11" spans="1:19" x14ac:dyDescent="0.2">
      <c r="A11" s="661"/>
      <c r="B11" s="671" t="s">
        <v>23</v>
      </c>
      <c r="C11" s="692">
        <v>150</v>
      </c>
      <c r="D11" s="692"/>
      <c r="E11" s="690" t="s">
        <v>11</v>
      </c>
      <c r="F11" s="661"/>
      <c r="G11" s="689" t="s">
        <v>24</v>
      </c>
      <c r="H11" s="691">
        <v>0</v>
      </c>
      <c r="I11" s="691">
        <v>0</v>
      </c>
      <c r="J11" s="691">
        <v>0</v>
      </c>
      <c r="K11" s="691">
        <v>0</v>
      </c>
      <c r="L11" s="691">
        <v>0</v>
      </c>
      <c r="M11" s="691">
        <v>0</v>
      </c>
      <c r="N11" s="691">
        <v>0</v>
      </c>
      <c r="O11" s="691">
        <v>0</v>
      </c>
      <c r="P11" s="691">
        <v>0</v>
      </c>
      <c r="Q11" s="691">
        <v>0</v>
      </c>
      <c r="R11" s="691">
        <v>0</v>
      </c>
      <c r="S11" s="691">
        <v>0</v>
      </c>
    </row>
    <row r="12" spans="1:19" x14ac:dyDescent="0.2">
      <c r="A12" s="661"/>
      <c r="B12" s="671" t="s">
        <v>25</v>
      </c>
      <c r="C12" s="692">
        <v>151</v>
      </c>
      <c r="D12" s="692"/>
      <c r="E12" s="690" t="s">
        <v>11</v>
      </c>
      <c r="F12" s="661"/>
      <c r="G12" s="689" t="s">
        <v>26</v>
      </c>
      <c r="H12" s="691">
        <v>0</v>
      </c>
      <c r="I12" s="691">
        <v>0</v>
      </c>
      <c r="J12" s="691">
        <v>0</v>
      </c>
      <c r="K12" s="691">
        <v>0</v>
      </c>
      <c r="L12" s="691">
        <v>0</v>
      </c>
      <c r="M12" s="691">
        <v>0</v>
      </c>
      <c r="N12" s="691">
        <v>0</v>
      </c>
      <c r="O12" s="691">
        <v>0</v>
      </c>
      <c r="P12" s="691">
        <v>0</v>
      </c>
      <c r="Q12" s="691">
        <v>0</v>
      </c>
      <c r="R12" s="691">
        <v>0</v>
      </c>
      <c r="S12" s="691">
        <v>0</v>
      </c>
    </row>
    <row r="13" spans="1:19" x14ac:dyDescent="0.2">
      <c r="A13" s="660"/>
      <c r="B13" s="671" t="s">
        <v>27</v>
      </c>
      <c r="C13" s="672" t="s">
        <v>28</v>
      </c>
      <c r="D13" s="672"/>
      <c r="E13" s="690" t="s">
        <v>11</v>
      </c>
      <c r="F13" s="660"/>
      <c r="G13" s="689" t="s">
        <v>29</v>
      </c>
      <c r="H13" s="691">
        <v>4530.5129999999999</v>
      </c>
      <c r="I13" s="691">
        <v>4239.5029999999997</v>
      </c>
      <c r="J13" s="691">
        <v>3896.1660000000002</v>
      </c>
      <c r="K13" s="691">
        <v>3557.306</v>
      </c>
      <c r="L13" s="691">
        <v>3206.0360000000001</v>
      </c>
      <c r="M13" s="691">
        <v>2846</v>
      </c>
      <c r="N13" s="691">
        <v>2478</v>
      </c>
      <c r="O13" s="691">
        <v>2105</v>
      </c>
      <c r="P13" s="691">
        <v>1727</v>
      </c>
      <c r="Q13" s="691">
        <v>1344</v>
      </c>
      <c r="R13" s="691">
        <v>957</v>
      </c>
      <c r="S13" s="691">
        <v>585</v>
      </c>
    </row>
    <row r="14" spans="1:19" x14ac:dyDescent="0.2">
      <c r="A14" s="660"/>
      <c r="B14" s="671" t="s">
        <v>30</v>
      </c>
      <c r="C14" s="672">
        <v>154</v>
      </c>
      <c r="D14" s="672"/>
      <c r="E14" s="690" t="s">
        <v>11</v>
      </c>
      <c r="F14" s="660"/>
      <c r="G14" s="689" t="s">
        <v>31</v>
      </c>
      <c r="H14" s="691">
        <v>0</v>
      </c>
      <c r="I14" s="691">
        <v>0</v>
      </c>
      <c r="J14" s="691">
        <v>0</v>
      </c>
      <c r="K14" s="691">
        <v>0</v>
      </c>
      <c r="L14" s="691">
        <v>0</v>
      </c>
      <c r="M14" s="691">
        <v>0</v>
      </c>
      <c r="N14" s="691">
        <v>0</v>
      </c>
      <c r="O14" s="691">
        <v>0</v>
      </c>
      <c r="P14" s="691">
        <v>62</v>
      </c>
      <c r="Q14" s="691">
        <v>372</v>
      </c>
      <c r="R14" s="691">
        <v>529</v>
      </c>
      <c r="S14" s="691">
        <v>0</v>
      </c>
    </row>
    <row r="15" spans="1:19" x14ac:dyDescent="0.2">
      <c r="A15" s="660"/>
      <c r="B15" s="671" t="s">
        <v>32</v>
      </c>
      <c r="C15" s="672" t="s">
        <v>33</v>
      </c>
      <c r="D15" s="672"/>
      <c r="E15" s="690" t="s">
        <v>11</v>
      </c>
      <c r="F15" s="660"/>
      <c r="G15" s="689" t="s">
        <v>34</v>
      </c>
      <c r="H15" s="691">
        <f>7604.59+2.926</f>
        <v>7607.5160000000005</v>
      </c>
      <c r="I15" s="691">
        <f>7583.323+2.17</f>
        <v>7585.4930000000004</v>
      </c>
      <c r="J15" s="691">
        <v>7429.71</v>
      </c>
      <c r="K15" s="691">
        <v>7265.3469999999998</v>
      </c>
      <c r="L15" s="691">
        <v>7111.3609999999999</v>
      </c>
      <c r="M15" s="691">
        <v>6973</v>
      </c>
      <c r="N15" s="691">
        <v>6844</v>
      </c>
      <c r="O15" s="691">
        <v>6670</v>
      </c>
      <c r="P15" s="691">
        <v>6554</v>
      </c>
      <c r="Q15" s="691">
        <v>6637</v>
      </c>
      <c r="R15" s="691">
        <v>6819</v>
      </c>
      <c r="S15" s="691">
        <v>7158</v>
      </c>
    </row>
    <row r="16" spans="1:19" x14ac:dyDescent="0.2">
      <c r="A16" s="660"/>
      <c r="B16" s="671" t="s">
        <v>35</v>
      </c>
      <c r="C16" s="672">
        <v>157</v>
      </c>
      <c r="D16" s="672"/>
      <c r="E16" s="690" t="s">
        <v>11</v>
      </c>
      <c r="F16" s="660"/>
      <c r="G16" s="689" t="s">
        <v>36</v>
      </c>
      <c r="H16" s="691">
        <v>0</v>
      </c>
      <c r="I16" s="691">
        <v>0</v>
      </c>
      <c r="J16" s="691">
        <v>0</v>
      </c>
      <c r="K16" s="691">
        <v>0</v>
      </c>
      <c r="L16" s="691">
        <v>0</v>
      </c>
      <c r="M16" s="691">
        <v>0</v>
      </c>
      <c r="N16" s="691">
        <v>0</v>
      </c>
      <c r="O16" s="691">
        <v>0</v>
      </c>
      <c r="P16" s="691">
        <v>0</v>
      </c>
      <c r="Q16" s="691">
        <v>0</v>
      </c>
      <c r="R16" s="691">
        <v>0</v>
      </c>
      <c r="S16" s="691">
        <v>0</v>
      </c>
    </row>
    <row r="17" spans="1:19" x14ac:dyDescent="0.2">
      <c r="A17" s="662"/>
      <c r="B17" s="671" t="s">
        <v>37</v>
      </c>
      <c r="C17" s="662" t="s">
        <v>38</v>
      </c>
      <c r="D17" s="662"/>
      <c r="E17" s="690" t="s">
        <v>11</v>
      </c>
      <c r="F17" s="693"/>
      <c r="G17" s="694" t="s">
        <v>39</v>
      </c>
      <c r="H17" s="695">
        <v>0</v>
      </c>
      <c r="I17" s="695">
        <v>0</v>
      </c>
      <c r="J17" s="695">
        <v>0</v>
      </c>
      <c r="K17" s="695">
        <v>0</v>
      </c>
      <c r="L17" s="695">
        <v>0</v>
      </c>
      <c r="M17" s="695">
        <v>0</v>
      </c>
      <c r="N17" s="695">
        <v>0</v>
      </c>
      <c r="O17" s="695">
        <v>0</v>
      </c>
      <c r="P17" s="695">
        <v>0</v>
      </c>
      <c r="Q17" s="695">
        <v>0</v>
      </c>
      <c r="R17" s="695">
        <v>0</v>
      </c>
      <c r="S17" s="695">
        <v>0</v>
      </c>
    </row>
    <row r="18" spans="1:19" x14ac:dyDescent="0.2">
      <c r="A18" s="660"/>
      <c r="B18" s="671" t="s">
        <v>40</v>
      </c>
      <c r="C18" s="672">
        <v>2</v>
      </c>
      <c r="D18" s="672"/>
      <c r="E18" s="674"/>
      <c r="F18" s="660"/>
      <c r="G18" s="689" t="s">
        <v>41</v>
      </c>
      <c r="H18" s="688">
        <f>H19+H27</f>
        <v>12498.412</v>
      </c>
      <c r="I18" s="688">
        <f t="shared" ref="I18:S18" si="3">I19+I27</f>
        <v>12173.442999999999</v>
      </c>
      <c r="J18" s="688">
        <f t="shared" si="3"/>
        <v>11715.913</v>
      </c>
      <c r="K18" s="688">
        <f t="shared" si="3"/>
        <v>11213.396999999999</v>
      </c>
      <c r="L18" s="688">
        <f t="shared" si="3"/>
        <v>10724.313</v>
      </c>
      <c r="M18" s="688">
        <f t="shared" si="3"/>
        <v>10231</v>
      </c>
      <c r="N18" s="688">
        <f t="shared" si="3"/>
        <v>9772</v>
      </c>
      <c r="O18" s="688">
        <f t="shared" si="3"/>
        <v>9223</v>
      </c>
      <c r="P18" s="688">
        <f t="shared" si="3"/>
        <v>8740</v>
      </c>
      <c r="Q18" s="688">
        <f t="shared" si="3"/>
        <v>8705</v>
      </c>
      <c r="R18" s="688">
        <f t="shared" si="3"/>
        <v>8707</v>
      </c>
      <c r="S18" s="688">
        <f t="shared" si="3"/>
        <v>8229</v>
      </c>
    </row>
    <row r="19" spans="1:19" x14ac:dyDescent="0.2">
      <c r="A19" s="660"/>
      <c r="B19" s="671" t="s">
        <v>42</v>
      </c>
      <c r="C19" s="672" t="s">
        <v>43</v>
      </c>
      <c r="D19" s="672"/>
      <c r="E19" s="674"/>
      <c r="F19" s="660"/>
      <c r="G19" s="689" t="s">
        <v>44</v>
      </c>
      <c r="H19" s="688">
        <f>SUM(H21:H26)</f>
        <v>5557.8630000000003</v>
      </c>
      <c r="I19" s="688">
        <f t="shared" ref="I19:S19" si="4">SUM(I21:I26)</f>
        <v>5081.84</v>
      </c>
      <c r="J19" s="688">
        <f t="shared" si="4"/>
        <v>4745.6540000000005</v>
      </c>
      <c r="K19" s="688">
        <f t="shared" si="4"/>
        <v>4370.0279999999993</v>
      </c>
      <c r="L19" s="688">
        <f t="shared" si="4"/>
        <v>4139.5259999999998</v>
      </c>
      <c r="M19" s="688">
        <f t="shared" si="4"/>
        <v>3751</v>
      </c>
      <c r="N19" s="688">
        <f t="shared" si="4"/>
        <v>3471</v>
      </c>
      <c r="O19" s="688">
        <f t="shared" si="4"/>
        <v>3128</v>
      </c>
      <c r="P19" s="688">
        <f t="shared" si="4"/>
        <v>2802</v>
      </c>
      <c r="Q19" s="688">
        <f t="shared" si="4"/>
        <v>2898</v>
      </c>
      <c r="R19" s="688">
        <f t="shared" si="4"/>
        <v>2884</v>
      </c>
      <c r="S19" s="688">
        <f t="shared" si="4"/>
        <v>2409</v>
      </c>
    </row>
    <row r="20" spans="1:19" x14ac:dyDescent="0.2">
      <c r="A20" s="663"/>
      <c r="B20" s="671" t="s">
        <v>45</v>
      </c>
      <c r="C20" s="662" t="s">
        <v>46</v>
      </c>
      <c r="D20" s="662"/>
      <c r="E20" s="690" t="s">
        <v>11</v>
      </c>
      <c r="F20" s="663"/>
      <c r="G20" s="694" t="s">
        <v>47</v>
      </c>
      <c r="H20" s="696">
        <v>767.899</v>
      </c>
      <c r="I20" s="696">
        <v>614.29100000000005</v>
      </c>
      <c r="J20" s="696">
        <v>614.00400000000002</v>
      </c>
      <c r="K20" s="696">
        <v>577.23800000000006</v>
      </c>
      <c r="L20" s="696">
        <v>698.00599999999997</v>
      </c>
      <c r="M20" s="696">
        <v>668</v>
      </c>
      <c r="N20" s="696">
        <v>734</v>
      </c>
      <c r="O20" s="696">
        <v>765</v>
      </c>
      <c r="P20" s="696">
        <v>398</v>
      </c>
      <c r="Q20" s="696">
        <v>431</v>
      </c>
      <c r="R20" s="696">
        <v>410</v>
      </c>
      <c r="S20" s="696">
        <v>410</v>
      </c>
    </row>
    <row r="21" spans="1:19" x14ac:dyDescent="0.2">
      <c r="A21" s="660"/>
      <c r="B21" s="671" t="s">
        <v>48</v>
      </c>
      <c r="C21" s="697" t="s">
        <v>49</v>
      </c>
      <c r="D21" s="697"/>
      <c r="E21" s="690" t="s">
        <v>11</v>
      </c>
      <c r="F21" s="660"/>
      <c r="G21" s="689" t="s">
        <v>50</v>
      </c>
      <c r="H21" s="691">
        <f>58.137+6.128+254.531+23.967</f>
        <v>342.76299999999998</v>
      </c>
      <c r="I21" s="691">
        <f>95.639+15.32+204.884</f>
        <v>315.84299999999996</v>
      </c>
      <c r="J21" s="691">
        <f>115.016+18.794+144.036</f>
        <v>277.846</v>
      </c>
      <c r="K21" s="691">
        <f>67.966+11.515+158.897</f>
        <v>238.37799999999999</v>
      </c>
      <c r="L21" s="691">
        <f>109.793+19.062+217.881</f>
        <v>346.73599999999999</v>
      </c>
      <c r="M21" s="691">
        <v>309</v>
      </c>
      <c r="N21" s="691">
        <v>359</v>
      </c>
      <c r="O21" s="691">
        <v>392</v>
      </c>
      <c r="P21" s="691">
        <v>445</v>
      </c>
      <c r="Q21" s="691">
        <v>553</v>
      </c>
      <c r="R21" s="691">
        <v>770</v>
      </c>
      <c r="S21" s="691">
        <v>1216</v>
      </c>
    </row>
    <row r="22" spans="1:19" x14ac:dyDescent="0.2">
      <c r="A22" s="660"/>
      <c r="B22" s="671" t="s">
        <v>51</v>
      </c>
      <c r="C22" s="672" t="s">
        <v>52</v>
      </c>
      <c r="D22" s="672"/>
      <c r="E22" s="690" t="s">
        <v>11</v>
      </c>
      <c r="F22" s="660"/>
      <c r="G22" s="689" t="s">
        <v>53</v>
      </c>
      <c r="H22" s="691">
        <v>0</v>
      </c>
      <c r="I22" s="691">
        <v>0</v>
      </c>
      <c r="J22" s="691">
        <v>0</v>
      </c>
      <c r="K22" s="691">
        <v>0</v>
      </c>
      <c r="L22" s="691">
        <v>0</v>
      </c>
      <c r="M22" s="691">
        <v>0</v>
      </c>
      <c r="N22" s="691">
        <v>0</v>
      </c>
      <c r="O22" s="691">
        <v>0</v>
      </c>
      <c r="P22" s="691">
        <v>0</v>
      </c>
      <c r="Q22" s="691">
        <v>0</v>
      </c>
      <c r="R22" s="691">
        <v>0</v>
      </c>
      <c r="S22" s="691">
        <v>0</v>
      </c>
    </row>
    <row r="23" spans="1:19" x14ac:dyDescent="0.2">
      <c r="A23" s="660"/>
      <c r="B23" s="671" t="s">
        <v>54</v>
      </c>
      <c r="C23" s="672">
        <v>257</v>
      </c>
      <c r="D23" s="672"/>
      <c r="E23" s="690" t="s">
        <v>11</v>
      </c>
      <c r="F23" s="660"/>
      <c r="G23" s="689" t="s">
        <v>55</v>
      </c>
      <c r="H23" s="691">
        <v>0</v>
      </c>
      <c r="I23" s="691">
        <v>0</v>
      </c>
      <c r="J23" s="691">
        <v>0</v>
      </c>
      <c r="K23" s="691">
        <v>0</v>
      </c>
      <c r="L23" s="691">
        <v>0</v>
      </c>
      <c r="M23" s="691">
        <v>0</v>
      </c>
      <c r="N23" s="691">
        <v>2</v>
      </c>
      <c r="O23" s="691">
        <v>0</v>
      </c>
      <c r="P23" s="691"/>
      <c r="Q23" s="691">
        <v>372</v>
      </c>
      <c r="R23" s="691">
        <v>529</v>
      </c>
      <c r="S23" s="691">
        <v>0</v>
      </c>
    </row>
    <row r="24" spans="1:19" x14ac:dyDescent="0.2">
      <c r="A24" s="664"/>
      <c r="B24" s="671" t="s">
        <v>56</v>
      </c>
      <c r="C24" s="672" t="s">
        <v>57</v>
      </c>
      <c r="D24" s="672"/>
      <c r="E24" s="690" t="s">
        <v>11</v>
      </c>
      <c r="F24" s="664"/>
      <c r="G24" s="689" t="s">
        <v>58</v>
      </c>
      <c r="H24" s="691">
        <f>449.103+4765.997</f>
        <v>5215.1000000000004</v>
      </c>
      <c r="I24" s="691">
        <f>298.448+4467.549</f>
        <v>4765.9970000000003</v>
      </c>
      <c r="J24" s="691">
        <f>336.158+4131.65</f>
        <v>4467.808</v>
      </c>
      <c r="K24" s="691">
        <f>338.86+3792.79</f>
        <v>4131.6499999999996</v>
      </c>
      <c r="L24" s="691">
        <f>351.27+3441.52</f>
        <v>3792.79</v>
      </c>
      <c r="M24" s="691">
        <v>3442</v>
      </c>
      <c r="N24" s="691">
        <v>3110</v>
      </c>
      <c r="O24" s="691">
        <v>2736</v>
      </c>
      <c r="P24" s="691">
        <v>2357</v>
      </c>
      <c r="Q24" s="691">
        <v>1973</v>
      </c>
      <c r="R24" s="691">
        <v>1585</v>
      </c>
      <c r="S24" s="691">
        <v>1193</v>
      </c>
    </row>
    <row r="25" spans="1:19" x14ac:dyDescent="0.2">
      <c r="A25" s="664"/>
      <c r="B25" s="671" t="s">
        <v>59</v>
      </c>
      <c r="C25" s="672" t="s">
        <v>60</v>
      </c>
      <c r="D25" s="672"/>
      <c r="E25" s="690" t="s">
        <v>11</v>
      </c>
      <c r="F25" s="664"/>
      <c r="G25" s="689" t="s">
        <v>61</v>
      </c>
      <c r="H25" s="691">
        <v>0</v>
      </c>
      <c r="I25" s="691">
        <v>0</v>
      </c>
      <c r="J25" s="691">
        <v>0</v>
      </c>
      <c r="K25" s="691">
        <v>0</v>
      </c>
      <c r="L25" s="691">
        <v>0</v>
      </c>
      <c r="M25" s="691">
        <v>0</v>
      </c>
      <c r="N25" s="691">
        <v>0</v>
      </c>
      <c r="O25" s="691">
        <v>0</v>
      </c>
      <c r="P25" s="691">
        <v>0</v>
      </c>
      <c r="Q25" s="691">
        <v>0</v>
      </c>
      <c r="R25" s="691">
        <v>0</v>
      </c>
      <c r="S25" s="691">
        <v>0</v>
      </c>
    </row>
    <row r="26" spans="1:19" x14ac:dyDescent="0.2">
      <c r="A26" s="660"/>
      <c r="B26" s="671" t="s">
        <v>62</v>
      </c>
      <c r="C26" s="672">
        <v>28</v>
      </c>
      <c r="D26" s="672"/>
      <c r="E26" s="690" t="s">
        <v>11</v>
      </c>
      <c r="F26" s="660"/>
      <c r="G26" s="689" t="s">
        <v>63</v>
      </c>
      <c r="H26" s="691">
        <v>0</v>
      </c>
      <c r="I26" s="691">
        <v>0</v>
      </c>
      <c r="J26" s="691">
        <v>0</v>
      </c>
      <c r="K26" s="691">
        <v>0</v>
      </c>
      <c r="L26" s="691">
        <v>0</v>
      </c>
      <c r="M26" s="691">
        <v>0</v>
      </c>
      <c r="N26" s="691">
        <v>0</v>
      </c>
      <c r="O26" s="691">
        <v>0</v>
      </c>
      <c r="P26" s="691">
        <v>0</v>
      </c>
      <c r="Q26" s="691">
        <v>0</v>
      </c>
      <c r="R26" s="691">
        <v>0</v>
      </c>
      <c r="S26" s="691">
        <v>0</v>
      </c>
    </row>
    <row r="27" spans="1:19" x14ac:dyDescent="0.2">
      <c r="A27" s="660"/>
      <c r="B27" s="671" t="s">
        <v>64</v>
      </c>
      <c r="C27" s="672">
        <v>29</v>
      </c>
      <c r="D27" s="672"/>
      <c r="E27" s="674"/>
      <c r="F27" s="660"/>
      <c r="G27" s="689" t="s">
        <v>65</v>
      </c>
      <c r="H27" s="688">
        <f>SUM(H28:H30)</f>
        <v>6940.549</v>
      </c>
      <c r="I27" s="688">
        <f t="shared" ref="I27:S27" si="5">SUM(I28:I30)</f>
        <v>7091.6030000000001</v>
      </c>
      <c r="J27" s="688">
        <f t="shared" si="5"/>
        <v>6970.259</v>
      </c>
      <c r="K27" s="688">
        <f t="shared" si="5"/>
        <v>6843.3689999999997</v>
      </c>
      <c r="L27" s="688">
        <f t="shared" si="5"/>
        <v>6584.7870000000003</v>
      </c>
      <c r="M27" s="688">
        <f t="shared" si="5"/>
        <v>6480</v>
      </c>
      <c r="N27" s="688">
        <f t="shared" si="5"/>
        <v>6301</v>
      </c>
      <c r="O27" s="688">
        <f t="shared" si="5"/>
        <v>6095</v>
      </c>
      <c r="P27" s="688">
        <f t="shared" si="5"/>
        <v>5938</v>
      </c>
      <c r="Q27" s="688">
        <f t="shared" si="5"/>
        <v>5807</v>
      </c>
      <c r="R27" s="688">
        <f t="shared" si="5"/>
        <v>5823</v>
      </c>
      <c r="S27" s="688">
        <f t="shared" si="5"/>
        <v>5820</v>
      </c>
    </row>
    <row r="28" spans="1:19" x14ac:dyDescent="0.2">
      <c r="A28" s="660"/>
      <c r="B28" s="671" t="s">
        <v>66</v>
      </c>
      <c r="C28" s="660" t="s">
        <v>67</v>
      </c>
      <c r="D28" s="660"/>
      <c r="E28" s="690" t="s">
        <v>11</v>
      </c>
      <c r="F28" s="660"/>
      <c r="G28" s="689" t="s">
        <v>68</v>
      </c>
      <c r="H28" s="691">
        <v>2771.8649999999998</v>
      </c>
      <c r="I28" s="691">
        <v>2771.8649999999998</v>
      </c>
      <c r="J28" s="691">
        <v>2780.8649999999998</v>
      </c>
      <c r="K28" s="691">
        <v>2780.8649999999998</v>
      </c>
      <c r="L28" s="691">
        <v>2780.8649999999998</v>
      </c>
      <c r="M28" s="691">
        <v>2781</v>
      </c>
      <c r="N28" s="691">
        <v>2781</v>
      </c>
      <c r="O28" s="691">
        <v>2781</v>
      </c>
      <c r="P28" s="691">
        <v>2781</v>
      </c>
      <c r="Q28" s="691">
        <v>2781</v>
      </c>
      <c r="R28" s="691">
        <v>2781</v>
      </c>
      <c r="S28" s="691">
        <v>2781</v>
      </c>
    </row>
    <row r="29" spans="1:19" x14ac:dyDescent="0.2">
      <c r="A29" s="660"/>
      <c r="B29" s="671" t="s">
        <v>69</v>
      </c>
      <c r="C29" s="672">
        <v>298</v>
      </c>
      <c r="D29" s="672"/>
      <c r="E29" s="690" t="s">
        <v>11</v>
      </c>
      <c r="F29" s="660"/>
      <c r="G29" s="689" t="s">
        <v>70</v>
      </c>
      <c r="H29" s="691">
        <v>4080.54</v>
      </c>
      <c r="I29" s="691">
        <f>H29+H30</f>
        <v>4168.6840000000002</v>
      </c>
      <c r="J29" s="691">
        <f>I29+I30</f>
        <v>4319.7380000000003</v>
      </c>
      <c r="K29" s="691">
        <f>J29+J30</f>
        <v>4189.3940000000002</v>
      </c>
      <c r="L29" s="691">
        <f>K29+K30</f>
        <v>4062.5040000000004</v>
      </c>
      <c r="M29" s="691">
        <v>3803</v>
      </c>
      <c r="N29" s="691">
        <v>3699</v>
      </c>
      <c r="O29" s="691">
        <v>3520</v>
      </c>
      <c r="P29" s="691">
        <v>3313</v>
      </c>
      <c r="Q29" s="691">
        <v>3182</v>
      </c>
      <c r="R29" s="691">
        <v>3185</v>
      </c>
      <c r="S29" s="691">
        <v>3202</v>
      </c>
    </row>
    <row r="30" spans="1:19" x14ac:dyDescent="0.2">
      <c r="A30" s="660"/>
      <c r="B30" s="671" t="s">
        <v>71</v>
      </c>
      <c r="C30" s="672">
        <v>299</v>
      </c>
      <c r="D30" s="672"/>
      <c r="E30" s="690" t="s">
        <v>583</v>
      </c>
      <c r="F30" s="660"/>
      <c r="G30" s="689" t="s">
        <v>73</v>
      </c>
      <c r="H30" s="691">
        <v>88.144000000000005</v>
      </c>
      <c r="I30" s="691">
        <v>151.054</v>
      </c>
      <c r="J30" s="691">
        <v>-130.34399999999999</v>
      </c>
      <c r="K30" s="691">
        <v>-126.89</v>
      </c>
      <c r="L30" s="691">
        <v>-258.58199999999999</v>
      </c>
      <c r="M30" s="691">
        <v>-104</v>
      </c>
      <c r="N30" s="691">
        <v>-179</v>
      </c>
      <c r="O30" s="691">
        <v>-206</v>
      </c>
      <c r="P30" s="691">
        <v>-156</v>
      </c>
      <c r="Q30" s="691">
        <v>-156</v>
      </c>
      <c r="R30" s="691">
        <v>-143</v>
      </c>
      <c r="S30" s="691">
        <v>-163</v>
      </c>
    </row>
    <row r="31" spans="1:19" x14ac:dyDescent="0.2">
      <c r="A31" s="665"/>
      <c r="B31" s="683"/>
      <c r="C31" s="698"/>
      <c r="D31" s="698"/>
      <c r="E31" s="699"/>
      <c r="F31" s="665"/>
      <c r="G31" s="700" t="s">
        <v>74</v>
      </c>
      <c r="H31" s="701">
        <f t="shared" ref="H31:S31" si="6">H4-H18</f>
        <v>1.0000000002037268E-3</v>
      </c>
      <c r="I31" s="701">
        <f t="shared" si="6"/>
        <v>0</v>
      </c>
      <c r="J31" s="701">
        <f t="shared" si="6"/>
        <v>0</v>
      </c>
      <c r="K31" s="701">
        <f t="shared" si="6"/>
        <v>-9.9999999838473741E-4</v>
      </c>
      <c r="L31" s="701">
        <f t="shared" si="6"/>
        <v>-9.9999999838473741E-4</v>
      </c>
      <c r="M31" s="701">
        <f t="shared" si="6"/>
        <v>0</v>
      </c>
      <c r="N31" s="701">
        <f t="shared" si="6"/>
        <v>0</v>
      </c>
      <c r="O31" s="701">
        <f t="shared" si="6"/>
        <v>0</v>
      </c>
      <c r="P31" s="701">
        <f t="shared" si="6"/>
        <v>0</v>
      </c>
      <c r="Q31" s="701">
        <f t="shared" si="6"/>
        <v>0</v>
      </c>
      <c r="R31" s="701">
        <f t="shared" si="6"/>
        <v>0</v>
      </c>
      <c r="S31" s="701">
        <f t="shared" si="6"/>
        <v>0</v>
      </c>
    </row>
    <row r="32" spans="1:19" x14ac:dyDescent="0.2">
      <c r="A32" s="660"/>
      <c r="B32" s="671"/>
      <c r="C32" s="672"/>
      <c r="D32" s="672"/>
      <c r="E32" s="673"/>
      <c r="F32" s="660"/>
      <c r="G32" s="684" t="s">
        <v>75</v>
      </c>
      <c r="H32" s="702">
        <v>2011</v>
      </c>
      <c r="I32" s="702">
        <f t="shared" ref="I32:S32" si="7">H32+1</f>
        <v>2012</v>
      </c>
      <c r="J32" s="702">
        <f t="shared" si="7"/>
        <v>2013</v>
      </c>
      <c r="K32" s="702">
        <f t="shared" si="7"/>
        <v>2014</v>
      </c>
      <c r="L32" s="702">
        <f t="shared" si="7"/>
        <v>2015</v>
      </c>
      <c r="M32" s="702">
        <f t="shared" si="7"/>
        <v>2016</v>
      </c>
      <c r="N32" s="702">
        <f t="shared" si="7"/>
        <v>2017</v>
      </c>
      <c r="O32" s="702">
        <f t="shared" si="7"/>
        <v>2018</v>
      </c>
      <c r="P32" s="702">
        <f t="shared" si="7"/>
        <v>2019</v>
      </c>
      <c r="Q32" s="702">
        <f t="shared" si="7"/>
        <v>2020</v>
      </c>
      <c r="R32" s="702">
        <f t="shared" si="7"/>
        <v>2021</v>
      </c>
      <c r="S32" s="702">
        <f t="shared" si="7"/>
        <v>2022</v>
      </c>
    </row>
    <row r="33" spans="1:19" x14ac:dyDescent="0.2">
      <c r="A33" s="660"/>
      <c r="B33" s="671" t="s">
        <v>76</v>
      </c>
      <c r="C33" s="672">
        <v>3</v>
      </c>
      <c r="D33" s="672"/>
      <c r="E33" s="673"/>
      <c r="F33" s="660"/>
      <c r="G33" s="687" t="s">
        <v>77</v>
      </c>
      <c r="H33" s="688">
        <f t="shared" ref="H33:O33" si="8">SUM(H34:H37)</f>
        <v>1941.5360000000001</v>
      </c>
      <c r="I33" s="688">
        <f t="shared" si="8"/>
        <v>2055.5950000000003</v>
      </c>
      <c r="J33" s="688">
        <f t="shared" si="8"/>
        <v>1898.645</v>
      </c>
      <c r="K33" s="688">
        <f t="shared" si="8"/>
        <v>1990.6579999999999</v>
      </c>
      <c r="L33" s="688">
        <f t="shared" si="8"/>
        <v>1955.914</v>
      </c>
      <c r="M33" s="688">
        <f t="shared" si="8"/>
        <v>2231</v>
      </c>
      <c r="N33" s="688">
        <f t="shared" si="8"/>
        <v>2333</v>
      </c>
      <c r="O33" s="688">
        <f t="shared" si="8"/>
        <v>2665</v>
      </c>
      <c r="P33" s="688">
        <f>SUM(P34:P37)</f>
        <v>2712</v>
      </c>
      <c r="Q33" s="688">
        <f>SUM(Q34:Q37)</f>
        <v>2730</v>
      </c>
      <c r="R33" s="688">
        <f>SUM(R34:R37)</f>
        <v>2750</v>
      </c>
      <c r="S33" s="688">
        <f>SUM(S34:S37)</f>
        <v>2805</v>
      </c>
    </row>
    <row r="34" spans="1:19" x14ac:dyDescent="0.2">
      <c r="A34" s="660"/>
      <c r="B34" s="671" t="s">
        <v>78</v>
      </c>
      <c r="C34" s="672">
        <v>30</v>
      </c>
      <c r="D34" s="672"/>
      <c r="E34" s="690" t="s">
        <v>11</v>
      </c>
      <c r="F34" s="660"/>
      <c r="G34" s="689" t="s">
        <v>79</v>
      </c>
      <c r="H34" s="691">
        <v>0</v>
      </c>
      <c r="I34" s="691">
        <v>0</v>
      </c>
      <c r="J34" s="691">
        <v>0</v>
      </c>
      <c r="K34" s="691">
        <v>0</v>
      </c>
      <c r="L34" s="691">
        <v>0</v>
      </c>
      <c r="M34" s="691">
        <v>0</v>
      </c>
      <c r="N34" s="691">
        <v>0</v>
      </c>
      <c r="O34" s="691">
        <v>0</v>
      </c>
      <c r="P34" s="691">
        <v>0</v>
      </c>
      <c r="Q34" s="691">
        <v>0</v>
      </c>
      <c r="R34" s="691">
        <v>0</v>
      </c>
      <c r="S34" s="691">
        <v>0</v>
      </c>
    </row>
    <row r="35" spans="1:19" x14ac:dyDescent="0.2">
      <c r="A35" s="660"/>
      <c r="B35" s="671" t="s">
        <v>80</v>
      </c>
      <c r="C35" s="672">
        <v>32</v>
      </c>
      <c r="D35" s="672"/>
      <c r="E35" s="690" t="s">
        <v>11</v>
      </c>
      <c r="F35" s="660"/>
      <c r="G35" s="689" t="s">
        <v>81</v>
      </c>
      <c r="H35" s="691">
        <v>483.49099999999999</v>
      </c>
      <c r="I35" s="691">
        <v>507.51600000000002</v>
      </c>
      <c r="J35" s="691">
        <v>397.98200000000003</v>
      </c>
      <c r="K35" s="691">
        <v>451.96199999999999</v>
      </c>
      <c r="L35" s="691">
        <v>465.03500000000003</v>
      </c>
      <c r="M35" s="691">
        <v>553</v>
      </c>
      <c r="N35" s="691">
        <v>562</v>
      </c>
      <c r="O35" s="691">
        <v>600</v>
      </c>
      <c r="P35" s="691">
        <v>610</v>
      </c>
      <c r="Q35" s="691">
        <v>625</v>
      </c>
      <c r="R35" s="691">
        <v>645</v>
      </c>
      <c r="S35" s="691">
        <v>700</v>
      </c>
    </row>
    <row r="36" spans="1:19" x14ac:dyDescent="0.2">
      <c r="A36" s="661"/>
      <c r="B36" s="671" t="s">
        <v>82</v>
      </c>
      <c r="C36" s="672">
        <v>35</v>
      </c>
      <c r="D36" s="672"/>
      <c r="E36" s="690" t="s">
        <v>11</v>
      </c>
      <c r="F36" s="661"/>
      <c r="G36" s="689" t="s">
        <v>83</v>
      </c>
      <c r="H36" s="691">
        <v>1446.9110000000001</v>
      </c>
      <c r="I36" s="691">
        <v>1546.424</v>
      </c>
      <c r="J36" s="691">
        <v>1499.548</v>
      </c>
      <c r="K36" s="691">
        <v>1526.3119999999999</v>
      </c>
      <c r="L36" s="691">
        <v>1481.5039999999999</v>
      </c>
      <c r="M36" s="691">
        <v>1676</v>
      </c>
      <c r="N36" s="691">
        <v>1768</v>
      </c>
      <c r="O36" s="691">
        <v>2059</v>
      </c>
      <c r="P36" s="691">
        <v>2100</v>
      </c>
      <c r="Q36" s="691">
        <v>2100</v>
      </c>
      <c r="R36" s="691">
        <v>2100</v>
      </c>
      <c r="S36" s="691">
        <v>2100</v>
      </c>
    </row>
    <row r="37" spans="1:19" x14ac:dyDescent="0.2">
      <c r="A37" s="660"/>
      <c r="B37" s="671" t="s">
        <v>84</v>
      </c>
      <c r="C37" s="672">
        <v>38</v>
      </c>
      <c r="D37" s="672"/>
      <c r="E37" s="690" t="s">
        <v>11</v>
      </c>
      <c r="F37" s="660"/>
      <c r="G37" s="689" t="s">
        <v>85</v>
      </c>
      <c r="H37" s="691">
        <v>11.134</v>
      </c>
      <c r="I37" s="691">
        <v>1.655</v>
      </c>
      <c r="J37" s="691">
        <v>1.115</v>
      </c>
      <c r="K37" s="691">
        <v>12.384</v>
      </c>
      <c r="L37" s="691">
        <v>9.375</v>
      </c>
      <c r="M37" s="691">
        <v>2</v>
      </c>
      <c r="N37" s="691">
        <v>3</v>
      </c>
      <c r="O37" s="691">
        <v>6</v>
      </c>
      <c r="P37" s="691">
        <v>2</v>
      </c>
      <c r="Q37" s="691">
        <v>5</v>
      </c>
      <c r="R37" s="691">
        <v>5</v>
      </c>
      <c r="S37" s="691">
        <v>5</v>
      </c>
    </row>
    <row r="38" spans="1:19" x14ac:dyDescent="0.2">
      <c r="A38" s="660"/>
      <c r="B38" s="671" t="s">
        <v>86</v>
      </c>
      <c r="C38" s="672">
        <v>4</v>
      </c>
      <c r="D38" s="672"/>
      <c r="E38" s="703"/>
      <c r="F38" s="660"/>
      <c r="G38" s="689" t="s">
        <v>87</v>
      </c>
      <c r="H38" s="688">
        <f>H39+H40</f>
        <v>0</v>
      </c>
      <c r="I38" s="688">
        <f t="shared" ref="I38:S38" si="9">I39+I40</f>
        <v>0</v>
      </c>
      <c r="J38" s="688">
        <f t="shared" si="9"/>
        <v>0</v>
      </c>
      <c r="K38" s="688">
        <f t="shared" si="9"/>
        <v>0</v>
      </c>
      <c r="L38" s="688">
        <f t="shared" si="9"/>
        <v>0</v>
      </c>
      <c r="M38" s="688">
        <f t="shared" si="9"/>
        <v>0</v>
      </c>
      <c r="N38" s="688">
        <f t="shared" si="9"/>
        <v>0</v>
      </c>
      <c r="O38" s="688">
        <f t="shared" si="9"/>
        <v>0</v>
      </c>
      <c r="P38" s="688">
        <f t="shared" si="9"/>
        <v>0</v>
      </c>
      <c r="Q38" s="688">
        <f t="shared" si="9"/>
        <v>0</v>
      </c>
      <c r="R38" s="688">
        <f t="shared" si="9"/>
        <v>0</v>
      </c>
      <c r="S38" s="688">
        <f t="shared" si="9"/>
        <v>0</v>
      </c>
    </row>
    <row r="39" spans="1:19" x14ac:dyDescent="0.2">
      <c r="A39" s="660"/>
      <c r="B39" s="671" t="s">
        <v>88</v>
      </c>
      <c r="C39" s="672">
        <v>41</v>
      </c>
      <c r="D39" s="672"/>
      <c r="E39" s="690" t="s">
        <v>584</v>
      </c>
      <c r="F39" s="660"/>
      <c r="G39" s="689" t="s">
        <v>90</v>
      </c>
      <c r="H39" s="691">
        <v>0</v>
      </c>
      <c r="I39" s="691">
        <v>0</v>
      </c>
      <c r="J39" s="691">
        <v>0</v>
      </c>
      <c r="K39" s="691">
        <v>0</v>
      </c>
      <c r="L39" s="691">
        <v>0</v>
      </c>
      <c r="M39" s="691">
        <v>0</v>
      </c>
      <c r="N39" s="691">
        <v>0</v>
      </c>
      <c r="O39" s="691">
        <v>0</v>
      </c>
      <c r="P39" s="691">
        <v>0</v>
      </c>
      <c r="Q39" s="691">
        <v>0</v>
      </c>
      <c r="R39" s="691">
        <v>0</v>
      </c>
      <c r="S39" s="691">
        <v>0</v>
      </c>
    </row>
    <row r="40" spans="1:19" x14ac:dyDescent="0.2">
      <c r="A40" s="660"/>
      <c r="B40" s="671" t="s">
        <v>91</v>
      </c>
      <c r="C40" s="672">
        <v>45</v>
      </c>
      <c r="D40" s="672"/>
      <c r="E40" s="690" t="s">
        <v>584</v>
      </c>
      <c r="F40" s="660"/>
      <c r="G40" s="689" t="s">
        <v>92</v>
      </c>
      <c r="H40" s="691">
        <v>0</v>
      </c>
      <c r="I40" s="691">
        <v>0</v>
      </c>
      <c r="J40" s="691">
        <v>0</v>
      </c>
      <c r="K40" s="691">
        <v>0</v>
      </c>
      <c r="L40" s="691">
        <v>0</v>
      </c>
      <c r="M40" s="691">
        <v>0</v>
      </c>
      <c r="N40" s="691">
        <v>0</v>
      </c>
      <c r="O40" s="691">
        <v>0</v>
      </c>
      <c r="P40" s="691">
        <v>0</v>
      </c>
      <c r="Q40" s="691">
        <v>0</v>
      </c>
      <c r="R40" s="691">
        <v>0</v>
      </c>
      <c r="S40" s="691">
        <v>0</v>
      </c>
    </row>
    <row r="41" spans="1:19" x14ac:dyDescent="0.2">
      <c r="A41" s="661"/>
      <c r="B41" s="671" t="s">
        <v>93</v>
      </c>
      <c r="C41" s="672" t="s">
        <v>94</v>
      </c>
      <c r="D41" s="672"/>
      <c r="E41" s="703"/>
      <c r="F41" s="661"/>
      <c r="G41" s="689" t="s">
        <v>95</v>
      </c>
      <c r="H41" s="688">
        <f>SUM(H42:H45)</f>
        <v>-1687.7510000000002</v>
      </c>
      <c r="I41" s="688">
        <f t="shared" ref="I41:S41" si="10">SUM(I42:I45)</f>
        <v>-1773.3300000000002</v>
      </c>
      <c r="J41" s="688">
        <f t="shared" si="10"/>
        <v>-1945.6220000000001</v>
      </c>
      <c r="K41" s="688">
        <f t="shared" si="10"/>
        <v>-2039.2529999999999</v>
      </c>
      <c r="L41" s="688">
        <f t="shared" si="10"/>
        <v>-2152.3739999999998</v>
      </c>
      <c r="M41" s="688">
        <f t="shared" si="10"/>
        <v>-2286</v>
      </c>
      <c r="N41" s="688">
        <f t="shared" si="10"/>
        <v>-2472</v>
      </c>
      <c r="O41" s="688">
        <f t="shared" si="10"/>
        <v>-2831</v>
      </c>
      <c r="P41" s="688">
        <f t="shared" si="10"/>
        <v>-2833</v>
      </c>
      <c r="Q41" s="688">
        <f t="shared" si="10"/>
        <v>-2856</v>
      </c>
      <c r="R41" s="688">
        <f t="shared" si="10"/>
        <v>-2868</v>
      </c>
      <c r="S41" s="688">
        <f t="shared" si="10"/>
        <v>-2948</v>
      </c>
    </row>
    <row r="42" spans="1:19" x14ac:dyDescent="0.2">
      <c r="A42" s="660"/>
      <c r="B42" s="671" t="s">
        <v>96</v>
      </c>
      <c r="C42" s="672">
        <v>50</v>
      </c>
      <c r="D42" s="672"/>
      <c r="E42" s="690" t="s">
        <v>584</v>
      </c>
      <c r="F42" s="660"/>
      <c r="G42" s="689" t="s">
        <v>97</v>
      </c>
      <c r="H42" s="691">
        <v>-1029.211</v>
      </c>
      <c r="I42" s="691">
        <v>-1105.6110000000001</v>
      </c>
      <c r="J42" s="691">
        <v>-1235.2360000000001</v>
      </c>
      <c r="K42" s="691">
        <v>-1353.0219999999999</v>
      </c>
      <c r="L42" s="691">
        <v>-1487.038</v>
      </c>
      <c r="M42" s="691">
        <v>-1596</v>
      </c>
      <c r="N42" s="691">
        <v>-1776</v>
      </c>
      <c r="O42" s="691">
        <v>-2103</v>
      </c>
      <c r="P42" s="691">
        <v>-2100</v>
      </c>
      <c r="Q42" s="691">
        <v>-2110</v>
      </c>
      <c r="R42" s="691">
        <v>-2120</v>
      </c>
      <c r="S42" s="691">
        <v>-2200</v>
      </c>
    </row>
    <row r="43" spans="1:19" x14ac:dyDescent="0.2">
      <c r="A43" s="660"/>
      <c r="B43" s="671" t="s">
        <v>98</v>
      </c>
      <c r="C43" s="672">
        <v>55</v>
      </c>
      <c r="D43" s="672"/>
      <c r="E43" s="690" t="s">
        <v>584</v>
      </c>
      <c r="F43" s="660"/>
      <c r="G43" s="689" t="s">
        <v>99</v>
      </c>
      <c r="H43" s="691">
        <v>-381.358</v>
      </c>
      <c r="I43" s="691">
        <v>-487.39100000000002</v>
      </c>
      <c r="J43" s="691">
        <v>-525.23099999999999</v>
      </c>
      <c r="K43" s="691">
        <v>-505.86500000000001</v>
      </c>
      <c r="L43" s="691">
        <v>-485.96800000000002</v>
      </c>
      <c r="M43" s="691">
        <v>-503</v>
      </c>
      <c r="N43" s="691">
        <v>-513</v>
      </c>
      <c r="O43" s="691">
        <v>-550</v>
      </c>
      <c r="P43" s="691">
        <v>-556</v>
      </c>
      <c r="Q43" s="691">
        <v>-558</v>
      </c>
      <c r="R43" s="691">
        <v>-560</v>
      </c>
      <c r="S43" s="691">
        <v>-560</v>
      </c>
    </row>
    <row r="44" spans="1:19" x14ac:dyDescent="0.2">
      <c r="A44" s="661"/>
      <c r="B44" s="671" t="s">
        <v>100</v>
      </c>
      <c r="C44" s="672">
        <v>60</v>
      </c>
      <c r="D44" s="672"/>
      <c r="E44" s="690" t="s">
        <v>584</v>
      </c>
      <c r="F44" s="661"/>
      <c r="G44" s="689" t="s">
        <v>101</v>
      </c>
      <c r="H44" s="691">
        <v>-14.861000000000001</v>
      </c>
      <c r="I44" s="691">
        <v>-17.792000000000002</v>
      </c>
      <c r="J44" s="691">
        <v>-12.305</v>
      </c>
      <c r="K44" s="691">
        <v>-7.8360000000000003</v>
      </c>
      <c r="L44" s="691">
        <v>-7.6580000000000004</v>
      </c>
      <c r="M44" s="691">
        <v>-12</v>
      </c>
      <c r="N44" s="691">
        <v>-9</v>
      </c>
      <c r="O44" s="691">
        <v>-4</v>
      </c>
      <c r="P44" s="691">
        <f>+-3</f>
        <v>-3</v>
      </c>
      <c r="Q44" s="691">
        <f>+-3</f>
        <v>-3</v>
      </c>
      <c r="R44" s="691">
        <f t="shared" ref="R44:S44" si="11">+-3</f>
        <v>-3</v>
      </c>
      <c r="S44" s="691">
        <f t="shared" si="11"/>
        <v>-3</v>
      </c>
    </row>
    <row r="45" spans="1:19" x14ac:dyDescent="0.2">
      <c r="A45" s="660"/>
      <c r="B45" s="671" t="s">
        <v>102</v>
      </c>
      <c r="C45" s="672">
        <v>61</v>
      </c>
      <c r="D45" s="672"/>
      <c r="E45" s="690" t="s">
        <v>584</v>
      </c>
      <c r="F45" s="660"/>
      <c r="G45" s="689" t="s">
        <v>103</v>
      </c>
      <c r="H45" s="691">
        <v>-262.32100000000003</v>
      </c>
      <c r="I45" s="691">
        <v>-162.536</v>
      </c>
      <c r="J45" s="691">
        <v>-172.85</v>
      </c>
      <c r="K45" s="691">
        <v>-172.53</v>
      </c>
      <c r="L45" s="691">
        <v>-171.71</v>
      </c>
      <c r="M45" s="691">
        <v>-175</v>
      </c>
      <c r="N45" s="691">
        <v>-174</v>
      </c>
      <c r="O45" s="691">
        <v>-174</v>
      </c>
      <c r="P45" s="691">
        <v>-174</v>
      </c>
      <c r="Q45" s="691">
        <v>-185</v>
      </c>
      <c r="R45" s="691">
        <v>-185</v>
      </c>
      <c r="S45" s="691">
        <v>-185</v>
      </c>
    </row>
    <row r="46" spans="1:19" x14ac:dyDescent="0.2">
      <c r="A46" s="660"/>
      <c r="B46" s="671" t="s">
        <v>104</v>
      </c>
      <c r="C46" s="672"/>
      <c r="D46" s="672"/>
      <c r="E46" s="673"/>
      <c r="F46" s="660"/>
      <c r="G46" s="689" t="s">
        <v>105</v>
      </c>
      <c r="H46" s="688">
        <f t="shared" ref="H46:S46" si="12">H33+H38+H41</f>
        <v>253.78499999999985</v>
      </c>
      <c r="I46" s="688">
        <f t="shared" si="12"/>
        <v>282.2650000000001</v>
      </c>
      <c r="J46" s="688">
        <f t="shared" si="12"/>
        <v>-46.977000000000089</v>
      </c>
      <c r="K46" s="688">
        <f t="shared" si="12"/>
        <v>-48.595000000000027</v>
      </c>
      <c r="L46" s="688">
        <f t="shared" si="12"/>
        <v>-196.45999999999981</v>
      </c>
      <c r="M46" s="688">
        <f t="shared" si="12"/>
        <v>-55</v>
      </c>
      <c r="N46" s="688">
        <f t="shared" si="12"/>
        <v>-139</v>
      </c>
      <c r="O46" s="688">
        <f t="shared" si="12"/>
        <v>-166</v>
      </c>
      <c r="P46" s="688">
        <f t="shared" si="12"/>
        <v>-121</v>
      </c>
      <c r="Q46" s="688">
        <f t="shared" si="12"/>
        <v>-126</v>
      </c>
      <c r="R46" s="688">
        <f t="shared" si="12"/>
        <v>-118</v>
      </c>
      <c r="S46" s="688">
        <f t="shared" si="12"/>
        <v>-143</v>
      </c>
    </row>
    <row r="47" spans="1:19" x14ac:dyDescent="0.2">
      <c r="A47" s="660"/>
      <c r="B47" s="671" t="s">
        <v>106</v>
      </c>
      <c r="C47" s="672">
        <v>65</v>
      </c>
      <c r="D47" s="672"/>
      <c r="E47" s="690" t="s">
        <v>583</v>
      </c>
      <c r="F47" s="660"/>
      <c r="G47" s="689" t="s">
        <v>107</v>
      </c>
      <c r="H47" s="691">
        <v>-165.64099999999999</v>
      </c>
      <c r="I47" s="691">
        <v>-131.21199999999999</v>
      </c>
      <c r="J47" s="691">
        <v>-83.367000000000004</v>
      </c>
      <c r="K47" s="691">
        <v>-78.296000000000006</v>
      </c>
      <c r="L47" s="691">
        <v>-62.122999999999998</v>
      </c>
      <c r="M47" s="691">
        <v>-49</v>
      </c>
      <c r="N47" s="691">
        <v>-40</v>
      </c>
      <c r="O47" s="691">
        <v>-40</v>
      </c>
      <c r="P47" s="691">
        <v>-35</v>
      </c>
      <c r="Q47" s="691">
        <v>-30</v>
      </c>
      <c r="R47" s="691">
        <v>-25</v>
      </c>
      <c r="S47" s="691">
        <v>-20</v>
      </c>
    </row>
    <row r="48" spans="1:19" x14ac:dyDescent="0.2">
      <c r="A48" s="660"/>
      <c r="B48" s="671" t="s">
        <v>108</v>
      </c>
      <c r="C48" s="672"/>
      <c r="D48" s="672"/>
      <c r="E48" s="673"/>
      <c r="F48" s="660"/>
      <c r="G48" s="689" t="s">
        <v>109</v>
      </c>
      <c r="H48" s="688">
        <f>H46+H47</f>
        <v>88.143999999999863</v>
      </c>
      <c r="I48" s="688">
        <f t="shared" ref="I48:S48" si="13">I46+I47</f>
        <v>151.05300000000011</v>
      </c>
      <c r="J48" s="688">
        <f t="shared" si="13"/>
        <v>-130.34400000000011</v>
      </c>
      <c r="K48" s="688">
        <f t="shared" si="13"/>
        <v>-126.89100000000003</v>
      </c>
      <c r="L48" s="688">
        <f t="shared" si="13"/>
        <v>-258.5829999999998</v>
      </c>
      <c r="M48" s="688">
        <f t="shared" si="13"/>
        <v>-104</v>
      </c>
      <c r="N48" s="688">
        <f t="shared" si="13"/>
        <v>-179</v>
      </c>
      <c r="O48" s="688">
        <f t="shared" si="13"/>
        <v>-206</v>
      </c>
      <c r="P48" s="688">
        <f t="shared" si="13"/>
        <v>-156</v>
      </c>
      <c r="Q48" s="688">
        <f t="shared" si="13"/>
        <v>-156</v>
      </c>
      <c r="R48" s="688">
        <f t="shared" si="13"/>
        <v>-143</v>
      </c>
      <c r="S48" s="688">
        <f t="shared" si="13"/>
        <v>-163</v>
      </c>
    </row>
    <row r="49" spans="1:19" x14ac:dyDescent="0.2">
      <c r="A49" s="660"/>
      <c r="B49" s="671" t="s">
        <v>110</v>
      </c>
      <c r="C49" s="672">
        <v>68</v>
      </c>
      <c r="D49" s="672"/>
      <c r="E49" s="690" t="s">
        <v>584</v>
      </c>
      <c r="F49" s="660"/>
      <c r="G49" s="689" t="s">
        <v>111</v>
      </c>
      <c r="H49" s="691">
        <v>0</v>
      </c>
      <c r="I49" s="691">
        <v>0</v>
      </c>
      <c r="J49" s="691">
        <v>0</v>
      </c>
      <c r="K49" s="691">
        <v>0</v>
      </c>
      <c r="L49" s="691">
        <v>0</v>
      </c>
      <c r="M49" s="691">
        <v>0</v>
      </c>
      <c r="N49" s="691">
        <v>0</v>
      </c>
      <c r="O49" s="691">
        <v>0</v>
      </c>
      <c r="P49" s="691">
        <v>0</v>
      </c>
      <c r="Q49" s="691">
        <v>0</v>
      </c>
      <c r="R49" s="691">
        <v>0</v>
      </c>
      <c r="S49" s="691">
        <v>0</v>
      </c>
    </row>
    <row r="50" spans="1:19" x14ac:dyDescent="0.2">
      <c r="A50" s="660"/>
      <c r="B50" s="671" t="s">
        <v>112</v>
      </c>
      <c r="C50" s="672">
        <v>69</v>
      </c>
      <c r="D50" s="672"/>
      <c r="E50" s="690" t="s">
        <v>11</v>
      </c>
      <c r="F50" s="660"/>
      <c r="G50" s="689" t="s">
        <v>113</v>
      </c>
      <c r="H50" s="691">
        <v>0</v>
      </c>
      <c r="I50" s="691">
        <v>0</v>
      </c>
      <c r="J50" s="691">
        <v>0</v>
      </c>
      <c r="K50" s="691">
        <v>0</v>
      </c>
      <c r="L50" s="691">
        <v>0</v>
      </c>
      <c r="M50" s="691">
        <v>0</v>
      </c>
      <c r="N50" s="691">
        <v>0</v>
      </c>
      <c r="O50" s="691">
        <v>0</v>
      </c>
      <c r="P50" s="691">
        <v>0</v>
      </c>
      <c r="Q50" s="691">
        <v>0</v>
      </c>
      <c r="R50" s="691">
        <v>0</v>
      </c>
      <c r="S50" s="691">
        <v>0</v>
      </c>
    </row>
    <row r="51" spans="1:19" x14ac:dyDescent="0.2">
      <c r="A51" s="660"/>
      <c r="B51" s="671" t="s">
        <v>114</v>
      </c>
      <c r="C51" s="672"/>
      <c r="D51" s="672"/>
      <c r="E51" s="673"/>
      <c r="F51" s="660"/>
      <c r="G51" s="689" t="s">
        <v>115</v>
      </c>
      <c r="H51" s="688">
        <f>H48+H49+H50</f>
        <v>88.143999999999863</v>
      </c>
      <c r="I51" s="688">
        <f t="shared" ref="I51:S51" si="14">I48+I49+I50</f>
        <v>151.05300000000011</v>
      </c>
      <c r="J51" s="688">
        <f t="shared" si="14"/>
        <v>-130.34400000000011</v>
      </c>
      <c r="K51" s="688">
        <f t="shared" si="14"/>
        <v>-126.89100000000003</v>
      </c>
      <c r="L51" s="688">
        <f t="shared" si="14"/>
        <v>-258.5829999999998</v>
      </c>
      <c r="M51" s="688">
        <f t="shared" si="14"/>
        <v>-104</v>
      </c>
      <c r="N51" s="688">
        <f t="shared" si="14"/>
        <v>-179</v>
      </c>
      <c r="O51" s="688">
        <f t="shared" si="14"/>
        <v>-206</v>
      </c>
      <c r="P51" s="688">
        <f t="shared" si="14"/>
        <v>-156</v>
      </c>
      <c r="Q51" s="688">
        <f t="shared" si="14"/>
        <v>-156</v>
      </c>
      <c r="R51" s="688">
        <f t="shared" si="14"/>
        <v>-143</v>
      </c>
      <c r="S51" s="688">
        <f t="shared" si="14"/>
        <v>-163</v>
      </c>
    </row>
    <row r="52" spans="1:19" x14ac:dyDescent="0.2">
      <c r="A52" s="666"/>
      <c r="B52" s="671"/>
      <c r="C52" s="704"/>
      <c r="D52" s="704"/>
      <c r="E52" s="705"/>
      <c r="F52" s="666"/>
      <c r="G52" s="700" t="s">
        <v>116</v>
      </c>
      <c r="H52" s="701">
        <f t="shared" ref="H52:S52" si="15">H30-H51</f>
        <v>1.4210854715202004E-13</v>
      </c>
      <c r="I52" s="701">
        <f t="shared" si="15"/>
        <v>9.9999999989108801E-4</v>
      </c>
      <c r="J52" s="701">
        <f t="shared" si="15"/>
        <v>0</v>
      </c>
      <c r="K52" s="701">
        <f t="shared" si="15"/>
        <v>1.0000000000331966E-3</v>
      </c>
      <c r="L52" s="701">
        <f t="shared" si="15"/>
        <v>9.9999999980582288E-4</v>
      </c>
      <c r="M52" s="701">
        <f t="shared" si="15"/>
        <v>0</v>
      </c>
      <c r="N52" s="701">
        <f t="shared" si="15"/>
        <v>0</v>
      </c>
      <c r="O52" s="701">
        <f t="shared" si="15"/>
        <v>0</v>
      </c>
      <c r="P52" s="701">
        <f t="shared" si="15"/>
        <v>0</v>
      </c>
      <c r="Q52" s="701">
        <f t="shared" si="15"/>
        <v>0</v>
      </c>
      <c r="R52" s="701">
        <f t="shared" si="15"/>
        <v>0</v>
      </c>
      <c r="S52" s="701">
        <f t="shared" si="15"/>
        <v>0</v>
      </c>
    </row>
    <row r="53" spans="1:19" x14ac:dyDescent="0.2">
      <c r="A53" s="660"/>
      <c r="B53" s="671"/>
      <c r="C53" s="672"/>
      <c r="D53" s="672"/>
      <c r="E53" s="673"/>
      <c r="F53" s="660"/>
      <c r="G53" s="706" t="s">
        <v>117</v>
      </c>
      <c r="H53" s="670"/>
      <c r="I53" s="670"/>
      <c r="J53" s="670"/>
      <c r="K53" s="670"/>
      <c r="L53" s="670"/>
      <c r="M53" s="670"/>
      <c r="N53" s="670"/>
      <c r="O53" s="670"/>
      <c r="P53" s="670"/>
      <c r="Q53" s="670"/>
      <c r="R53" s="670"/>
      <c r="S53" s="670"/>
    </row>
    <row r="54" spans="1:19" x14ac:dyDescent="0.2">
      <c r="A54" s="660"/>
      <c r="B54" s="671"/>
      <c r="C54" s="672">
        <v>90</v>
      </c>
      <c r="D54" s="672"/>
      <c r="E54" s="690" t="s">
        <v>11</v>
      </c>
      <c r="F54" s="660"/>
      <c r="G54" s="706" t="s">
        <v>118</v>
      </c>
      <c r="H54" s="691">
        <v>96</v>
      </c>
      <c r="I54" s="691">
        <v>92</v>
      </c>
      <c r="J54" s="691">
        <v>100</v>
      </c>
      <c r="K54" s="691">
        <v>95</v>
      </c>
      <c r="L54" s="691">
        <v>93</v>
      </c>
      <c r="M54" s="691">
        <v>81</v>
      </c>
      <c r="N54" s="691">
        <v>86</v>
      </c>
      <c r="O54" s="691">
        <v>86</v>
      </c>
      <c r="P54" s="691">
        <v>86</v>
      </c>
      <c r="Q54" s="691">
        <v>86</v>
      </c>
      <c r="R54" s="691">
        <v>86</v>
      </c>
      <c r="S54" s="691">
        <v>86</v>
      </c>
    </row>
    <row r="55" spans="1:19" x14ac:dyDescent="0.2">
      <c r="A55" s="660"/>
      <c r="B55" s="671"/>
      <c r="C55" s="672"/>
      <c r="D55" s="672"/>
      <c r="E55" s="690" t="s">
        <v>11</v>
      </c>
      <c r="F55" s="660"/>
      <c r="G55" s="706" t="s">
        <v>119</v>
      </c>
      <c r="H55" s="691"/>
      <c r="I55" s="691"/>
      <c r="J55" s="691"/>
      <c r="K55" s="691"/>
      <c r="L55" s="707"/>
      <c r="M55" s="707"/>
      <c r="N55" s="707"/>
      <c r="O55" s="707"/>
      <c r="P55" s="707"/>
      <c r="Q55" s="707"/>
      <c r="R55" s="707"/>
      <c r="S55" s="707"/>
    </row>
    <row r="56" spans="1:19" x14ac:dyDescent="0.2">
      <c r="A56" s="660"/>
      <c r="B56" s="671"/>
      <c r="C56" s="672"/>
      <c r="D56" s="672"/>
      <c r="E56" s="673"/>
      <c r="F56" s="660"/>
      <c r="G56" s="675"/>
      <c r="H56" s="670"/>
      <c r="I56" s="670"/>
      <c r="J56" s="670"/>
      <c r="K56" s="670"/>
      <c r="L56" s="670"/>
      <c r="M56" s="670"/>
      <c r="N56" s="670"/>
      <c r="O56" s="670"/>
      <c r="P56" s="670"/>
      <c r="Q56" s="670"/>
      <c r="R56" s="670"/>
      <c r="S56" s="670"/>
    </row>
    <row r="57" spans="1:19" x14ac:dyDescent="0.2">
      <c r="A57" s="660"/>
      <c r="B57" s="671"/>
      <c r="C57" s="672"/>
      <c r="D57" s="708" t="s">
        <v>120</v>
      </c>
      <c r="E57" s="709" t="s">
        <v>3</v>
      </c>
      <c r="F57" s="673"/>
      <c r="G57" s="684" t="s">
        <v>121</v>
      </c>
      <c r="H57" s="702">
        <f t="shared" ref="H57:S57" si="16">H32</f>
        <v>2011</v>
      </c>
      <c r="I57" s="702">
        <f t="shared" si="16"/>
        <v>2012</v>
      </c>
      <c r="J57" s="702">
        <f t="shared" si="16"/>
        <v>2013</v>
      </c>
      <c r="K57" s="702">
        <f t="shared" si="16"/>
        <v>2014</v>
      </c>
      <c r="L57" s="702">
        <f t="shared" si="16"/>
        <v>2015</v>
      </c>
      <c r="M57" s="702">
        <f t="shared" si="16"/>
        <v>2016</v>
      </c>
      <c r="N57" s="702">
        <f t="shared" si="16"/>
        <v>2017</v>
      </c>
      <c r="O57" s="702">
        <f t="shared" si="16"/>
        <v>2018</v>
      </c>
      <c r="P57" s="702">
        <f t="shared" si="16"/>
        <v>2019</v>
      </c>
      <c r="Q57" s="702">
        <f t="shared" si="16"/>
        <v>2020</v>
      </c>
      <c r="R57" s="702">
        <f t="shared" si="16"/>
        <v>2021</v>
      </c>
      <c r="S57" s="702">
        <f t="shared" si="16"/>
        <v>2022</v>
      </c>
    </row>
    <row r="58" spans="1:19" x14ac:dyDescent="0.2">
      <c r="A58" s="660"/>
      <c r="B58" s="710" t="s">
        <v>122</v>
      </c>
      <c r="C58" s="660" t="s">
        <v>123</v>
      </c>
      <c r="D58" s="711" t="s">
        <v>124</v>
      </c>
      <c r="E58" s="690" t="s">
        <v>584</v>
      </c>
      <c r="F58" s="674"/>
      <c r="G58" s="687" t="s">
        <v>125</v>
      </c>
      <c r="H58" s="691">
        <v>55.593000000000004</v>
      </c>
      <c r="I58" s="691">
        <v>-8.1880000000000006</v>
      </c>
      <c r="J58" s="691">
        <v>-8.0660000000000007</v>
      </c>
      <c r="K58" s="691">
        <v>-3.0619999999999998</v>
      </c>
      <c r="L58" s="691">
        <v>-22.829000000000001</v>
      </c>
      <c r="M58" s="691">
        <v>-41</v>
      </c>
      <c r="N58" s="691">
        <v>-17</v>
      </c>
      <c r="O58" s="691">
        <v>-27</v>
      </c>
      <c r="P58" s="691">
        <v>-120</v>
      </c>
      <c r="Q58" s="691">
        <v>-372</v>
      </c>
      <c r="R58" s="691">
        <v>-529</v>
      </c>
      <c r="S58" s="691">
        <v>0</v>
      </c>
    </row>
    <row r="59" spans="1:19" x14ac:dyDescent="0.2">
      <c r="A59" s="660"/>
      <c r="B59" s="710" t="s">
        <v>126</v>
      </c>
      <c r="C59" s="712" t="s">
        <v>127</v>
      </c>
      <c r="D59" s="711" t="s">
        <v>128</v>
      </c>
      <c r="E59" s="690" t="s">
        <v>11</v>
      </c>
      <c r="F59" s="674"/>
      <c r="G59" s="713" t="s">
        <v>129</v>
      </c>
      <c r="H59" s="691">
        <v>0</v>
      </c>
      <c r="I59" s="691">
        <v>0</v>
      </c>
      <c r="J59" s="691">
        <v>0</v>
      </c>
      <c r="K59" s="691">
        <v>0</v>
      </c>
      <c r="L59" s="691">
        <v>0</v>
      </c>
      <c r="M59" s="691">
        <v>0</v>
      </c>
      <c r="N59" s="691">
        <v>2</v>
      </c>
      <c r="O59" s="691">
        <v>0</v>
      </c>
      <c r="P59" s="691">
        <v>0</v>
      </c>
      <c r="Q59" s="691">
        <v>0</v>
      </c>
      <c r="R59" s="691">
        <v>0</v>
      </c>
      <c r="S59" s="691">
        <v>0</v>
      </c>
    </row>
    <row r="60" spans="1:19" x14ac:dyDescent="0.2">
      <c r="A60" s="660"/>
      <c r="B60" s="710" t="s">
        <v>130</v>
      </c>
      <c r="C60" s="667" t="s">
        <v>492</v>
      </c>
      <c r="D60" s="711" t="s">
        <v>131</v>
      </c>
      <c r="E60" s="690" t="s">
        <v>11</v>
      </c>
      <c r="F60" s="674"/>
      <c r="G60" s="689" t="s">
        <v>132</v>
      </c>
      <c r="H60" s="691">
        <v>303.27600000000001</v>
      </c>
      <c r="I60" s="691">
        <v>288.27600000000001</v>
      </c>
      <c r="J60" s="691">
        <v>305.887</v>
      </c>
      <c r="K60" s="691">
        <v>335.89800000000002</v>
      </c>
      <c r="L60" s="691">
        <v>341.04300000000001</v>
      </c>
      <c r="M60" s="691">
        <v>385</v>
      </c>
      <c r="N60" s="691">
        <v>360</v>
      </c>
      <c r="O60" s="691">
        <v>368</v>
      </c>
      <c r="P60" s="691">
        <v>493</v>
      </c>
      <c r="Q60" s="691">
        <v>750</v>
      </c>
      <c r="R60" s="691">
        <v>912</v>
      </c>
      <c r="S60" s="691">
        <v>387</v>
      </c>
    </row>
    <row r="61" spans="1:19" x14ac:dyDescent="0.2">
      <c r="A61" s="660"/>
      <c r="B61" s="710" t="s">
        <v>133</v>
      </c>
      <c r="C61" s="667" t="s">
        <v>134</v>
      </c>
      <c r="D61" s="667" t="s">
        <v>135</v>
      </c>
      <c r="E61" s="690" t="s">
        <v>584</v>
      </c>
      <c r="F61" s="674"/>
      <c r="G61" s="689" t="s">
        <v>136</v>
      </c>
      <c r="H61" s="691">
        <v>0</v>
      </c>
      <c r="I61" s="691">
        <v>0</v>
      </c>
      <c r="J61" s="691">
        <v>0</v>
      </c>
      <c r="K61" s="691">
        <v>0</v>
      </c>
      <c r="L61" s="691">
        <v>0</v>
      </c>
      <c r="M61" s="691">
        <v>0</v>
      </c>
      <c r="N61" s="691">
        <v>0</v>
      </c>
      <c r="O61" s="691">
        <v>0</v>
      </c>
      <c r="P61" s="691"/>
      <c r="Q61" s="691">
        <v>0</v>
      </c>
      <c r="R61" s="691">
        <v>0</v>
      </c>
      <c r="S61" s="691">
        <v>0</v>
      </c>
    </row>
    <row r="62" spans="1:19" x14ac:dyDescent="0.2">
      <c r="A62" s="660"/>
      <c r="B62" s="710" t="s">
        <v>137</v>
      </c>
      <c r="C62" s="672">
        <v>253800</v>
      </c>
      <c r="D62" s="667" t="s">
        <v>131</v>
      </c>
      <c r="E62" s="690" t="s">
        <v>11</v>
      </c>
      <c r="F62" s="674"/>
      <c r="G62" s="689" t="s">
        <v>138</v>
      </c>
      <c r="H62" s="691">
        <v>0</v>
      </c>
      <c r="I62" s="691">
        <v>0</v>
      </c>
      <c r="J62" s="691">
        <v>0</v>
      </c>
      <c r="K62" s="691">
        <v>0</v>
      </c>
      <c r="L62" s="691">
        <v>0</v>
      </c>
      <c r="M62" s="691">
        <v>0</v>
      </c>
      <c r="N62" s="691">
        <v>0</v>
      </c>
      <c r="O62" s="691">
        <v>0</v>
      </c>
      <c r="P62" s="691">
        <v>0</v>
      </c>
      <c r="Q62" s="691">
        <v>0</v>
      </c>
      <c r="R62" s="691">
        <v>0</v>
      </c>
      <c r="S62" s="691">
        <v>0</v>
      </c>
    </row>
    <row r="63" spans="1:19" x14ac:dyDescent="0.2">
      <c r="A63" s="660"/>
      <c r="B63" s="710" t="s">
        <v>139</v>
      </c>
      <c r="C63" s="672">
        <v>150</v>
      </c>
      <c r="D63" s="667" t="s">
        <v>135</v>
      </c>
      <c r="E63" s="690" t="s">
        <v>584</v>
      </c>
      <c r="F63" s="674"/>
      <c r="G63" s="689" t="s">
        <v>140</v>
      </c>
      <c r="H63" s="691">
        <v>0</v>
      </c>
      <c r="I63" s="691">
        <v>0</v>
      </c>
      <c r="J63" s="691">
        <v>0</v>
      </c>
      <c r="K63" s="691">
        <v>0</v>
      </c>
      <c r="L63" s="691">
        <v>0</v>
      </c>
      <c r="M63" s="691">
        <v>0</v>
      </c>
      <c r="N63" s="691">
        <v>0</v>
      </c>
      <c r="O63" s="691">
        <v>0</v>
      </c>
      <c r="P63" s="691">
        <v>0</v>
      </c>
      <c r="Q63" s="691">
        <v>0</v>
      </c>
      <c r="R63" s="691">
        <v>0</v>
      </c>
      <c r="S63" s="691">
        <v>0</v>
      </c>
    </row>
    <row r="64" spans="1:19" x14ac:dyDescent="0.2">
      <c r="A64" s="660"/>
      <c r="B64" s="710" t="s">
        <v>141</v>
      </c>
      <c r="C64" s="667" t="s">
        <v>142</v>
      </c>
      <c r="D64" s="667" t="s">
        <v>131</v>
      </c>
      <c r="E64" s="690" t="s">
        <v>11</v>
      </c>
      <c r="F64" s="674"/>
      <c r="G64" s="689" t="s">
        <v>143</v>
      </c>
      <c r="H64" s="691">
        <v>0</v>
      </c>
      <c r="I64" s="691">
        <v>0</v>
      </c>
      <c r="J64" s="691">
        <v>0</v>
      </c>
      <c r="K64" s="691">
        <v>0</v>
      </c>
      <c r="L64" s="691">
        <v>0</v>
      </c>
      <c r="M64" s="691">
        <v>0</v>
      </c>
      <c r="N64" s="691">
        <v>0</v>
      </c>
      <c r="O64" s="691">
        <v>0</v>
      </c>
      <c r="P64" s="691">
        <v>0</v>
      </c>
      <c r="Q64" s="691">
        <v>0</v>
      </c>
      <c r="R64" s="691">
        <v>0</v>
      </c>
      <c r="S64" s="691">
        <v>0</v>
      </c>
    </row>
    <row r="65" spans="1:19" x14ac:dyDescent="0.2">
      <c r="A65" s="660"/>
      <c r="B65" s="710" t="s">
        <v>144</v>
      </c>
      <c r="C65" s="660" t="s">
        <v>493</v>
      </c>
      <c r="D65" s="667" t="s">
        <v>135</v>
      </c>
      <c r="E65" s="690" t="s">
        <v>584</v>
      </c>
      <c r="F65" s="674"/>
      <c r="G65" s="689" t="s">
        <v>145</v>
      </c>
      <c r="H65" s="691">
        <v>0</v>
      </c>
      <c r="I65" s="691">
        <v>0</v>
      </c>
      <c r="J65" s="691">
        <v>0</v>
      </c>
      <c r="K65" s="691">
        <v>0</v>
      </c>
      <c r="L65" s="691">
        <v>0</v>
      </c>
      <c r="M65" s="691">
        <v>0</v>
      </c>
      <c r="N65" s="691">
        <v>0</v>
      </c>
      <c r="O65" s="691">
        <v>0</v>
      </c>
      <c r="P65" s="691">
        <v>0</v>
      </c>
      <c r="Q65" s="691">
        <v>0</v>
      </c>
      <c r="R65" s="691">
        <v>0</v>
      </c>
      <c r="S65" s="691">
        <v>0</v>
      </c>
    </row>
    <row r="66" spans="1:19" x14ac:dyDescent="0.2">
      <c r="A66" s="660"/>
      <c r="B66" s="710" t="s">
        <v>146</v>
      </c>
      <c r="C66" s="660" t="s">
        <v>493</v>
      </c>
      <c r="D66" s="667" t="s">
        <v>131</v>
      </c>
      <c r="E66" s="690" t="s">
        <v>11</v>
      </c>
      <c r="F66" s="674"/>
      <c r="G66" s="689" t="s">
        <v>147</v>
      </c>
      <c r="H66" s="691">
        <v>0</v>
      </c>
      <c r="I66" s="691">
        <v>0</v>
      </c>
      <c r="J66" s="691">
        <v>0</v>
      </c>
      <c r="K66" s="691">
        <v>0</v>
      </c>
      <c r="L66" s="691">
        <v>0</v>
      </c>
      <c r="M66" s="691">
        <v>0</v>
      </c>
      <c r="N66" s="691">
        <v>0</v>
      </c>
      <c r="O66" s="691">
        <v>0</v>
      </c>
      <c r="P66" s="691">
        <v>0</v>
      </c>
      <c r="Q66" s="691">
        <v>0</v>
      </c>
      <c r="R66" s="691">
        <v>0</v>
      </c>
      <c r="S66" s="691">
        <v>0</v>
      </c>
    </row>
    <row r="67" spans="1:19" x14ac:dyDescent="0.2">
      <c r="A67" s="660"/>
      <c r="B67" s="710" t="s">
        <v>148</v>
      </c>
      <c r="C67" s="660" t="s">
        <v>149</v>
      </c>
      <c r="D67" s="667" t="s">
        <v>135</v>
      </c>
      <c r="E67" s="690" t="s">
        <v>584</v>
      </c>
      <c r="F67" s="674"/>
      <c r="G67" s="689" t="s">
        <v>150</v>
      </c>
      <c r="H67" s="691">
        <v>0</v>
      </c>
      <c r="I67" s="691">
        <v>0</v>
      </c>
      <c r="J67" s="691">
        <v>0</v>
      </c>
      <c r="K67" s="691">
        <v>0</v>
      </c>
      <c r="L67" s="691">
        <v>0</v>
      </c>
      <c r="M67" s="691">
        <v>0</v>
      </c>
      <c r="N67" s="691">
        <v>0</v>
      </c>
      <c r="O67" s="691">
        <v>0</v>
      </c>
      <c r="P67" s="691">
        <v>0</v>
      </c>
      <c r="Q67" s="691">
        <v>0</v>
      </c>
      <c r="R67" s="691">
        <v>0</v>
      </c>
      <c r="S67" s="691">
        <v>0</v>
      </c>
    </row>
    <row r="68" spans="1:19" x14ac:dyDescent="0.2">
      <c r="A68" s="660"/>
      <c r="B68" s="710" t="s">
        <v>151</v>
      </c>
      <c r="C68" s="660" t="s">
        <v>149</v>
      </c>
      <c r="D68" s="667" t="s">
        <v>131</v>
      </c>
      <c r="E68" s="690" t="s">
        <v>11</v>
      </c>
      <c r="F68" s="674"/>
      <c r="G68" s="689" t="s">
        <v>152</v>
      </c>
      <c r="H68" s="691">
        <v>0</v>
      </c>
      <c r="I68" s="691">
        <v>0</v>
      </c>
      <c r="J68" s="691">
        <v>0</v>
      </c>
      <c r="K68" s="691">
        <v>0</v>
      </c>
      <c r="L68" s="691">
        <v>0</v>
      </c>
      <c r="M68" s="691">
        <v>0</v>
      </c>
      <c r="N68" s="691">
        <v>0</v>
      </c>
      <c r="O68" s="691">
        <v>0</v>
      </c>
      <c r="P68" s="691">
        <v>0</v>
      </c>
      <c r="Q68" s="691">
        <v>0</v>
      </c>
      <c r="R68" s="691">
        <v>0</v>
      </c>
      <c r="S68" s="691">
        <v>0</v>
      </c>
    </row>
    <row r="69" spans="1:19" x14ac:dyDescent="0.2">
      <c r="A69" s="660"/>
      <c r="B69" s="710" t="s">
        <v>153</v>
      </c>
      <c r="C69" s="667" t="s">
        <v>142</v>
      </c>
      <c r="D69" s="667" t="s">
        <v>131</v>
      </c>
      <c r="E69" s="690" t="s">
        <v>11</v>
      </c>
      <c r="F69" s="674"/>
      <c r="G69" s="689" t="s">
        <v>154</v>
      </c>
      <c r="H69" s="691">
        <v>0</v>
      </c>
      <c r="I69" s="691">
        <v>0</v>
      </c>
      <c r="J69" s="691">
        <v>0</v>
      </c>
      <c r="K69" s="691">
        <v>0</v>
      </c>
      <c r="L69" s="691">
        <v>0</v>
      </c>
      <c r="M69" s="691">
        <v>0</v>
      </c>
      <c r="N69" s="691">
        <v>0</v>
      </c>
      <c r="O69" s="691">
        <v>0</v>
      </c>
      <c r="P69" s="691">
        <v>0</v>
      </c>
      <c r="Q69" s="691">
        <v>0</v>
      </c>
      <c r="R69" s="691">
        <v>0</v>
      </c>
      <c r="S69" s="691">
        <v>0</v>
      </c>
    </row>
    <row r="70" spans="1:19" x14ac:dyDescent="0.2">
      <c r="A70" s="660"/>
      <c r="B70" s="710" t="s">
        <v>155</v>
      </c>
      <c r="C70" s="714" t="s">
        <v>156</v>
      </c>
      <c r="D70" s="660"/>
      <c r="E70" s="690" t="s">
        <v>583</v>
      </c>
      <c r="F70" s="674"/>
      <c r="G70" s="689" t="s">
        <v>107</v>
      </c>
      <c r="H70" s="691">
        <v>0.125</v>
      </c>
      <c r="I70" s="691">
        <v>0.13500000000000001</v>
      </c>
      <c r="J70" s="691">
        <v>0</v>
      </c>
      <c r="K70" s="691">
        <v>0</v>
      </c>
      <c r="L70" s="691">
        <v>0</v>
      </c>
      <c r="M70" s="691">
        <v>0</v>
      </c>
      <c r="N70" s="691">
        <v>3.5000000000000003E-2</v>
      </c>
      <c r="O70" s="691">
        <v>3.5000000000000003E-2</v>
      </c>
      <c r="P70" s="691">
        <v>3.5000000000000003E-2</v>
      </c>
      <c r="Q70" s="691">
        <v>0</v>
      </c>
      <c r="R70" s="691">
        <v>0</v>
      </c>
      <c r="S70" s="691">
        <v>0</v>
      </c>
    </row>
    <row r="71" spans="1:19" x14ac:dyDescent="0.2">
      <c r="A71" s="660"/>
      <c r="B71" s="710" t="s">
        <v>157</v>
      </c>
      <c r="C71" s="672"/>
      <c r="D71" s="660"/>
      <c r="E71" s="674"/>
      <c r="F71" s="674"/>
      <c r="G71" s="715" t="s">
        <v>158</v>
      </c>
      <c r="H71" s="688">
        <f t="shared" ref="H71:S71" si="17">SUM(H58:H70)</f>
        <v>358.99400000000003</v>
      </c>
      <c r="I71" s="688">
        <f t="shared" si="17"/>
        <v>280.22300000000001</v>
      </c>
      <c r="J71" s="688">
        <f t="shared" si="17"/>
        <v>297.82100000000003</v>
      </c>
      <c r="K71" s="688">
        <f t="shared" si="17"/>
        <v>332.83600000000001</v>
      </c>
      <c r="L71" s="688">
        <f t="shared" si="17"/>
        <v>318.214</v>
      </c>
      <c r="M71" s="688">
        <f t="shared" si="17"/>
        <v>344</v>
      </c>
      <c r="N71" s="688">
        <f t="shared" si="17"/>
        <v>345.03500000000003</v>
      </c>
      <c r="O71" s="688">
        <f t="shared" si="17"/>
        <v>341.03500000000003</v>
      </c>
      <c r="P71" s="688">
        <f t="shared" si="17"/>
        <v>373.03500000000003</v>
      </c>
      <c r="Q71" s="688">
        <f t="shared" si="17"/>
        <v>378</v>
      </c>
      <c r="R71" s="688">
        <f t="shared" si="17"/>
        <v>383</v>
      </c>
      <c r="S71" s="688">
        <f t="shared" si="17"/>
        <v>387</v>
      </c>
    </row>
    <row r="72" spans="1:19" x14ac:dyDescent="0.2">
      <c r="A72" s="660"/>
      <c r="B72" s="671"/>
      <c r="C72" s="672"/>
      <c r="D72" s="660"/>
      <c r="E72" s="673"/>
      <c r="F72" s="660"/>
      <c r="G72" s="675"/>
      <c r="H72" s="670"/>
      <c r="I72" s="670"/>
      <c r="J72" s="670"/>
      <c r="K72" s="670"/>
      <c r="L72" s="670"/>
      <c r="M72" s="670"/>
      <c r="N72" s="670"/>
      <c r="O72" s="670"/>
      <c r="P72" s="670"/>
      <c r="Q72" s="670"/>
      <c r="R72" s="670"/>
      <c r="S72" s="670"/>
    </row>
    <row r="73" spans="1:19" x14ac:dyDescent="0.2">
      <c r="A73" s="660"/>
      <c r="B73" s="671"/>
      <c r="C73" s="672"/>
      <c r="D73" s="708" t="s">
        <v>120</v>
      </c>
      <c r="E73" s="709" t="s">
        <v>3</v>
      </c>
      <c r="F73" s="673"/>
      <c r="G73" s="684" t="s">
        <v>159</v>
      </c>
      <c r="H73" s="702">
        <f t="shared" ref="H73:S73" si="18">H57</f>
        <v>2011</v>
      </c>
      <c r="I73" s="702">
        <f t="shared" si="18"/>
        <v>2012</v>
      </c>
      <c r="J73" s="702">
        <f t="shared" si="18"/>
        <v>2013</v>
      </c>
      <c r="K73" s="702">
        <f t="shared" si="18"/>
        <v>2014</v>
      </c>
      <c r="L73" s="702">
        <f t="shared" si="18"/>
        <v>2015</v>
      </c>
      <c r="M73" s="702">
        <f t="shared" si="18"/>
        <v>2016</v>
      </c>
      <c r="N73" s="702">
        <f t="shared" si="18"/>
        <v>2017</v>
      </c>
      <c r="O73" s="702">
        <f t="shared" si="18"/>
        <v>2018</v>
      </c>
      <c r="P73" s="702">
        <f t="shared" si="18"/>
        <v>2019</v>
      </c>
      <c r="Q73" s="702">
        <f t="shared" si="18"/>
        <v>2020</v>
      </c>
      <c r="R73" s="702">
        <f t="shared" si="18"/>
        <v>2021</v>
      </c>
      <c r="S73" s="702">
        <f t="shared" si="18"/>
        <v>2022</v>
      </c>
    </row>
    <row r="74" spans="1:19" x14ac:dyDescent="0.2">
      <c r="A74" s="660"/>
      <c r="B74" s="671" t="s">
        <v>160</v>
      </c>
      <c r="C74" s="667" t="s">
        <v>161</v>
      </c>
      <c r="D74" s="667" t="s">
        <v>128</v>
      </c>
      <c r="E74" s="690" t="s">
        <v>11</v>
      </c>
      <c r="F74" s="660"/>
      <c r="G74" s="687" t="s">
        <v>162</v>
      </c>
      <c r="H74" s="691">
        <v>0</v>
      </c>
      <c r="I74" s="691">
        <v>0</v>
      </c>
      <c r="J74" s="691">
        <v>0</v>
      </c>
      <c r="K74" s="691">
        <v>0</v>
      </c>
      <c r="L74" s="691">
        <v>0</v>
      </c>
      <c r="M74" s="691">
        <v>0</v>
      </c>
      <c r="N74" s="691">
        <v>0</v>
      </c>
      <c r="O74" s="691">
        <v>0</v>
      </c>
      <c r="P74" s="691">
        <v>0</v>
      </c>
      <c r="Q74" s="691">
        <v>0</v>
      </c>
      <c r="R74" s="691">
        <v>0</v>
      </c>
      <c r="S74" s="691">
        <v>0</v>
      </c>
    </row>
    <row r="75" spans="1:19" x14ac:dyDescent="0.2">
      <c r="A75" s="660"/>
      <c r="B75" s="671" t="s">
        <v>163</v>
      </c>
      <c r="C75" s="667" t="s">
        <v>161</v>
      </c>
      <c r="D75" s="667" t="s">
        <v>124</v>
      </c>
      <c r="E75" s="690" t="s">
        <v>584</v>
      </c>
      <c r="F75" s="674"/>
      <c r="G75" s="689" t="s">
        <v>164</v>
      </c>
      <c r="H75" s="691">
        <v>0</v>
      </c>
      <c r="I75" s="691">
        <v>0</v>
      </c>
      <c r="J75" s="691">
        <v>0</v>
      </c>
      <c r="K75" s="691">
        <v>0</v>
      </c>
      <c r="L75" s="691">
        <v>0</v>
      </c>
      <c r="M75" s="691">
        <v>0</v>
      </c>
      <c r="N75" s="691">
        <v>0</v>
      </c>
      <c r="O75" s="691">
        <v>0</v>
      </c>
      <c r="P75" s="691">
        <v>0</v>
      </c>
      <c r="Q75" s="691">
        <v>0</v>
      </c>
      <c r="R75" s="691">
        <v>0</v>
      </c>
      <c r="S75" s="691">
        <v>0</v>
      </c>
    </row>
    <row r="76" spans="1:19" x14ac:dyDescent="0.2">
      <c r="A76" s="660"/>
      <c r="B76" s="671" t="s">
        <v>165</v>
      </c>
      <c r="C76" s="667" t="s">
        <v>166</v>
      </c>
      <c r="D76" s="667" t="s">
        <v>131</v>
      </c>
      <c r="E76" s="690" t="s">
        <v>11</v>
      </c>
      <c r="F76" s="660"/>
      <c r="G76" s="689" t="s">
        <v>167</v>
      </c>
      <c r="H76" s="691">
        <v>0</v>
      </c>
      <c r="I76" s="691">
        <v>0</v>
      </c>
      <c r="J76" s="691">
        <v>0</v>
      </c>
      <c r="K76" s="691">
        <v>0</v>
      </c>
      <c r="L76" s="691">
        <v>0</v>
      </c>
      <c r="M76" s="691">
        <v>0</v>
      </c>
      <c r="N76" s="691">
        <v>0</v>
      </c>
      <c r="O76" s="691">
        <v>0</v>
      </c>
      <c r="P76" s="691">
        <v>0</v>
      </c>
      <c r="Q76" s="691">
        <v>0</v>
      </c>
      <c r="R76" s="691">
        <v>0</v>
      </c>
      <c r="S76" s="691">
        <v>0</v>
      </c>
    </row>
    <row r="77" spans="1:19" x14ac:dyDescent="0.2">
      <c r="A77" s="660"/>
      <c r="B77" s="671" t="s">
        <v>168</v>
      </c>
      <c r="C77" s="667" t="s">
        <v>166</v>
      </c>
      <c r="D77" s="667" t="s">
        <v>135</v>
      </c>
      <c r="E77" s="690" t="s">
        <v>584</v>
      </c>
      <c r="F77" s="674"/>
      <c r="G77" s="689" t="s">
        <v>169</v>
      </c>
      <c r="H77" s="691">
        <v>-303.27600000000001</v>
      </c>
      <c r="I77" s="691">
        <f>-295.715-153.388</f>
        <v>-449.10299999999995</v>
      </c>
      <c r="J77" s="691">
        <f>-298.448+0.259</f>
        <v>-298.18899999999996</v>
      </c>
      <c r="K77" s="691">
        <f>-335.898-0.259</f>
        <v>-336.15700000000004</v>
      </c>
      <c r="L77" s="691">
        <v>-338.86</v>
      </c>
      <c r="M77" s="691">
        <v>-351</v>
      </c>
      <c r="N77" s="691">
        <v>-360</v>
      </c>
      <c r="O77" s="691">
        <v>-368</v>
      </c>
      <c r="P77" s="691">
        <v>-373</v>
      </c>
      <c r="Q77" s="691">
        <v>-377</v>
      </c>
      <c r="R77" s="691">
        <v>-382</v>
      </c>
      <c r="S77" s="691">
        <v>-387</v>
      </c>
    </row>
    <row r="78" spans="1:19" x14ac:dyDescent="0.2">
      <c r="A78" s="660"/>
      <c r="B78" s="671" t="s">
        <v>170</v>
      </c>
      <c r="C78" s="667" t="s">
        <v>171</v>
      </c>
      <c r="D78" s="667" t="s">
        <v>135</v>
      </c>
      <c r="E78" s="690" t="s">
        <v>584</v>
      </c>
      <c r="F78" s="674"/>
      <c r="G78" s="689" t="s">
        <v>172</v>
      </c>
      <c r="H78" s="691">
        <v>0</v>
      </c>
      <c r="I78" s="691">
        <v>0</v>
      </c>
      <c r="J78" s="691">
        <v>0</v>
      </c>
      <c r="K78" s="691">
        <v>0</v>
      </c>
      <c r="L78" s="691">
        <v>0</v>
      </c>
      <c r="M78" s="691">
        <v>0</v>
      </c>
      <c r="N78" s="691">
        <v>-1</v>
      </c>
      <c r="O78" s="691">
        <v>-6</v>
      </c>
      <c r="P78" s="691">
        <v>-6</v>
      </c>
      <c r="Q78" s="691">
        <v>-6</v>
      </c>
      <c r="R78" s="691">
        <v>-6</v>
      </c>
      <c r="S78" s="691">
        <v>-5</v>
      </c>
    </row>
    <row r="79" spans="1:19" x14ac:dyDescent="0.2">
      <c r="A79" s="660"/>
      <c r="B79" s="671" t="s">
        <v>173</v>
      </c>
      <c r="C79" s="667" t="s">
        <v>174</v>
      </c>
      <c r="D79" s="667" t="s">
        <v>135</v>
      </c>
      <c r="E79" s="690" t="s">
        <v>584</v>
      </c>
      <c r="F79" s="674"/>
      <c r="G79" s="689" t="s">
        <v>175</v>
      </c>
      <c r="H79" s="691">
        <f>-146.491-0.47</f>
        <v>-146.96100000000001</v>
      </c>
      <c r="I79" s="691">
        <v>-160.32300000000001</v>
      </c>
      <c r="J79" s="691">
        <v>-120.84399999999999</v>
      </c>
      <c r="K79" s="691">
        <v>-82.402000000000001</v>
      </c>
      <c r="L79" s="691">
        <v>-76.715999999999994</v>
      </c>
      <c r="M79" s="691">
        <v>-60</v>
      </c>
      <c r="N79" s="691">
        <v>-40</v>
      </c>
      <c r="O79" s="691">
        <v>-40</v>
      </c>
      <c r="P79" s="691">
        <v>-34</v>
      </c>
      <c r="Q79" s="691">
        <v>-29</v>
      </c>
      <c r="R79" s="691">
        <v>-25</v>
      </c>
      <c r="S79" s="691">
        <v>-20</v>
      </c>
    </row>
    <row r="80" spans="1:19" x14ac:dyDescent="0.2">
      <c r="A80" s="660"/>
      <c r="B80" s="671" t="s">
        <v>176</v>
      </c>
      <c r="C80" s="667" t="s">
        <v>177</v>
      </c>
      <c r="D80" s="667" t="s">
        <v>135</v>
      </c>
      <c r="E80" s="690" t="s">
        <v>584</v>
      </c>
      <c r="F80" s="674"/>
      <c r="G80" s="689" t="s">
        <v>178</v>
      </c>
      <c r="H80" s="691">
        <v>0</v>
      </c>
      <c r="I80" s="691">
        <v>0</v>
      </c>
      <c r="J80" s="691">
        <v>0</v>
      </c>
      <c r="K80" s="691">
        <v>0</v>
      </c>
      <c r="L80" s="691">
        <v>0</v>
      </c>
      <c r="M80" s="691">
        <v>0</v>
      </c>
      <c r="N80" s="691">
        <v>0</v>
      </c>
      <c r="O80" s="691">
        <v>0</v>
      </c>
      <c r="P80" s="691">
        <v>0</v>
      </c>
      <c r="Q80" s="691">
        <v>0</v>
      </c>
      <c r="R80" s="691">
        <v>0</v>
      </c>
      <c r="S80" s="691">
        <v>0</v>
      </c>
    </row>
    <row r="81" spans="1:19" x14ac:dyDescent="0.2">
      <c r="A81" s="660"/>
      <c r="B81" s="671" t="s">
        <v>179</v>
      </c>
      <c r="C81" s="667" t="s">
        <v>52</v>
      </c>
      <c r="D81" s="667" t="s">
        <v>135</v>
      </c>
      <c r="E81" s="690" t="s">
        <v>584</v>
      </c>
      <c r="F81" s="674"/>
      <c r="G81" s="689" t="s">
        <v>180</v>
      </c>
      <c r="H81" s="691">
        <v>0</v>
      </c>
      <c r="I81" s="691">
        <v>0</v>
      </c>
      <c r="J81" s="691">
        <v>0</v>
      </c>
      <c r="K81" s="691">
        <v>0</v>
      </c>
      <c r="L81" s="691">
        <v>0</v>
      </c>
      <c r="M81" s="691">
        <v>0</v>
      </c>
      <c r="N81" s="691">
        <v>0</v>
      </c>
      <c r="O81" s="691">
        <v>0</v>
      </c>
      <c r="P81" s="691">
        <v>0</v>
      </c>
      <c r="Q81" s="691">
        <v>0</v>
      </c>
      <c r="R81" s="691">
        <v>0</v>
      </c>
      <c r="S81" s="691">
        <v>0</v>
      </c>
    </row>
    <row r="82" spans="1:19" x14ac:dyDescent="0.2">
      <c r="A82" s="660"/>
      <c r="B82" s="671" t="s">
        <v>181</v>
      </c>
      <c r="C82" s="667" t="s">
        <v>182</v>
      </c>
      <c r="D82" s="667" t="s">
        <v>131</v>
      </c>
      <c r="E82" s="690" t="s">
        <v>11</v>
      </c>
      <c r="F82" s="660"/>
      <c r="G82" s="689" t="s">
        <v>183</v>
      </c>
      <c r="H82" s="691">
        <v>0</v>
      </c>
      <c r="I82" s="691">
        <v>0</v>
      </c>
      <c r="J82" s="691">
        <v>0</v>
      </c>
      <c r="K82" s="691">
        <v>0</v>
      </c>
      <c r="L82" s="691">
        <v>0</v>
      </c>
      <c r="M82" s="691">
        <v>0</v>
      </c>
      <c r="N82" s="691">
        <v>0</v>
      </c>
      <c r="O82" s="691">
        <v>0</v>
      </c>
      <c r="P82" s="691">
        <v>0</v>
      </c>
      <c r="Q82" s="691">
        <v>0</v>
      </c>
      <c r="R82" s="691">
        <v>0</v>
      </c>
      <c r="S82" s="691">
        <v>0</v>
      </c>
    </row>
    <row r="83" spans="1:19" x14ac:dyDescent="0.2">
      <c r="A83" s="660"/>
      <c r="B83" s="671" t="s">
        <v>184</v>
      </c>
      <c r="C83" s="667" t="s">
        <v>182</v>
      </c>
      <c r="D83" s="667" t="s">
        <v>135</v>
      </c>
      <c r="E83" s="690" t="s">
        <v>584</v>
      </c>
      <c r="F83" s="674"/>
      <c r="G83" s="689" t="s">
        <v>494</v>
      </c>
      <c r="H83" s="691">
        <v>0</v>
      </c>
      <c r="I83" s="691">
        <v>0</v>
      </c>
      <c r="J83" s="691">
        <v>0</v>
      </c>
      <c r="K83" s="691">
        <v>0</v>
      </c>
      <c r="L83" s="691">
        <v>0</v>
      </c>
      <c r="M83" s="691">
        <v>0</v>
      </c>
      <c r="N83" s="691">
        <v>0</v>
      </c>
      <c r="O83" s="691">
        <v>0</v>
      </c>
      <c r="P83" s="691">
        <v>0</v>
      </c>
      <c r="Q83" s="691">
        <v>0</v>
      </c>
      <c r="R83" s="691">
        <v>0</v>
      </c>
      <c r="S83" s="691">
        <v>0</v>
      </c>
    </row>
    <row r="84" spans="1:19" x14ac:dyDescent="0.2">
      <c r="A84" s="660"/>
      <c r="B84" s="671" t="s">
        <v>185</v>
      </c>
      <c r="C84" s="716">
        <v>68</v>
      </c>
      <c r="D84" s="667" t="s">
        <v>135</v>
      </c>
      <c r="E84" s="690" t="s">
        <v>584</v>
      </c>
      <c r="F84" s="674"/>
      <c r="G84" s="717" t="s">
        <v>111</v>
      </c>
      <c r="H84" s="691">
        <v>0</v>
      </c>
      <c r="I84" s="691">
        <v>0</v>
      </c>
      <c r="J84" s="691">
        <v>0</v>
      </c>
      <c r="K84" s="691">
        <v>0</v>
      </c>
      <c r="L84" s="691">
        <v>0</v>
      </c>
      <c r="M84" s="691">
        <v>0</v>
      </c>
      <c r="N84" s="691">
        <v>0</v>
      </c>
      <c r="O84" s="691">
        <v>0</v>
      </c>
      <c r="P84" s="691">
        <v>0</v>
      </c>
      <c r="Q84" s="691">
        <v>0</v>
      </c>
      <c r="R84" s="691">
        <v>0</v>
      </c>
      <c r="S84" s="691">
        <v>0</v>
      </c>
    </row>
    <row r="85" spans="1:19" x14ac:dyDescent="0.2">
      <c r="A85" s="660"/>
      <c r="B85" s="671" t="s">
        <v>186</v>
      </c>
      <c r="C85" s="672"/>
      <c r="D85" s="672"/>
      <c r="E85" s="673"/>
      <c r="F85" s="660"/>
      <c r="G85" s="717" t="s">
        <v>158</v>
      </c>
      <c r="H85" s="688">
        <f t="shared" ref="H85:Q85" si="19">SUM(H74:H84)</f>
        <v>-450.23700000000002</v>
      </c>
      <c r="I85" s="688">
        <f t="shared" si="19"/>
        <v>-609.42599999999993</v>
      </c>
      <c r="J85" s="688">
        <f t="shared" si="19"/>
        <v>-419.03299999999996</v>
      </c>
      <c r="K85" s="688">
        <f t="shared" si="19"/>
        <v>-418.55900000000003</v>
      </c>
      <c r="L85" s="688">
        <f t="shared" si="19"/>
        <v>-415.57600000000002</v>
      </c>
      <c r="M85" s="688">
        <f t="shared" si="19"/>
        <v>-411</v>
      </c>
      <c r="N85" s="688">
        <f t="shared" si="19"/>
        <v>-401</v>
      </c>
      <c r="O85" s="688">
        <f t="shared" si="19"/>
        <v>-414</v>
      </c>
      <c r="P85" s="688">
        <f t="shared" si="19"/>
        <v>-413</v>
      </c>
      <c r="Q85" s="688">
        <f t="shared" si="19"/>
        <v>-412</v>
      </c>
      <c r="R85" s="688">
        <f>SUM(R74:R84)</f>
        <v>-413</v>
      </c>
      <c r="S85" s="688">
        <f>SUM(S74:S84)</f>
        <v>-412</v>
      </c>
    </row>
    <row r="86" spans="1:19" x14ac:dyDescent="0.2">
      <c r="A86" s="660"/>
      <c r="B86" s="671"/>
      <c r="C86" s="672"/>
      <c r="D86" s="672"/>
      <c r="E86" s="673"/>
      <c r="F86" s="660"/>
      <c r="G86" s="675"/>
      <c r="H86" s="670"/>
      <c r="I86" s="670"/>
      <c r="J86" s="670"/>
      <c r="K86" s="670"/>
      <c r="L86" s="670"/>
      <c r="M86" s="670"/>
      <c r="N86" s="670"/>
      <c r="O86" s="670"/>
      <c r="P86" s="670"/>
      <c r="Q86" s="670"/>
      <c r="R86" s="670"/>
      <c r="S86" s="670"/>
    </row>
    <row r="87" spans="1:19" x14ac:dyDescent="0.2">
      <c r="A87" s="661" t="s">
        <v>0</v>
      </c>
      <c r="B87" s="671"/>
      <c r="C87" s="672"/>
      <c r="D87" s="779" t="s">
        <v>187</v>
      </c>
      <c r="E87" s="780"/>
      <c r="F87" s="660"/>
      <c r="G87" s="684" t="s">
        <v>495</v>
      </c>
      <c r="H87" s="702">
        <f t="shared" ref="H87:S87" si="20">H32</f>
        <v>2011</v>
      </c>
      <c r="I87" s="702">
        <f t="shared" si="20"/>
        <v>2012</v>
      </c>
      <c r="J87" s="702">
        <f t="shared" si="20"/>
        <v>2013</v>
      </c>
      <c r="K87" s="702">
        <f t="shared" si="20"/>
        <v>2014</v>
      </c>
      <c r="L87" s="702">
        <f t="shared" si="20"/>
        <v>2015</v>
      </c>
      <c r="M87" s="702">
        <f t="shared" si="20"/>
        <v>2016</v>
      </c>
      <c r="N87" s="702">
        <f t="shared" si="20"/>
        <v>2017</v>
      </c>
      <c r="O87" s="702">
        <f t="shared" si="20"/>
        <v>2018</v>
      </c>
      <c r="P87" s="702">
        <f t="shared" si="20"/>
        <v>2019</v>
      </c>
      <c r="Q87" s="702">
        <f t="shared" si="20"/>
        <v>2020</v>
      </c>
      <c r="R87" s="702">
        <f t="shared" si="20"/>
        <v>2021</v>
      </c>
      <c r="S87" s="702">
        <f t="shared" si="20"/>
        <v>2022</v>
      </c>
    </row>
    <row r="88" spans="1:19" x14ac:dyDescent="0.2">
      <c r="A88" s="660" t="s">
        <v>496</v>
      </c>
      <c r="B88" s="671" t="s">
        <v>188</v>
      </c>
      <c r="C88" s="660" t="s">
        <v>497</v>
      </c>
      <c r="D88" s="672"/>
      <c r="E88" s="718"/>
      <c r="F88" s="660"/>
      <c r="G88" s="687" t="s">
        <v>498</v>
      </c>
      <c r="H88" s="688">
        <f>H46+H71</f>
        <v>612.77899999999988</v>
      </c>
      <c r="I88" s="688">
        <f t="shared" ref="I88:S88" si="21">I46+I71</f>
        <v>562.48800000000006</v>
      </c>
      <c r="J88" s="688">
        <f t="shared" si="21"/>
        <v>250.84399999999994</v>
      </c>
      <c r="K88" s="688">
        <f t="shared" si="21"/>
        <v>284.24099999999999</v>
      </c>
      <c r="L88" s="688">
        <f t="shared" si="21"/>
        <v>121.75400000000019</v>
      </c>
      <c r="M88" s="688">
        <f t="shared" si="21"/>
        <v>289</v>
      </c>
      <c r="N88" s="688">
        <f t="shared" si="21"/>
        <v>206.03500000000003</v>
      </c>
      <c r="O88" s="688">
        <f t="shared" si="21"/>
        <v>175.03500000000003</v>
      </c>
      <c r="P88" s="688">
        <f t="shared" si="21"/>
        <v>252.03500000000003</v>
      </c>
      <c r="Q88" s="688">
        <f t="shared" si="21"/>
        <v>252</v>
      </c>
      <c r="R88" s="688">
        <f t="shared" si="21"/>
        <v>265</v>
      </c>
      <c r="S88" s="688">
        <f t="shared" si="21"/>
        <v>244</v>
      </c>
    </row>
    <row r="89" spans="1:19" x14ac:dyDescent="0.2">
      <c r="A89" s="660" t="s">
        <v>499</v>
      </c>
      <c r="B89" s="671" t="s">
        <v>189</v>
      </c>
      <c r="C89" s="667" t="s">
        <v>190</v>
      </c>
      <c r="D89" s="672"/>
      <c r="E89" s="718"/>
      <c r="F89" s="660"/>
      <c r="G89" s="687" t="s">
        <v>191</v>
      </c>
      <c r="H89" s="719">
        <f t="shared" ref="H89:S89" si="22">H33+H38+H41-H45</f>
        <v>516.10599999999988</v>
      </c>
      <c r="I89" s="688">
        <f t="shared" si="22"/>
        <v>444.8010000000001</v>
      </c>
      <c r="J89" s="688">
        <f t="shared" si="22"/>
        <v>125.87299999999991</v>
      </c>
      <c r="K89" s="688">
        <f t="shared" si="22"/>
        <v>123.93499999999997</v>
      </c>
      <c r="L89" s="688">
        <f t="shared" si="22"/>
        <v>-24.749999999999801</v>
      </c>
      <c r="M89" s="688">
        <f t="shared" si="22"/>
        <v>120</v>
      </c>
      <c r="N89" s="688">
        <f t="shared" si="22"/>
        <v>35</v>
      </c>
      <c r="O89" s="688">
        <f t="shared" si="22"/>
        <v>8</v>
      </c>
      <c r="P89" s="688">
        <f t="shared" si="22"/>
        <v>53</v>
      </c>
      <c r="Q89" s="688">
        <f t="shared" si="22"/>
        <v>59</v>
      </c>
      <c r="R89" s="688">
        <f t="shared" si="22"/>
        <v>67</v>
      </c>
      <c r="S89" s="688">
        <f t="shared" si="22"/>
        <v>42</v>
      </c>
    </row>
    <row r="90" spans="1:19" x14ac:dyDescent="0.2">
      <c r="A90" s="660" t="s">
        <v>500</v>
      </c>
      <c r="B90" s="671" t="s">
        <v>192</v>
      </c>
      <c r="C90" s="660" t="s">
        <v>501</v>
      </c>
      <c r="D90" s="672"/>
      <c r="E90" s="720">
        <v>0</v>
      </c>
      <c r="F90" s="660"/>
      <c r="G90" s="717" t="s">
        <v>193</v>
      </c>
      <c r="H90" s="721">
        <f t="shared" ref="H90:S90" si="23">H89/H33</f>
        <v>0.26582355413445841</v>
      </c>
      <c r="I90" s="722">
        <f t="shared" si="23"/>
        <v>0.21638552341292913</v>
      </c>
      <c r="J90" s="722">
        <f t="shared" si="23"/>
        <v>6.6296227046130224E-2</v>
      </c>
      <c r="K90" s="722">
        <f t="shared" si="23"/>
        <v>6.2258308559280391E-2</v>
      </c>
      <c r="L90" s="722">
        <f t="shared" si="23"/>
        <v>-1.2653930592040244E-2</v>
      </c>
      <c r="M90" s="722">
        <f t="shared" si="23"/>
        <v>5.3787539220080678E-2</v>
      </c>
      <c r="N90" s="722">
        <f t="shared" si="23"/>
        <v>1.5002143163309044E-2</v>
      </c>
      <c r="O90" s="722">
        <f t="shared" si="23"/>
        <v>3.0018761726078799E-3</v>
      </c>
      <c r="P90" s="722">
        <f t="shared" si="23"/>
        <v>1.9542772861356934E-2</v>
      </c>
      <c r="Q90" s="722">
        <f t="shared" si="23"/>
        <v>2.1611721611721611E-2</v>
      </c>
      <c r="R90" s="722">
        <f t="shared" si="23"/>
        <v>2.4363636363636365E-2</v>
      </c>
      <c r="S90" s="722">
        <f t="shared" si="23"/>
        <v>1.4973262032085561E-2</v>
      </c>
    </row>
    <row r="91" spans="1:19" x14ac:dyDescent="0.2">
      <c r="A91" s="660" t="s">
        <v>502</v>
      </c>
      <c r="B91" s="671" t="s">
        <v>194</v>
      </c>
      <c r="C91" s="667" t="s">
        <v>195</v>
      </c>
      <c r="D91" s="672"/>
      <c r="E91" s="718"/>
      <c r="F91" s="660"/>
      <c r="G91" s="689" t="s">
        <v>196</v>
      </c>
      <c r="H91" s="723">
        <f t="shared" ref="H91:S91" si="24">-H33/(H38+H41)</f>
        <v>1.1503687451525728</v>
      </c>
      <c r="I91" s="723">
        <f t="shared" si="24"/>
        <v>1.15917229167724</v>
      </c>
      <c r="J91" s="723">
        <f t="shared" si="24"/>
        <v>0.97585502219855647</v>
      </c>
      <c r="K91" s="723">
        <f t="shared" si="24"/>
        <v>0.97617019565497753</v>
      </c>
      <c r="L91" s="723">
        <f t="shared" si="24"/>
        <v>0.90872404145376229</v>
      </c>
      <c r="M91" s="723">
        <f t="shared" si="24"/>
        <v>0.97594050743657046</v>
      </c>
      <c r="N91" s="723">
        <f t="shared" si="24"/>
        <v>0.94377022653721687</v>
      </c>
      <c r="O91" s="723">
        <f t="shared" si="24"/>
        <v>0.94136347580360302</v>
      </c>
      <c r="P91" s="723">
        <f t="shared" si="24"/>
        <v>0.95728909283445107</v>
      </c>
      <c r="Q91" s="723">
        <f t="shared" si="24"/>
        <v>0.95588235294117652</v>
      </c>
      <c r="R91" s="723">
        <f t="shared" si="24"/>
        <v>0.95885634588563462</v>
      </c>
      <c r="S91" s="723">
        <f t="shared" si="24"/>
        <v>0.95149253731343286</v>
      </c>
    </row>
    <row r="92" spans="1:19" x14ac:dyDescent="0.2">
      <c r="A92" s="660" t="s">
        <v>503</v>
      </c>
      <c r="B92" s="671" t="s">
        <v>197</v>
      </c>
      <c r="C92" s="660" t="s">
        <v>198</v>
      </c>
      <c r="D92" s="672"/>
      <c r="E92" s="718"/>
      <c r="F92" s="660"/>
      <c r="G92" s="687" t="s">
        <v>199</v>
      </c>
      <c r="H92" s="719">
        <f>H46</f>
        <v>253.78499999999985</v>
      </c>
      <c r="I92" s="719">
        <f t="shared" ref="I92:S92" si="25">I46</f>
        <v>282.2650000000001</v>
      </c>
      <c r="J92" s="719">
        <f t="shared" si="25"/>
        <v>-46.977000000000089</v>
      </c>
      <c r="K92" s="719">
        <f t="shared" si="25"/>
        <v>-48.595000000000027</v>
      </c>
      <c r="L92" s="719">
        <f t="shared" si="25"/>
        <v>-196.45999999999981</v>
      </c>
      <c r="M92" s="719">
        <f t="shared" si="25"/>
        <v>-55</v>
      </c>
      <c r="N92" s="719">
        <f t="shared" si="25"/>
        <v>-139</v>
      </c>
      <c r="O92" s="719">
        <f t="shared" si="25"/>
        <v>-166</v>
      </c>
      <c r="P92" s="719">
        <f t="shared" si="25"/>
        <v>-121</v>
      </c>
      <c r="Q92" s="719">
        <f t="shared" si="25"/>
        <v>-126</v>
      </c>
      <c r="R92" s="719">
        <f t="shared" si="25"/>
        <v>-118</v>
      </c>
      <c r="S92" s="719">
        <f t="shared" si="25"/>
        <v>-143</v>
      </c>
    </row>
    <row r="93" spans="1:19" x14ac:dyDescent="0.2">
      <c r="A93" s="660" t="s">
        <v>504</v>
      </c>
      <c r="B93" s="671" t="s">
        <v>200</v>
      </c>
      <c r="C93" s="660" t="s">
        <v>201</v>
      </c>
      <c r="D93" s="720">
        <v>-0.3</v>
      </c>
      <c r="E93" s="720">
        <v>0</v>
      </c>
      <c r="F93" s="660"/>
      <c r="G93" s="689" t="s">
        <v>202</v>
      </c>
      <c r="H93" s="724">
        <f t="shared" ref="H93:S93" si="26">H46/H33</f>
        <v>0.13071351754487162</v>
      </c>
      <c r="I93" s="725">
        <f t="shared" si="26"/>
        <v>0.13731547313551554</v>
      </c>
      <c r="J93" s="725">
        <f t="shared" si="26"/>
        <v>-2.4742382067211136E-2</v>
      </c>
      <c r="K93" s="725">
        <f t="shared" si="26"/>
        <v>-2.4411526239062675E-2</v>
      </c>
      <c r="L93" s="725">
        <f t="shared" si="26"/>
        <v>-0.10044408905504015</v>
      </c>
      <c r="M93" s="725">
        <f t="shared" si="26"/>
        <v>-2.4652622142536978E-2</v>
      </c>
      <c r="N93" s="725">
        <f t="shared" si="26"/>
        <v>-5.9579939991427348E-2</v>
      </c>
      <c r="O93" s="725">
        <f t="shared" si="26"/>
        <v>-6.2288930581613507E-2</v>
      </c>
      <c r="P93" s="725">
        <f t="shared" si="26"/>
        <v>-4.4616519174041296E-2</v>
      </c>
      <c r="Q93" s="725">
        <f t="shared" si="26"/>
        <v>-4.6153846153846156E-2</v>
      </c>
      <c r="R93" s="725">
        <f t="shared" si="26"/>
        <v>-4.2909090909090911E-2</v>
      </c>
      <c r="S93" s="725">
        <f t="shared" si="26"/>
        <v>-5.0980392156862744E-2</v>
      </c>
    </row>
    <row r="94" spans="1:19" x14ac:dyDescent="0.2">
      <c r="A94" s="660" t="s">
        <v>505</v>
      </c>
      <c r="B94" s="671" t="s">
        <v>203</v>
      </c>
      <c r="C94" s="660" t="s">
        <v>204</v>
      </c>
      <c r="D94" s="672"/>
      <c r="E94" s="718"/>
      <c r="F94" s="660"/>
      <c r="G94" s="717" t="s">
        <v>205</v>
      </c>
      <c r="H94" s="719">
        <f t="shared" ref="H94:S94" si="27">H29+H30</f>
        <v>4168.6840000000002</v>
      </c>
      <c r="I94" s="719">
        <f t="shared" si="27"/>
        <v>4319.7380000000003</v>
      </c>
      <c r="J94" s="719">
        <f t="shared" si="27"/>
        <v>4189.3940000000002</v>
      </c>
      <c r="K94" s="719">
        <f t="shared" si="27"/>
        <v>4062.5040000000004</v>
      </c>
      <c r="L94" s="719">
        <f t="shared" si="27"/>
        <v>3803.9220000000005</v>
      </c>
      <c r="M94" s="719">
        <f t="shared" si="27"/>
        <v>3699</v>
      </c>
      <c r="N94" s="719">
        <f t="shared" si="27"/>
        <v>3520</v>
      </c>
      <c r="O94" s="719">
        <f t="shared" si="27"/>
        <v>3314</v>
      </c>
      <c r="P94" s="719">
        <f t="shared" si="27"/>
        <v>3157</v>
      </c>
      <c r="Q94" s="719">
        <f t="shared" si="27"/>
        <v>3026</v>
      </c>
      <c r="R94" s="719">
        <f t="shared" si="27"/>
        <v>3042</v>
      </c>
      <c r="S94" s="719">
        <f t="shared" si="27"/>
        <v>3039</v>
      </c>
    </row>
    <row r="95" spans="1:19" x14ac:dyDescent="0.2">
      <c r="A95" s="660"/>
      <c r="B95" s="671"/>
      <c r="C95" s="672"/>
      <c r="D95" s="672"/>
      <c r="E95" s="673"/>
      <c r="F95" s="660"/>
      <c r="G95" s="726" t="s">
        <v>206</v>
      </c>
      <c r="H95" s="702">
        <f t="shared" ref="H95:S95" si="28">H87</f>
        <v>2011</v>
      </c>
      <c r="I95" s="702">
        <f t="shared" si="28"/>
        <v>2012</v>
      </c>
      <c r="J95" s="702">
        <f t="shared" si="28"/>
        <v>2013</v>
      </c>
      <c r="K95" s="702">
        <f t="shared" si="28"/>
        <v>2014</v>
      </c>
      <c r="L95" s="702">
        <f t="shared" si="28"/>
        <v>2015</v>
      </c>
      <c r="M95" s="702">
        <f t="shared" si="28"/>
        <v>2016</v>
      </c>
      <c r="N95" s="702">
        <f t="shared" si="28"/>
        <v>2017</v>
      </c>
      <c r="O95" s="702">
        <f t="shared" si="28"/>
        <v>2018</v>
      </c>
      <c r="P95" s="702">
        <f t="shared" si="28"/>
        <v>2019</v>
      </c>
      <c r="Q95" s="702">
        <f t="shared" si="28"/>
        <v>2020</v>
      </c>
      <c r="R95" s="702">
        <f t="shared" si="28"/>
        <v>2021</v>
      </c>
      <c r="S95" s="702">
        <f t="shared" si="28"/>
        <v>2022</v>
      </c>
    </row>
    <row r="96" spans="1:19" x14ac:dyDescent="0.2">
      <c r="A96" s="667" t="s">
        <v>506</v>
      </c>
      <c r="B96" s="671" t="s">
        <v>207</v>
      </c>
      <c r="C96" s="672" t="s">
        <v>208</v>
      </c>
      <c r="D96" s="672"/>
      <c r="E96" s="718"/>
      <c r="F96" s="727"/>
      <c r="G96" s="687" t="s">
        <v>209</v>
      </c>
      <c r="H96" s="719">
        <f t="shared" ref="H96:S96" si="29">H6+H12</f>
        <v>24.224</v>
      </c>
      <c r="I96" s="688">
        <f t="shared" si="29"/>
        <v>4.0979999999999999</v>
      </c>
      <c r="J96" s="688">
        <f t="shared" si="29"/>
        <v>3.3559999999999999</v>
      </c>
      <c r="K96" s="688">
        <f t="shared" si="29"/>
        <v>9.6609999999999996</v>
      </c>
      <c r="L96" s="688">
        <f t="shared" si="29"/>
        <v>4.2089999999999996</v>
      </c>
      <c r="M96" s="688">
        <f t="shared" si="29"/>
        <v>5</v>
      </c>
      <c r="N96" s="688">
        <f t="shared" si="29"/>
        <v>19</v>
      </c>
      <c r="O96" s="688">
        <f t="shared" si="29"/>
        <v>7</v>
      </c>
      <c r="P96" s="688">
        <f t="shared" si="29"/>
        <v>2</v>
      </c>
      <c r="Q96" s="688">
        <f t="shared" si="29"/>
        <v>2</v>
      </c>
      <c r="R96" s="688">
        <f t="shared" si="29"/>
        <v>2</v>
      </c>
      <c r="S96" s="688">
        <f t="shared" si="29"/>
        <v>2</v>
      </c>
    </row>
    <row r="97" spans="1:19" x14ac:dyDescent="0.2">
      <c r="A97" s="660" t="s">
        <v>507</v>
      </c>
      <c r="B97" s="671" t="s">
        <v>210</v>
      </c>
      <c r="C97" s="660" t="s">
        <v>42</v>
      </c>
      <c r="D97" s="672"/>
      <c r="E97" s="718"/>
      <c r="F97" s="727"/>
      <c r="G97" s="689" t="s">
        <v>211</v>
      </c>
      <c r="H97" s="719">
        <f t="shared" ref="H97:S97" si="30">H19</f>
        <v>5557.8630000000003</v>
      </c>
      <c r="I97" s="719">
        <f t="shared" si="30"/>
        <v>5081.84</v>
      </c>
      <c r="J97" s="719">
        <f t="shared" si="30"/>
        <v>4745.6540000000005</v>
      </c>
      <c r="K97" s="719">
        <f t="shared" si="30"/>
        <v>4370.0279999999993</v>
      </c>
      <c r="L97" s="719">
        <f t="shared" si="30"/>
        <v>4139.5259999999998</v>
      </c>
      <c r="M97" s="719">
        <f t="shared" si="30"/>
        <v>3751</v>
      </c>
      <c r="N97" s="719">
        <f t="shared" si="30"/>
        <v>3471</v>
      </c>
      <c r="O97" s="719">
        <f t="shared" si="30"/>
        <v>3128</v>
      </c>
      <c r="P97" s="719">
        <f t="shared" si="30"/>
        <v>2802</v>
      </c>
      <c r="Q97" s="719">
        <f t="shared" si="30"/>
        <v>2898</v>
      </c>
      <c r="R97" s="719">
        <f t="shared" si="30"/>
        <v>2884</v>
      </c>
      <c r="S97" s="719">
        <f t="shared" si="30"/>
        <v>2409</v>
      </c>
    </row>
    <row r="98" spans="1:19" x14ac:dyDescent="0.2">
      <c r="A98" s="660" t="s">
        <v>508</v>
      </c>
      <c r="B98" s="671" t="s">
        <v>509</v>
      </c>
      <c r="C98" s="660" t="s">
        <v>510</v>
      </c>
      <c r="D98" s="672"/>
      <c r="E98" s="718"/>
      <c r="F98" s="727"/>
      <c r="G98" s="689" t="s">
        <v>212</v>
      </c>
      <c r="H98" s="719">
        <f t="shared" ref="H98:S98" si="31">H97-H96</f>
        <v>5533.6390000000001</v>
      </c>
      <c r="I98" s="688">
        <f t="shared" si="31"/>
        <v>5077.7420000000002</v>
      </c>
      <c r="J98" s="688">
        <f t="shared" si="31"/>
        <v>4742.2980000000007</v>
      </c>
      <c r="K98" s="688">
        <f t="shared" si="31"/>
        <v>4360.3669999999993</v>
      </c>
      <c r="L98" s="688">
        <f t="shared" si="31"/>
        <v>4135.317</v>
      </c>
      <c r="M98" s="688">
        <f t="shared" si="31"/>
        <v>3746</v>
      </c>
      <c r="N98" s="688">
        <f t="shared" si="31"/>
        <v>3452</v>
      </c>
      <c r="O98" s="688">
        <f t="shared" si="31"/>
        <v>3121</v>
      </c>
      <c r="P98" s="688">
        <f t="shared" si="31"/>
        <v>2800</v>
      </c>
      <c r="Q98" s="688">
        <f t="shared" si="31"/>
        <v>2896</v>
      </c>
      <c r="R98" s="688">
        <f t="shared" si="31"/>
        <v>2882</v>
      </c>
      <c r="S98" s="688">
        <f t="shared" si="31"/>
        <v>2407</v>
      </c>
    </row>
    <row r="99" spans="1:19" x14ac:dyDescent="0.2">
      <c r="A99" s="667" t="s">
        <v>511</v>
      </c>
      <c r="B99" s="671" t="s">
        <v>512</v>
      </c>
      <c r="C99" s="660" t="s">
        <v>513</v>
      </c>
      <c r="D99" s="672"/>
      <c r="E99" s="720">
        <v>0.4</v>
      </c>
      <c r="F99" s="727"/>
      <c r="G99" s="689" t="s">
        <v>213</v>
      </c>
      <c r="H99" s="728">
        <f t="shared" ref="H99:S99" si="32">H98/H33</f>
        <v>2.8501346356699027</v>
      </c>
      <c r="I99" s="722">
        <f t="shared" si="32"/>
        <v>2.4702054636248869</v>
      </c>
      <c r="J99" s="722">
        <f t="shared" si="32"/>
        <v>2.4977275899391413</v>
      </c>
      <c r="K99" s="722">
        <f t="shared" si="32"/>
        <v>2.1904149281292917</v>
      </c>
      <c r="L99" s="722">
        <f t="shared" si="32"/>
        <v>2.1142632038013942</v>
      </c>
      <c r="M99" s="722">
        <f t="shared" si="32"/>
        <v>1.6790676826535187</v>
      </c>
      <c r="N99" s="722">
        <f t="shared" si="32"/>
        <v>1.4796399485640805</v>
      </c>
      <c r="O99" s="722">
        <f t="shared" si="32"/>
        <v>1.1711069418386491</v>
      </c>
      <c r="P99" s="722">
        <f t="shared" si="32"/>
        <v>1.0324483775811208</v>
      </c>
      <c r="Q99" s="722">
        <f t="shared" si="32"/>
        <v>1.0608058608058608</v>
      </c>
      <c r="R99" s="722">
        <f t="shared" si="32"/>
        <v>1.048</v>
      </c>
      <c r="S99" s="722">
        <f t="shared" si="32"/>
        <v>0.85811051693404639</v>
      </c>
    </row>
    <row r="100" spans="1:19" x14ac:dyDescent="0.2">
      <c r="A100" s="660" t="s">
        <v>514</v>
      </c>
      <c r="B100" s="671" t="s">
        <v>214</v>
      </c>
      <c r="C100" s="660" t="s">
        <v>515</v>
      </c>
      <c r="D100" s="729">
        <v>0</v>
      </c>
      <c r="E100" s="729">
        <v>5</v>
      </c>
      <c r="F100" s="727"/>
      <c r="G100" s="689" t="s">
        <v>215</v>
      </c>
      <c r="H100" s="723">
        <f t="shared" ref="H100:S100" si="33">H98/H89</f>
        <v>10.721904027467229</v>
      </c>
      <c r="I100" s="723">
        <f t="shared" si="33"/>
        <v>11.415761205572826</v>
      </c>
      <c r="J100" s="723">
        <f t="shared" si="33"/>
        <v>37.675259984269893</v>
      </c>
      <c r="K100" s="723">
        <f t="shared" si="33"/>
        <v>35.182692540444592</v>
      </c>
      <c r="L100" s="723">
        <f t="shared" si="33"/>
        <v>-167.08351515151651</v>
      </c>
      <c r="M100" s="723">
        <f t="shared" si="33"/>
        <v>31.216666666666665</v>
      </c>
      <c r="N100" s="723">
        <f t="shared" si="33"/>
        <v>98.628571428571433</v>
      </c>
      <c r="O100" s="723">
        <f t="shared" si="33"/>
        <v>390.125</v>
      </c>
      <c r="P100" s="723">
        <f t="shared" si="33"/>
        <v>52.830188679245282</v>
      </c>
      <c r="Q100" s="723">
        <f t="shared" si="33"/>
        <v>49.084745762711862</v>
      </c>
      <c r="R100" s="723">
        <f t="shared" si="33"/>
        <v>43.014925373134325</v>
      </c>
      <c r="S100" s="723">
        <f t="shared" si="33"/>
        <v>57.30952380952381</v>
      </c>
    </row>
    <row r="101" spans="1:19" x14ac:dyDescent="0.2">
      <c r="A101" s="660" t="s">
        <v>516</v>
      </c>
      <c r="B101" s="671" t="s">
        <v>216</v>
      </c>
      <c r="C101" s="660" t="s">
        <v>217</v>
      </c>
      <c r="D101" s="672"/>
      <c r="E101" s="718"/>
      <c r="F101" s="727"/>
      <c r="G101" s="689" t="s">
        <v>218</v>
      </c>
      <c r="H101" s="719">
        <f t="shared" ref="H101:S101" si="34">-(H75+H77+H78+H79+H80+H81)</f>
        <v>450.23700000000002</v>
      </c>
      <c r="I101" s="719">
        <f t="shared" si="34"/>
        <v>609.42599999999993</v>
      </c>
      <c r="J101" s="719">
        <f t="shared" si="34"/>
        <v>419.03299999999996</v>
      </c>
      <c r="K101" s="719">
        <f t="shared" si="34"/>
        <v>418.55900000000003</v>
      </c>
      <c r="L101" s="719">
        <f t="shared" si="34"/>
        <v>415.57600000000002</v>
      </c>
      <c r="M101" s="719">
        <f t="shared" si="34"/>
        <v>411</v>
      </c>
      <c r="N101" s="719">
        <f t="shared" si="34"/>
        <v>401</v>
      </c>
      <c r="O101" s="719">
        <f t="shared" si="34"/>
        <v>414</v>
      </c>
      <c r="P101" s="719">
        <f t="shared" si="34"/>
        <v>413</v>
      </c>
      <c r="Q101" s="719">
        <f t="shared" si="34"/>
        <v>412</v>
      </c>
      <c r="R101" s="719">
        <f t="shared" si="34"/>
        <v>413</v>
      </c>
      <c r="S101" s="719">
        <f t="shared" si="34"/>
        <v>412</v>
      </c>
    </row>
    <row r="102" spans="1:19" x14ac:dyDescent="0.2">
      <c r="A102" s="660" t="s">
        <v>517</v>
      </c>
      <c r="B102" s="671" t="s">
        <v>219</v>
      </c>
      <c r="C102" s="660" t="s">
        <v>518</v>
      </c>
      <c r="D102" s="672"/>
      <c r="E102" s="729">
        <v>1.2</v>
      </c>
      <c r="F102" s="727"/>
      <c r="G102" s="689" t="s">
        <v>220</v>
      </c>
      <c r="H102" s="730">
        <f t="shared" ref="H102:S102" si="35">H89/H101</f>
        <v>1.1462985050095835</v>
      </c>
      <c r="I102" s="723">
        <f t="shared" si="35"/>
        <v>0.72986876175286275</v>
      </c>
      <c r="J102" s="723">
        <f t="shared" si="35"/>
        <v>0.30038922948789215</v>
      </c>
      <c r="K102" s="723">
        <f t="shared" si="35"/>
        <v>0.29609923571109442</v>
      </c>
      <c r="L102" s="723">
        <f t="shared" si="35"/>
        <v>-5.9555893506843031E-2</v>
      </c>
      <c r="M102" s="723">
        <f t="shared" si="35"/>
        <v>0.29197080291970801</v>
      </c>
      <c r="N102" s="723">
        <f t="shared" si="35"/>
        <v>8.7281795511221949E-2</v>
      </c>
      <c r="O102" s="723">
        <f t="shared" si="35"/>
        <v>1.932367149758454E-2</v>
      </c>
      <c r="P102" s="723">
        <f t="shared" si="35"/>
        <v>0.12832929782082325</v>
      </c>
      <c r="Q102" s="723">
        <f t="shared" si="35"/>
        <v>0.14320388349514562</v>
      </c>
      <c r="R102" s="723">
        <f t="shared" si="35"/>
        <v>0.16222760290556901</v>
      </c>
      <c r="S102" s="723">
        <f t="shared" si="35"/>
        <v>0.10194174757281553</v>
      </c>
    </row>
    <row r="103" spans="1:19" x14ac:dyDescent="0.2">
      <c r="A103" s="668" t="s">
        <v>519</v>
      </c>
      <c r="B103" s="671" t="s">
        <v>221</v>
      </c>
      <c r="C103" s="660" t="s">
        <v>222</v>
      </c>
      <c r="D103" s="672"/>
      <c r="E103" s="729">
        <v>0</v>
      </c>
      <c r="F103" s="727"/>
      <c r="G103" s="687" t="s">
        <v>223</v>
      </c>
      <c r="H103" s="719">
        <f t="shared" ref="H103:S103" si="36">H5-H20</f>
        <v>-407.51499999999999</v>
      </c>
      <c r="I103" s="719">
        <f t="shared" si="36"/>
        <v>-265.84400000000005</v>
      </c>
      <c r="J103" s="719">
        <f t="shared" si="36"/>
        <v>-223.96699999999998</v>
      </c>
      <c r="K103" s="719">
        <f t="shared" si="36"/>
        <v>-186.49500000000006</v>
      </c>
      <c r="L103" s="719">
        <f t="shared" si="36"/>
        <v>-291.09099999999995</v>
      </c>
      <c r="M103" s="719">
        <f t="shared" si="36"/>
        <v>-256</v>
      </c>
      <c r="N103" s="719">
        <f t="shared" si="36"/>
        <v>-284</v>
      </c>
      <c r="O103" s="719">
        <f t="shared" si="36"/>
        <v>-317</v>
      </c>
      <c r="P103" s="719">
        <f t="shared" si="36"/>
        <v>-1</v>
      </c>
      <c r="Q103" s="719">
        <f t="shared" si="36"/>
        <v>-79</v>
      </c>
      <c r="R103" s="719">
        <f t="shared" si="36"/>
        <v>-8</v>
      </c>
      <c r="S103" s="719">
        <f t="shared" si="36"/>
        <v>76</v>
      </c>
    </row>
    <row r="104" spans="1:19" x14ac:dyDescent="0.2">
      <c r="A104" s="667" t="s">
        <v>520</v>
      </c>
      <c r="B104" s="671" t="s">
        <v>224</v>
      </c>
      <c r="C104" s="660" t="s">
        <v>225</v>
      </c>
      <c r="D104" s="672"/>
      <c r="E104" s="729">
        <v>1</v>
      </c>
      <c r="F104" s="727"/>
      <c r="G104" s="689" t="s">
        <v>226</v>
      </c>
      <c r="H104" s="730">
        <f t="shared" ref="H104:S104" si="37">H5/H20</f>
        <v>0.46931171937976218</v>
      </c>
      <c r="I104" s="730">
        <f t="shared" si="37"/>
        <v>0.56723442147125702</v>
      </c>
      <c r="J104" s="730">
        <f t="shared" si="37"/>
        <v>0.63523527534022584</v>
      </c>
      <c r="K104" s="730">
        <f t="shared" si="37"/>
        <v>0.67691835949816181</v>
      </c>
      <c r="L104" s="730">
        <f t="shared" si="37"/>
        <v>0.58296776818537377</v>
      </c>
      <c r="M104" s="730">
        <f t="shared" si="37"/>
        <v>0.61676646706586824</v>
      </c>
      <c r="N104" s="730">
        <f t="shared" si="37"/>
        <v>0.61307901907356943</v>
      </c>
      <c r="O104" s="730">
        <f t="shared" si="37"/>
        <v>0.58562091503267977</v>
      </c>
      <c r="P104" s="730">
        <f t="shared" si="37"/>
        <v>0.99748743718592969</v>
      </c>
      <c r="Q104" s="730">
        <f t="shared" si="37"/>
        <v>0.81670533642691412</v>
      </c>
      <c r="R104" s="730">
        <f t="shared" si="37"/>
        <v>0.98048780487804876</v>
      </c>
      <c r="S104" s="730">
        <f t="shared" si="37"/>
        <v>1.1853658536585365</v>
      </c>
    </row>
    <row r="105" spans="1:19" x14ac:dyDescent="0.2">
      <c r="A105" s="667" t="s">
        <v>521</v>
      </c>
      <c r="B105" s="671" t="s">
        <v>227</v>
      </c>
      <c r="C105" s="667" t="s">
        <v>228</v>
      </c>
      <c r="D105" s="672"/>
      <c r="E105" s="729">
        <v>1</v>
      </c>
      <c r="F105" s="727"/>
      <c r="G105" s="717" t="s">
        <v>229</v>
      </c>
      <c r="H105" s="730">
        <f t="shared" ref="H105:S105" si="38">-H6/((H38+H41-H45+H47)/12)</f>
        <v>0.18269957783153609</v>
      </c>
      <c r="I105" s="730">
        <f t="shared" si="38"/>
        <v>2.8229523893717929E-2</v>
      </c>
      <c r="J105" s="730">
        <f t="shared" si="38"/>
        <v>2.16966509512488E-2</v>
      </c>
      <c r="K105" s="730">
        <f t="shared" si="38"/>
        <v>5.9604559132841378E-2</v>
      </c>
      <c r="L105" s="730">
        <f t="shared" si="38"/>
        <v>2.4725044755033197E-2</v>
      </c>
      <c r="M105" s="730">
        <f t="shared" si="38"/>
        <v>2.7777777777777776E-2</v>
      </c>
      <c r="N105" s="730">
        <f t="shared" si="38"/>
        <v>9.751924721984602E-2</v>
      </c>
      <c r="O105" s="730">
        <f t="shared" si="38"/>
        <v>3.114571746384872E-2</v>
      </c>
      <c r="P105" s="730">
        <f t="shared" si="38"/>
        <v>8.9086859688195987E-3</v>
      </c>
      <c r="Q105" s="730">
        <f t="shared" si="38"/>
        <v>8.8855979266938175E-3</v>
      </c>
      <c r="R105" s="730">
        <f t="shared" si="38"/>
        <v>8.8626292466765146E-3</v>
      </c>
      <c r="S105" s="730">
        <f t="shared" si="38"/>
        <v>8.6237872799137631E-3</v>
      </c>
    </row>
    <row r="106" spans="1:19" x14ac:dyDescent="0.2">
      <c r="A106" s="660"/>
      <c r="B106" s="671"/>
      <c r="C106" s="660"/>
      <c r="D106" s="672"/>
      <c r="E106" s="673"/>
      <c r="F106" s="727"/>
      <c r="G106" s="726" t="s">
        <v>230</v>
      </c>
      <c r="H106" s="702">
        <f t="shared" ref="H106:S106" si="39">H95</f>
        <v>2011</v>
      </c>
      <c r="I106" s="702">
        <f t="shared" si="39"/>
        <v>2012</v>
      </c>
      <c r="J106" s="702">
        <f t="shared" si="39"/>
        <v>2013</v>
      </c>
      <c r="K106" s="702">
        <f t="shared" si="39"/>
        <v>2014</v>
      </c>
      <c r="L106" s="702">
        <f t="shared" si="39"/>
        <v>2015</v>
      </c>
      <c r="M106" s="702">
        <f t="shared" si="39"/>
        <v>2016</v>
      </c>
      <c r="N106" s="702">
        <f t="shared" si="39"/>
        <v>2017</v>
      </c>
      <c r="O106" s="702">
        <f t="shared" si="39"/>
        <v>2018</v>
      </c>
      <c r="P106" s="702">
        <f t="shared" si="39"/>
        <v>2019</v>
      </c>
      <c r="Q106" s="702">
        <f t="shared" si="39"/>
        <v>2020</v>
      </c>
      <c r="R106" s="702">
        <f t="shared" si="39"/>
        <v>2021</v>
      </c>
      <c r="S106" s="702">
        <f t="shared" si="39"/>
        <v>2022</v>
      </c>
    </row>
    <row r="107" spans="1:19" x14ac:dyDescent="0.2">
      <c r="A107" s="667" t="s">
        <v>522</v>
      </c>
      <c r="B107" s="671" t="s">
        <v>231</v>
      </c>
      <c r="C107" s="667" t="s">
        <v>232</v>
      </c>
      <c r="D107" s="672"/>
      <c r="E107" s="720">
        <v>0.6</v>
      </c>
      <c r="F107" s="727"/>
      <c r="G107" s="687" t="s">
        <v>233</v>
      </c>
      <c r="H107" s="728">
        <f t="shared" ref="H107:S107" si="40">H17/H4</f>
        <v>0</v>
      </c>
      <c r="I107" s="728">
        <f t="shared" si="40"/>
        <v>0</v>
      </c>
      <c r="J107" s="728">
        <f t="shared" si="40"/>
        <v>0</v>
      </c>
      <c r="K107" s="728">
        <f t="shared" si="40"/>
        <v>0</v>
      </c>
      <c r="L107" s="728">
        <f t="shared" si="40"/>
        <v>0</v>
      </c>
      <c r="M107" s="728">
        <f t="shared" si="40"/>
        <v>0</v>
      </c>
      <c r="N107" s="728">
        <f t="shared" si="40"/>
        <v>0</v>
      </c>
      <c r="O107" s="728">
        <f t="shared" si="40"/>
        <v>0</v>
      </c>
      <c r="P107" s="728">
        <f t="shared" si="40"/>
        <v>0</v>
      </c>
      <c r="Q107" s="728">
        <f t="shared" si="40"/>
        <v>0</v>
      </c>
      <c r="R107" s="728">
        <f t="shared" si="40"/>
        <v>0</v>
      </c>
      <c r="S107" s="728">
        <f t="shared" si="40"/>
        <v>0</v>
      </c>
    </row>
    <row r="108" spans="1:19" x14ac:dyDescent="0.2">
      <c r="A108" s="667" t="s">
        <v>523</v>
      </c>
      <c r="B108" s="671" t="s">
        <v>234</v>
      </c>
      <c r="C108" s="667" t="s">
        <v>235</v>
      </c>
      <c r="D108" s="672"/>
      <c r="E108" s="720">
        <v>0.4</v>
      </c>
      <c r="F108" s="727"/>
      <c r="G108" s="717" t="s">
        <v>236</v>
      </c>
      <c r="H108" s="728" t="e">
        <f t="shared" ref="H108:S108" si="41">H27/H17</f>
        <v>#DIV/0!</v>
      </c>
      <c r="I108" s="728" t="e">
        <f t="shared" si="41"/>
        <v>#DIV/0!</v>
      </c>
      <c r="J108" s="728" t="e">
        <f t="shared" si="41"/>
        <v>#DIV/0!</v>
      </c>
      <c r="K108" s="728" t="e">
        <f t="shared" si="41"/>
        <v>#DIV/0!</v>
      </c>
      <c r="L108" s="728" t="e">
        <f t="shared" si="41"/>
        <v>#DIV/0!</v>
      </c>
      <c r="M108" s="728" t="e">
        <f t="shared" si="41"/>
        <v>#DIV/0!</v>
      </c>
      <c r="N108" s="728" t="e">
        <f t="shared" si="41"/>
        <v>#DIV/0!</v>
      </c>
      <c r="O108" s="728" t="e">
        <f t="shared" si="41"/>
        <v>#DIV/0!</v>
      </c>
      <c r="P108" s="728" t="e">
        <f t="shared" si="41"/>
        <v>#DIV/0!</v>
      </c>
      <c r="Q108" s="728" t="e">
        <f t="shared" si="41"/>
        <v>#DIV/0!</v>
      </c>
      <c r="R108" s="728" t="e">
        <f t="shared" si="41"/>
        <v>#DIV/0!</v>
      </c>
      <c r="S108" s="728" t="e">
        <f t="shared" si="41"/>
        <v>#DIV/0!</v>
      </c>
    </row>
    <row r="109" spans="1:19" x14ac:dyDescent="0.2">
      <c r="A109" s="660"/>
      <c r="B109" s="671"/>
      <c r="C109" s="660"/>
      <c r="D109" s="672"/>
      <c r="E109" s="673"/>
      <c r="F109" s="727"/>
      <c r="G109" s="731" t="s">
        <v>237</v>
      </c>
      <c r="H109" s="702">
        <f t="shared" ref="H109:S109" si="42">H95</f>
        <v>2011</v>
      </c>
      <c r="I109" s="702">
        <f t="shared" si="42"/>
        <v>2012</v>
      </c>
      <c r="J109" s="702">
        <f t="shared" si="42"/>
        <v>2013</v>
      </c>
      <c r="K109" s="702">
        <f t="shared" si="42"/>
        <v>2014</v>
      </c>
      <c r="L109" s="702">
        <f t="shared" si="42"/>
        <v>2015</v>
      </c>
      <c r="M109" s="702">
        <f t="shared" si="42"/>
        <v>2016</v>
      </c>
      <c r="N109" s="702">
        <f t="shared" si="42"/>
        <v>2017</v>
      </c>
      <c r="O109" s="702">
        <f t="shared" si="42"/>
        <v>2018</v>
      </c>
      <c r="P109" s="702">
        <f t="shared" si="42"/>
        <v>2019</v>
      </c>
      <c r="Q109" s="702">
        <f t="shared" si="42"/>
        <v>2020</v>
      </c>
      <c r="R109" s="702">
        <f t="shared" si="42"/>
        <v>2021</v>
      </c>
      <c r="S109" s="702">
        <f t="shared" si="42"/>
        <v>2022</v>
      </c>
    </row>
    <row r="110" spans="1:19" x14ac:dyDescent="0.2">
      <c r="A110" s="667" t="s">
        <v>524</v>
      </c>
      <c r="B110" s="671" t="s">
        <v>238</v>
      </c>
      <c r="C110" s="732" t="s">
        <v>239</v>
      </c>
      <c r="D110" s="672"/>
      <c r="E110" s="718"/>
      <c r="F110" s="727"/>
      <c r="G110" s="689" t="s">
        <v>240</v>
      </c>
      <c r="H110" s="733">
        <f t="shared" ref="H110:S110" si="43">H10/H4</f>
        <v>0.97116561918701194</v>
      </c>
      <c r="I110" s="733">
        <f t="shared" si="43"/>
        <v>0.97137646268192157</v>
      </c>
      <c r="J110" s="733">
        <f t="shared" si="43"/>
        <v>0.96670878317379105</v>
      </c>
      <c r="K110" s="733">
        <f t="shared" si="43"/>
        <v>0.9651539105548399</v>
      </c>
      <c r="L110" s="733">
        <f t="shared" si="43"/>
        <v>0.9620567734321791</v>
      </c>
      <c r="M110" s="733">
        <f t="shared" si="43"/>
        <v>0.95973023164891014</v>
      </c>
      <c r="N110" s="733">
        <f t="shared" si="43"/>
        <v>0.95395006139991811</v>
      </c>
      <c r="O110" s="733">
        <f t="shared" si="43"/>
        <v>0.95142578336766781</v>
      </c>
      <c r="P110" s="733">
        <f t="shared" si="43"/>
        <v>0.95457665903890165</v>
      </c>
      <c r="Q110" s="733">
        <f t="shared" si="43"/>
        <v>0.95956346927053415</v>
      </c>
      <c r="R110" s="733">
        <f t="shared" si="43"/>
        <v>0.95383025152176415</v>
      </c>
      <c r="S110" s="733">
        <f t="shared" si="43"/>
        <v>0.94094057601166603</v>
      </c>
    </row>
    <row r="111" spans="1:19" x14ac:dyDescent="0.2">
      <c r="A111" s="667" t="s">
        <v>525</v>
      </c>
      <c r="B111" s="671" t="s">
        <v>241</v>
      </c>
      <c r="C111" s="732" t="s">
        <v>242</v>
      </c>
      <c r="D111" s="672"/>
      <c r="E111" s="718"/>
      <c r="F111" s="727"/>
      <c r="G111" s="689" t="s">
        <v>243</v>
      </c>
      <c r="H111" s="733">
        <f t="shared" ref="H111:S111" si="44">-(H58)/H15</f>
        <v>-7.3076415481742006E-3</v>
      </c>
      <c r="I111" s="733">
        <f t="shared" si="44"/>
        <v>1.0794288518887302E-3</v>
      </c>
      <c r="J111" s="733">
        <f t="shared" si="44"/>
        <v>1.085641296901225E-3</v>
      </c>
      <c r="K111" s="733">
        <f t="shared" si="44"/>
        <v>4.2145268491649467E-4</v>
      </c>
      <c r="L111" s="733">
        <f t="shared" si="44"/>
        <v>3.2102153160274102E-3</v>
      </c>
      <c r="M111" s="733">
        <f t="shared" si="44"/>
        <v>5.8798221712318948E-3</v>
      </c>
      <c r="N111" s="733">
        <f t="shared" si="44"/>
        <v>2.4839275277615432E-3</v>
      </c>
      <c r="O111" s="733">
        <f t="shared" si="44"/>
        <v>4.047976011994003E-3</v>
      </c>
      <c r="P111" s="733">
        <f t="shared" si="44"/>
        <v>1.8309429356118401E-2</v>
      </c>
      <c r="Q111" s="733">
        <f t="shared" si="44"/>
        <v>5.604941991863794E-2</v>
      </c>
      <c r="R111" s="733">
        <f t="shared" si="44"/>
        <v>7.7577357383780618E-2</v>
      </c>
      <c r="S111" s="733">
        <f t="shared" si="44"/>
        <v>0</v>
      </c>
    </row>
    <row r="112" spans="1:19" x14ac:dyDescent="0.2">
      <c r="A112" s="667" t="s">
        <v>526</v>
      </c>
      <c r="B112" s="671" t="s">
        <v>244</v>
      </c>
      <c r="C112" s="660" t="s">
        <v>245</v>
      </c>
      <c r="D112" s="672"/>
      <c r="E112" s="718"/>
      <c r="F112" s="727"/>
      <c r="G112" s="687" t="s">
        <v>246</v>
      </c>
      <c r="H112" s="723">
        <f t="shared" ref="H112:S112" si="45">H33/H4</f>
        <v>0.15534260229678759</v>
      </c>
      <c r="I112" s="723">
        <f t="shared" si="45"/>
        <v>0.16885896619386975</v>
      </c>
      <c r="J112" s="723">
        <f t="shared" si="45"/>
        <v>0.1620569391391008</v>
      </c>
      <c r="K112" s="723">
        <f t="shared" si="45"/>
        <v>0.17752498886153667</v>
      </c>
      <c r="L112" s="723">
        <f t="shared" si="45"/>
        <v>0.18238130334141711</v>
      </c>
      <c r="M112" s="723">
        <f t="shared" si="45"/>
        <v>0.21806275046427523</v>
      </c>
      <c r="N112" s="723">
        <f t="shared" si="45"/>
        <v>0.23874334834220221</v>
      </c>
      <c r="O112" s="723">
        <f t="shared" si="45"/>
        <v>0.28895153420795838</v>
      </c>
      <c r="P112" s="723">
        <f t="shared" si="45"/>
        <v>0.31029748283752862</v>
      </c>
      <c r="Q112" s="723">
        <f t="shared" si="45"/>
        <v>0.31361286616886846</v>
      </c>
      <c r="R112" s="723">
        <f t="shared" si="45"/>
        <v>0.31583783162972323</v>
      </c>
      <c r="S112" s="723">
        <f t="shared" si="45"/>
        <v>0.34086766314254469</v>
      </c>
    </row>
    <row r="113" spans="1:19" x14ac:dyDescent="0.2">
      <c r="A113" s="667" t="s">
        <v>527</v>
      </c>
      <c r="B113" s="671" t="s">
        <v>247</v>
      </c>
      <c r="C113" s="732" t="s">
        <v>248</v>
      </c>
      <c r="D113" s="672"/>
      <c r="E113" s="718"/>
      <c r="F113" s="727"/>
      <c r="G113" s="717" t="s">
        <v>249</v>
      </c>
      <c r="H113" s="723">
        <f t="shared" ref="H113:S113" si="46">H33/H15</f>
        <v>0.25521287106067209</v>
      </c>
      <c r="I113" s="723">
        <f t="shared" si="46"/>
        <v>0.27099029687325532</v>
      </c>
      <c r="J113" s="723">
        <f t="shared" si="46"/>
        <v>0.25554765932990653</v>
      </c>
      <c r="K113" s="723">
        <f t="shared" si="46"/>
        <v>0.27399352019937934</v>
      </c>
      <c r="L113" s="723">
        <f t="shared" si="46"/>
        <v>0.27504074114645566</v>
      </c>
      <c r="M113" s="723">
        <f t="shared" si="46"/>
        <v>0.31994837229313067</v>
      </c>
      <c r="N113" s="723">
        <f t="shared" si="46"/>
        <v>0.34088252483927528</v>
      </c>
      <c r="O113" s="723">
        <f t="shared" si="46"/>
        <v>0.3995502248875562</v>
      </c>
      <c r="P113" s="723">
        <f t="shared" si="46"/>
        <v>0.41379310344827586</v>
      </c>
      <c r="Q113" s="723">
        <f t="shared" si="46"/>
        <v>0.41133042037064937</v>
      </c>
      <c r="R113" s="723">
        <f t="shared" si="46"/>
        <v>0.40328493914063646</v>
      </c>
      <c r="S113" s="723">
        <f t="shared" si="46"/>
        <v>0.39186923721709976</v>
      </c>
    </row>
    <row r="114" spans="1:19" x14ac:dyDescent="0.2">
      <c r="A114" s="660" t="s">
        <v>528</v>
      </c>
      <c r="B114" s="671" t="s">
        <v>250</v>
      </c>
      <c r="C114" s="732" t="s">
        <v>251</v>
      </c>
      <c r="D114" s="720">
        <v>0.5</v>
      </c>
      <c r="E114" s="720">
        <f>1/3</f>
        <v>0.33333333333333331</v>
      </c>
      <c r="F114" s="727"/>
      <c r="G114" s="689" t="s">
        <v>252</v>
      </c>
      <c r="H114" s="733">
        <f t="shared" ref="H114:S114" si="47">H27/H4</f>
        <v>0.55531442271910836</v>
      </c>
      <c r="I114" s="733">
        <f t="shared" si="47"/>
        <v>0.58254702469958586</v>
      </c>
      <c r="J114" s="733">
        <f t="shared" si="47"/>
        <v>0.59493946395812258</v>
      </c>
      <c r="K114" s="733">
        <f t="shared" si="47"/>
        <v>0.61028514466090378</v>
      </c>
      <c r="L114" s="733">
        <f t="shared" si="47"/>
        <v>0.61400554180072342</v>
      </c>
      <c r="M114" s="733">
        <f t="shared" si="47"/>
        <v>0.63336917212393706</v>
      </c>
      <c r="N114" s="733">
        <f t="shared" si="47"/>
        <v>0.64480147359803519</v>
      </c>
      <c r="O114" s="733">
        <f t="shared" si="47"/>
        <v>0.6608478802992519</v>
      </c>
      <c r="P114" s="733">
        <f t="shared" si="47"/>
        <v>0.67940503432494281</v>
      </c>
      <c r="Q114" s="733">
        <f t="shared" si="47"/>
        <v>0.66708788052843193</v>
      </c>
      <c r="R114" s="733">
        <f t="shared" si="47"/>
        <v>0.66877225221086478</v>
      </c>
      <c r="S114" s="733">
        <f t="shared" si="47"/>
        <v>0.70725483047757931</v>
      </c>
    </row>
    <row r="115" spans="1:19" x14ac:dyDescent="0.2">
      <c r="A115" s="669"/>
      <c r="B115" s="671"/>
      <c r="C115" s="669"/>
      <c r="D115" s="734"/>
      <c r="E115" s="735"/>
      <c r="F115" s="727"/>
      <c r="G115" s="684" t="s">
        <v>253</v>
      </c>
      <c r="H115" s="702">
        <f t="shared" ref="H115:S115" si="48">H109</f>
        <v>2011</v>
      </c>
      <c r="I115" s="702">
        <f t="shared" si="48"/>
        <v>2012</v>
      </c>
      <c r="J115" s="702">
        <f t="shared" si="48"/>
        <v>2013</v>
      </c>
      <c r="K115" s="702">
        <f t="shared" si="48"/>
        <v>2014</v>
      </c>
      <c r="L115" s="702">
        <f t="shared" si="48"/>
        <v>2015</v>
      </c>
      <c r="M115" s="702">
        <f t="shared" si="48"/>
        <v>2016</v>
      </c>
      <c r="N115" s="702">
        <f t="shared" si="48"/>
        <v>2017</v>
      </c>
      <c r="O115" s="702">
        <f t="shared" si="48"/>
        <v>2018</v>
      </c>
      <c r="P115" s="702">
        <f t="shared" si="48"/>
        <v>2019</v>
      </c>
      <c r="Q115" s="702">
        <f t="shared" si="48"/>
        <v>2020</v>
      </c>
      <c r="R115" s="702">
        <f t="shared" si="48"/>
        <v>2021</v>
      </c>
      <c r="S115" s="702">
        <f t="shared" si="48"/>
        <v>2022</v>
      </c>
    </row>
    <row r="116" spans="1:19" x14ac:dyDescent="0.2">
      <c r="A116" s="660" t="s">
        <v>529</v>
      </c>
      <c r="B116" s="671" t="s">
        <v>254</v>
      </c>
      <c r="C116" s="660" t="s">
        <v>255</v>
      </c>
      <c r="D116" s="736"/>
      <c r="E116" s="720">
        <v>0.05</v>
      </c>
      <c r="F116" s="660"/>
      <c r="G116" s="687" t="s">
        <v>256</v>
      </c>
      <c r="H116" s="722">
        <f t="shared" ref="H116:S116" si="49">H35/H33</f>
        <v>0.2490249987638653</v>
      </c>
      <c r="I116" s="722">
        <f t="shared" si="49"/>
        <v>0.24689493796200124</v>
      </c>
      <c r="J116" s="722">
        <f t="shared" si="49"/>
        <v>0.20961369819002501</v>
      </c>
      <c r="K116" s="722">
        <f t="shared" si="49"/>
        <v>0.22704151089740177</v>
      </c>
      <c r="L116" s="722">
        <f t="shared" si="49"/>
        <v>0.23775840860078717</v>
      </c>
      <c r="M116" s="722">
        <f t="shared" si="49"/>
        <v>0.24787090990587179</v>
      </c>
      <c r="N116" s="722">
        <f t="shared" si="49"/>
        <v>0.24089155593656236</v>
      </c>
      <c r="O116" s="722">
        <f t="shared" si="49"/>
        <v>0.22514071294559099</v>
      </c>
      <c r="P116" s="722">
        <f t="shared" si="49"/>
        <v>0.22492625368731564</v>
      </c>
      <c r="Q116" s="722">
        <f t="shared" si="49"/>
        <v>0.22893772893772893</v>
      </c>
      <c r="R116" s="722">
        <f t="shared" si="49"/>
        <v>0.23454545454545456</v>
      </c>
      <c r="S116" s="722">
        <f t="shared" si="49"/>
        <v>0.24955436720142601</v>
      </c>
    </row>
    <row r="117" spans="1:19" x14ac:dyDescent="0.2">
      <c r="A117" s="660" t="s">
        <v>530</v>
      </c>
      <c r="B117" s="671" t="s">
        <v>257</v>
      </c>
      <c r="C117" s="660" t="s">
        <v>258</v>
      </c>
      <c r="D117" s="672"/>
      <c r="E117" s="720">
        <v>0.95</v>
      </c>
      <c r="F117" s="660"/>
      <c r="G117" s="689" t="s">
        <v>259</v>
      </c>
      <c r="H117" s="733">
        <f t="shared" ref="H117:S117" si="50">(H36+H34)/H33</f>
        <v>0.74524036639032187</v>
      </c>
      <c r="I117" s="733">
        <f t="shared" si="50"/>
        <v>0.75229994235245745</v>
      </c>
      <c r="J117" s="733">
        <f t="shared" si="50"/>
        <v>0.78979904089495401</v>
      </c>
      <c r="K117" s="733">
        <f t="shared" si="50"/>
        <v>0.76673743053804322</v>
      </c>
      <c r="L117" s="733">
        <f t="shared" si="50"/>
        <v>0.75744843587192479</v>
      </c>
      <c r="M117" s="733">
        <f t="shared" si="50"/>
        <v>0.7512326311071269</v>
      </c>
      <c r="N117" s="733">
        <f t="shared" si="50"/>
        <v>0.75782254607801114</v>
      </c>
      <c r="O117" s="733">
        <f t="shared" si="50"/>
        <v>0.77260787992495306</v>
      </c>
      <c r="P117" s="733">
        <f t="shared" si="50"/>
        <v>0.77433628318584069</v>
      </c>
      <c r="Q117" s="733">
        <f t="shared" si="50"/>
        <v>0.76923076923076927</v>
      </c>
      <c r="R117" s="733">
        <f t="shared" si="50"/>
        <v>0.76363636363636367</v>
      </c>
      <c r="S117" s="733">
        <f t="shared" si="50"/>
        <v>0.74866310160427807</v>
      </c>
    </row>
    <row r="118" spans="1:19" x14ac:dyDescent="0.2">
      <c r="A118" s="660" t="s">
        <v>531</v>
      </c>
      <c r="B118" s="671" t="s">
        <v>260</v>
      </c>
      <c r="C118" s="660" t="s">
        <v>261</v>
      </c>
      <c r="D118" s="672"/>
      <c r="E118" s="720">
        <v>0.95</v>
      </c>
      <c r="F118" s="660"/>
      <c r="G118" s="717" t="s">
        <v>262</v>
      </c>
      <c r="H118" s="722">
        <f t="shared" ref="H118:S118" si="51">H38/(H38+H41)</f>
        <v>0</v>
      </c>
      <c r="I118" s="722">
        <f t="shared" si="51"/>
        <v>0</v>
      </c>
      <c r="J118" s="722">
        <f t="shared" si="51"/>
        <v>0</v>
      </c>
      <c r="K118" s="722">
        <f t="shared" si="51"/>
        <v>0</v>
      </c>
      <c r="L118" s="722">
        <f t="shared" si="51"/>
        <v>0</v>
      </c>
      <c r="M118" s="722">
        <f t="shared" si="51"/>
        <v>0</v>
      </c>
      <c r="N118" s="722">
        <f t="shared" si="51"/>
        <v>0</v>
      </c>
      <c r="O118" s="722">
        <f t="shared" si="51"/>
        <v>0</v>
      </c>
      <c r="P118" s="722">
        <f t="shared" si="51"/>
        <v>0</v>
      </c>
      <c r="Q118" s="722">
        <f t="shared" si="51"/>
        <v>0</v>
      </c>
      <c r="R118" s="722">
        <f t="shared" si="51"/>
        <v>0</v>
      </c>
      <c r="S118" s="722">
        <f t="shared" si="51"/>
        <v>0</v>
      </c>
    </row>
    <row r="119" spans="1:19" x14ac:dyDescent="0.2">
      <c r="A119" s="669"/>
      <c r="B119" s="671"/>
      <c r="C119" s="734"/>
      <c r="D119" s="734"/>
      <c r="E119" s="735"/>
      <c r="F119" s="727"/>
      <c r="G119" s="684" t="s">
        <v>532</v>
      </c>
      <c r="H119" s="702">
        <f>H115</f>
        <v>2011</v>
      </c>
      <c r="I119" s="702">
        <f t="shared" ref="I119:S119" si="52">I115</f>
        <v>2012</v>
      </c>
      <c r="J119" s="702">
        <f t="shared" si="52"/>
        <v>2013</v>
      </c>
      <c r="K119" s="702">
        <f t="shared" si="52"/>
        <v>2014</v>
      </c>
      <c r="L119" s="702">
        <f t="shared" si="52"/>
        <v>2015</v>
      </c>
      <c r="M119" s="702">
        <f t="shared" si="52"/>
        <v>2016</v>
      </c>
      <c r="N119" s="702">
        <f t="shared" si="52"/>
        <v>2017</v>
      </c>
      <c r="O119" s="702">
        <f t="shared" si="52"/>
        <v>2018</v>
      </c>
      <c r="P119" s="702">
        <f t="shared" si="52"/>
        <v>2019</v>
      </c>
      <c r="Q119" s="702">
        <f t="shared" si="52"/>
        <v>2020</v>
      </c>
      <c r="R119" s="702">
        <f t="shared" si="52"/>
        <v>2021</v>
      </c>
      <c r="S119" s="702">
        <f t="shared" si="52"/>
        <v>2022</v>
      </c>
    </row>
    <row r="120" spans="1:19" x14ac:dyDescent="0.2">
      <c r="A120" s="670" t="s">
        <v>533</v>
      </c>
      <c r="B120" s="671" t="s">
        <v>263</v>
      </c>
      <c r="C120" s="660" t="s">
        <v>264</v>
      </c>
      <c r="D120" s="737">
        <v>0.5</v>
      </c>
      <c r="E120" s="738" t="s">
        <v>265</v>
      </c>
      <c r="F120" s="670"/>
      <c r="G120" s="687" t="s">
        <v>266</v>
      </c>
      <c r="H120" s="723" t="str">
        <f t="shared" ref="H120:S120" si="53">IF(H116&lt;$D$120,$E$120,H35/H4)</f>
        <v>N/A</v>
      </c>
      <c r="I120" s="723" t="str">
        <f t="shared" si="53"/>
        <v>N/A</v>
      </c>
      <c r="J120" s="723" t="str">
        <f t="shared" si="53"/>
        <v>N/A</v>
      </c>
      <c r="K120" s="723" t="str">
        <f t="shared" si="53"/>
        <v>N/A</v>
      </c>
      <c r="L120" s="723" t="str">
        <f t="shared" si="53"/>
        <v>N/A</v>
      </c>
      <c r="M120" s="723" t="str">
        <f t="shared" si="53"/>
        <v>N/A</v>
      </c>
      <c r="N120" s="723" t="str">
        <f t="shared" si="53"/>
        <v>N/A</v>
      </c>
      <c r="O120" s="723" t="str">
        <f t="shared" si="53"/>
        <v>N/A</v>
      </c>
      <c r="P120" s="723" t="str">
        <f t="shared" si="53"/>
        <v>N/A</v>
      </c>
      <c r="Q120" s="723" t="str">
        <f t="shared" si="53"/>
        <v>N/A</v>
      </c>
      <c r="R120" s="723" t="str">
        <f t="shared" si="53"/>
        <v>N/A</v>
      </c>
      <c r="S120" s="723" t="str">
        <f t="shared" si="53"/>
        <v>N/A</v>
      </c>
    </row>
    <row r="121" spans="1:19" x14ac:dyDescent="0.2">
      <c r="A121" s="670" t="s">
        <v>534</v>
      </c>
      <c r="B121" s="671" t="s">
        <v>535</v>
      </c>
      <c r="C121" s="660" t="s">
        <v>267</v>
      </c>
      <c r="D121" s="737">
        <v>0.5</v>
      </c>
      <c r="E121" s="738" t="s">
        <v>265</v>
      </c>
      <c r="F121" s="670"/>
      <c r="G121" s="689" t="s">
        <v>268</v>
      </c>
      <c r="H121" s="723" t="str">
        <f t="shared" ref="H121:S121" si="54">IF(H116&lt;$D$121,$E$121,H35/H15)</f>
        <v>N/A</v>
      </c>
      <c r="I121" s="723" t="str">
        <f t="shared" si="54"/>
        <v>N/A</v>
      </c>
      <c r="J121" s="723" t="str">
        <f t="shared" si="54"/>
        <v>N/A</v>
      </c>
      <c r="K121" s="723" t="str">
        <f t="shared" si="54"/>
        <v>N/A</v>
      </c>
      <c r="L121" s="723" t="str">
        <f t="shared" si="54"/>
        <v>N/A</v>
      </c>
      <c r="M121" s="723" t="str">
        <f t="shared" si="54"/>
        <v>N/A</v>
      </c>
      <c r="N121" s="723" t="str">
        <f t="shared" si="54"/>
        <v>N/A</v>
      </c>
      <c r="O121" s="723" t="str">
        <f t="shared" si="54"/>
        <v>N/A</v>
      </c>
      <c r="P121" s="723" t="str">
        <f t="shared" si="54"/>
        <v>N/A</v>
      </c>
      <c r="Q121" s="723" t="str">
        <f t="shared" si="54"/>
        <v>N/A</v>
      </c>
      <c r="R121" s="723" t="str">
        <f t="shared" si="54"/>
        <v>N/A</v>
      </c>
      <c r="S121" s="723" t="str">
        <f t="shared" si="54"/>
        <v>N/A</v>
      </c>
    </row>
    <row r="122" spans="1:19" x14ac:dyDescent="0.2">
      <c r="A122" s="670" t="s">
        <v>536</v>
      </c>
      <c r="B122" s="671" t="s">
        <v>537</v>
      </c>
      <c r="C122" s="660" t="s">
        <v>201</v>
      </c>
      <c r="D122" s="737">
        <v>0.5</v>
      </c>
      <c r="E122" s="738" t="s">
        <v>265</v>
      </c>
      <c r="F122" s="670"/>
      <c r="G122" s="687" t="s">
        <v>269</v>
      </c>
      <c r="H122" s="733" t="str">
        <f t="shared" ref="H122:S122" si="55">IF(H116&lt;$D$122,$E$122,H46/H33)</f>
        <v>N/A</v>
      </c>
      <c r="I122" s="733" t="str">
        <f t="shared" si="55"/>
        <v>N/A</v>
      </c>
      <c r="J122" s="733" t="str">
        <f t="shared" si="55"/>
        <v>N/A</v>
      </c>
      <c r="K122" s="733" t="str">
        <f t="shared" si="55"/>
        <v>N/A</v>
      </c>
      <c r="L122" s="733" t="str">
        <f t="shared" si="55"/>
        <v>N/A</v>
      </c>
      <c r="M122" s="733" t="str">
        <f t="shared" si="55"/>
        <v>N/A</v>
      </c>
      <c r="N122" s="733" t="str">
        <f t="shared" si="55"/>
        <v>N/A</v>
      </c>
      <c r="O122" s="733" t="str">
        <f t="shared" si="55"/>
        <v>N/A</v>
      </c>
      <c r="P122" s="733" t="str">
        <f t="shared" si="55"/>
        <v>N/A</v>
      </c>
      <c r="Q122" s="733" t="str">
        <f t="shared" si="55"/>
        <v>N/A</v>
      </c>
      <c r="R122" s="733" t="str">
        <f t="shared" si="55"/>
        <v>N/A</v>
      </c>
      <c r="S122" s="733" t="str">
        <f t="shared" si="55"/>
        <v>N/A</v>
      </c>
    </row>
    <row r="123" spans="1:19" x14ac:dyDescent="0.2">
      <c r="A123" s="670" t="s">
        <v>538</v>
      </c>
      <c r="B123" s="671" t="s">
        <v>539</v>
      </c>
      <c r="C123" s="660" t="s">
        <v>270</v>
      </c>
      <c r="D123" s="737">
        <v>0.5</v>
      </c>
      <c r="E123" s="738" t="s">
        <v>265</v>
      </c>
      <c r="F123" s="670"/>
      <c r="G123" s="689" t="s">
        <v>271</v>
      </c>
      <c r="H123" s="733" t="str">
        <f t="shared" ref="H123:S123" si="56">IF(H116&lt;$D$122,$E$123,H51/H33)</f>
        <v>N/A</v>
      </c>
      <c r="I123" s="733" t="str">
        <f t="shared" si="56"/>
        <v>N/A</v>
      </c>
      <c r="J123" s="733" t="str">
        <f t="shared" si="56"/>
        <v>N/A</v>
      </c>
      <c r="K123" s="733" t="str">
        <f t="shared" si="56"/>
        <v>N/A</v>
      </c>
      <c r="L123" s="733" t="str">
        <f t="shared" si="56"/>
        <v>N/A</v>
      </c>
      <c r="M123" s="733" t="str">
        <f t="shared" si="56"/>
        <v>N/A</v>
      </c>
      <c r="N123" s="733" t="str">
        <f t="shared" si="56"/>
        <v>N/A</v>
      </c>
      <c r="O123" s="733" t="str">
        <f t="shared" si="56"/>
        <v>N/A</v>
      </c>
      <c r="P123" s="733" t="str">
        <f t="shared" si="56"/>
        <v>N/A</v>
      </c>
      <c r="Q123" s="733" t="str">
        <f t="shared" si="56"/>
        <v>N/A</v>
      </c>
      <c r="R123" s="733" t="str">
        <f t="shared" si="56"/>
        <v>N/A</v>
      </c>
      <c r="S123" s="733" t="str">
        <f t="shared" si="56"/>
        <v>N/A</v>
      </c>
    </row>
    <row r="124" spans="1:19" x14ac:dyDescent="0.2">
      <c r="A124" s="670" t="s">
        <v>540</v>
      </c>
      <c r="B124" s="671" t="s">
        <v>541</v>
      </c>
      <c r="C124" s="660" t="s">
        <v>272</v>
      </c>
      <c r="D124" s="737">
        <v>0.5</v>
      </c>
      <c r="E124" s="738" t="s">
        <v>265</v>
      </c>
      <c r="F124" s="670"/>
      <c r="G124" s="689" t="s">
        <v>273</v>
      </c>
      <c r="H124" s="733" t="str">
        <f t="shared" ref="H124:S124" si="57">IF(H116&lt;$D$124,$E$124,H51/H4)</f>
        <v>N/A</v>
      </c>
      <c r="I124" s="733" t="str">
        <f t="shared" si="57"/>
        <v>N/A</v>
      </c>
      <c r="J124" s="733" t="str">
        <f t="shared" si="57"/>
        <v>N/A</v>
      </c>
      <c r="K124" s="733" t="str">
        <f t="shared" si="57"/>
        <v>N/A</v>
      </c>
      <c r="L124" s="733" t="str">
        <f t="shared" si="57"/>
        <v>N/A</v>
      </c>
      <c r="M124" s="733" t="str">
        <f t="shared" si="57"/>
        <v>N/A</v>
      </c>
      <c r="N124" s="733" t="str">
        <f t="shared" si="57"/>
        <v>N/A</v>
      </c>
      <c r="O124" s="733" t="str">
        <f t="shared" si="57"/>
        <v>N/A</v>
      </c>
      <c r="P124" s="733" t="str">
        <f t="shared" si="57"/>
        <v>N/A</v>
      </c>
      <c r="Q124" s="733" t="str">
        <f t="shared" si="57"/>
        <v>N/A</v>
      </c>
      <c r="R124" s="733" t="str">
        <f t="shared" si="57"/>
        <v>N/A</v>
      </c>
      <c r="S124" s="733" t="str">
        <f t="shared" si="57"/>
        <v>N/A</v>
      </c>
    </row>
    <row r="125" spans="1:19" x14ac:dyDescent="0.2">
      <c r="A125" s="670" t="s">
        <v>542</v>
      </c>
      <c r="B125" s="671" t="s">
        <v>543</v>
      </c>
      <c r="C125" s="660" t="s">
        <v>274</v>
      </c>
      <c r="D125" s="737">
        <v>0.5</v>
      </c>
      <c r="E125" s="738" t="s">
        <v>265</v>
      </c>
      <c r="F125" s="670"/>
      <c r="G125" s="717" t="s">
        <v>275</v>
      </c>
      <c r="H125" s="733" t="str">
        <f t="shared" ref="H125:S125" si="58">IF(H116&lt;$D$125,$E$125,H51/H27)</f>
        <v>N/A</v>
      </c>
      <c r="I125" s="733" t="str">
        <f t="shared" si="58"/>
        <v>N/A</v>
      </c>
      <c r="J125" s="733" t="str">
        <f t="shared" si="58"/>
        <v>N/A</v>
      </c>
      <c r="K125" s="733" t="str">
        <f t="shared" si="58"/>
        <v>N/A</v>
      </c>
      <c r="L125" s="733" t="str">
        <f t="shared" si="58"/>
        <v>N/A</v>
      </c>
      <c r="M125" s="733" t="str">
        <f t="shared" si="58"/>
        <v>N/A</v>
      </c>
      <c r="N125" s="733" t="str">
        <f t="shared" si="58"/>
        <v>N/A</v>
      </c>
      <c r="O125" s="733" t="str">
        <f t="shared" si="58"/>
        <v>N/A</v>
      </c>
      <c r="P125" s="733" t="str">
        <f t="shared" si="58"/>
        <v>N/A</v>
      </c>
      <c r="Q125" s="733" t="str">
        <f t="shared" si="58"/>
        <v>N/A</v>
      </c>
      <c r="R125" s="733" t="str">
        <f t="shared" si="58"/>
        <v>N/A</v>
      </c>
      <c r="S125" s="733" t="str">
        <f t="shared" si="58"/>
        <v>N/A</v>
      </c>
    </row>
    <row r="126" spans="1:19" x14ac:dyDescent="0.2">
      <c r="A126" s="660"/>
      <c r="B126" s="671"/>
      <c r="C126" s="734"/>
      <c r="D126" s="734"/>
      <c r="E126" s="735"/>
      <c r="F126" s="670"/>
      <c r="G126" s="660"/>
      <c r="H126" s="660"/>
      <c r="I126" s="660"/>
      <c r="J126" s="660"/>
      <c r="K126" s="660"/>
      <c r="L126" s="660"/>
      <c r="M126" s="660"/>
      <c r="N126" s="660"/>
      <c r="O126" s="660"/>
      <c r="P126" s="660"/>
      <c r="Q126" s="660"/>
      <c r="R126" s="660"/>
      <c r="S126" s="660"/>
    </row>
    <row r="127" spans="1:19" x14ac:dyDescent="0.2">
      <c r="A127" s="660"/>
      <c r="B127" s="671"/>
      <c r="C127" s="672"/>
      <c r="D127" s="672"/>
      <c r="E127" s="673"/>
      <c r="F127" s="670"/>
      <c r="G127" s="675"/>
      <c r="H127" s="702">
        <f>H119</f>
        <v>2011</v>
      </c>
      <c r="I127" s="702">
        <f t="shared" ref="I127:S127" si="59">I119</f>
        <v>2012</v>
      </c>
      <c r="J127" s="702">
        <f t="shared" si="59"/>
        <v>2013</v>
      </c>
      <c r="K127" s="702">
        <f t="shared" si="59"/>
        <v>2014</v>
      </c>
      <c r="L127" s="702">
        <f t="shared" si="59"/>
        <v>2015</v>
      </c>
      <c r="M127" s="702">
        <f t="shared" si="59"/>
        <v>2016</v>
      </c>
      <c r="N127" s="702">
        <f t="shared" si="59"/>
        <v>2017</v>
      </c>
      <c r="O127" s="702">
        <f t="shared" si="59"/>
        <v>2018</v>
      </c>
      <c r="P127" s="702">
        <f t="shared" si="59"/>
        <v>2019</v>
      </c>
      <c r="Q127" s="702">
        <f t="shared" si="59"/>
        <v>2020</v>
      </c>
      <c r="R127" s="702">
        <f t="shared" si="59"/>
        <v>2021</v>
      </c>
      <c r="S127" s="702">
        <f t="shared" si="59"/>
        <v>2022</v>
      </c>
    </row>
    <row r="128" spans="1:19" x14ac:dyDescent="0.2">
      <c r="A128" s="660"/>
      <c r="B128" s="671"/>
      <c r="C128" s="672"/>
      <c r="D128" s="672"/>
      <c r="E128" s="673"/>
      <c r="F128" s="660"/>
      <c r="G128" s="739" t="s">
        <v>276</v>
      </c>
      <c r="H128" s="740">
        <f t="shared" ref="H128:S128" si="60">H33</f>
        <v>1941.5360000000001</v>
      </c>
      <c r="I128" s="740">
        <f t="shared" si="60"/>
        <v>2055.5950000000003</v>
      </c>
      <c r="J128" s="740">
        <f t="shared" si="60"/>
        <v>1898.645</v>
      </c>
      <c r="K128" s="740">
        <f t="shared" si="60"/>
        <v>1990.6579999999999</v>
      </c>
      <c r="L128" s="740">
        <f t="shared" si="60"/>
        <v>1955.914</v>
      </c>
      <c r="M128" s="740">
        <f t="shared" si="60"/>
        <v>2231</v>
      </c>
      <c r="N128" s="740">
        <f t="shared" si="60"/>
        <v>2333</v>
      </c>
      <c r="O128" s="740">
        <f t="shared" si="60"/>
        <v>2665</v>
      </c>
      <c r="P128" s="740">
        <f t="shared" si="60"/>
        <v>2712</v>
      </c>
      <c r="Q128" s="740">
        <f t="shared" si="60"/>
        <v>2730</v>
      </c>
      <c r="R128" s="740">
        <f t="shared" si="60"/>
        <v>2750</v>
      </c>
      <c r="S128" s="740">
        <f t="shared" si="60"/>
        <v>2805</v>
      </c>
    </row>
    <row r="129" spans="1:19" x14ac:dyDescent="0.2">
      <c r="A129" s="660"/>
      <c r="B129" s="671"/>
      <c r="C129" s="672"/>
      <c r="D129" s="672"/>
      <c r="E129" s="673"/>
      <c r="F129" s="660"/>
      <c r="G129" s="739" t="s">
        <v>277</v>
      </c>
      <c r="H129" s="740">
        <f t="shared" ref="H129:S130" si="61">H35</f>
        <v>483.49099999999999</v>
      </c>
      <c r="I129" s="740">
        <f t="shared" si="61"/>
        <v>507.51600000000002</v>
      </c>
      <c r="J129" s="740">
        <f t="shared" si="61"/>
        <v>397.98200000000003</v>
      </c>
      <c r="K129" s="740">
        <f t="shared" si="61"/>
        <v>451.96199999999999</v>
      </c>
      <c r="L129" s="740">
        <f t="shared" si="61"/>
        <v>465.03500000000003</v>
      </c>
      <c r="M129" s="740">
        <f t="shared" si="61"/>
        <v>553</v>
      </c>
      <c r="N129" s="740">
        <f t="shared" si="61"/>
        <v>562</v>
      </c>
      <c r="O129" s="740">
        <f t="shared" si="61"/>
        <v>600</v>
      </c>
      <c r="P129" s="740">
        <f t="shared" si="61"/>
        <v>610</v>
      </c>
      <c r="Q129" s="740">
        <f t="shared" si="61"/>
        <v>625</v>
      </c>
      <c r="R129" s="740">
        <f t="shared" si="61"/>
        <v>645</v>
      </c>
      <c r="S129" s="740">
        <f t="shared" si="61"/>
        <v>700</v>
      </c>
    </row>
    <row r="130" spans="1:19" x14ac:dyDescent="0.2">
      <c r="A130" s="660"/>
      <c r="B130" s="671"/>
      <c r="C130" s="672"/>
      <c r="D130" s="672"/>
      <c r="E130" s="673"/>
      <c r="F130" s="660"/>
      <c r="G130" s="739" t="s">
        <v>278</v>
      </c>
      <c r="H130" s="740">
        <f t="shared" si="61"/>
        <v>1446.9110000000001</v>
      </c>
      <c r="I130" s="740">
        <f t="shared" si="61"/>
        <v>1546.424</v>
      </c>
      <c r="J130" s="740">
        <f t="shared" si="61"/>
        <v>1499.548</v>
      </c>
      <c r="K130" s="740">
        <f t="shared" si="61"/>
        <v>1526.3119999999999</v>
      </c>
      <c r="L130" s="740">
        <f t="shared" si="61"/>
        <v>1481.5039999999999</v>
      </c>
      <c r="M130" s="740">
        <f t="shared" si="61"/>
        <v>1676</v>
      </c>
      <c r="N130" s="740">
        <f t="shared" si="61"/>
        <v>1768</v>
      </c>
      <c r="O130" s="740">
        <f t="shared" si="61"/>
        <v>2059</v>
      </c>
      <c r="P130" s="740">
        <f t="shared" si="61"/>
        <v>2100</v>
      </c>
      <c r="Q130" s="740">
        <f t="shared" si="61"/>
        <v>2100</v>
      </c>
      <c r="R130" s="740">
        <f t="shared" si="61"/>
        <v>2100</v>
      </c>
      <c r="S130" s="740">
        <f t="shared" si="61"/>
        <v>2100</v>
      </c>
    </row>
    <row r="131" spans="1:19" x14ac:dyDescent="0.2">
      <c r="A131" s="660"/>
      <c r="B131" s="671"/>
      <c r="C131" s="672"/>
      <c r="D131" s="672"/>
      <c r="E131" s="673"/>
      <c r="F131" s="660"/>
      <c r="G131" s="739" t="s">
        <v>279</v>
      </c>
      <c r="H131" s="740">
        <f t="shared" ref="H131:S131" si="62">H38+H41</f>
        <v>-1687.7510000000002</v>
      </c>
      <c r="I131" s="740">
        <f t="shared" si="62"/>
        <v>-1773.3300000000002</v>
      </c>
      <c r="J131" s="740">
        <f t="shared" si="62"/>
        <v>-1945.6220000000001</v>
      </c>
      <c r="K131" s="740">
        <f t="shared" si="62"/>
        <v>-2039.2529999999999</v>
      </c>
      <c r="L131" s="740">
        <f t="shared" si="62"/>
        <v>-2152.3739999999998</v>
      </c>
      <c r="M131" s="740">
        <f t="shared" si="62"/>
        <v>-2286</v>
      </c>
      <c r="N131" s="740">
        <f t="shared" si="62"/>
        <v>-2472</v>
      </c>
      <c r="O131" s="740">
        <f t="shared" si="62"/>
        <v>-2831</v>
      </c>
      <c r="P131" s="740">
        <f t="shared" si="62"/>
        <v>-2833</v>
      </c>
      <c r="Q131" s="740">
        <f t="shared" si="62"/>
        <v>-2856</v>
      </c>
      <c r="R131" s="740">
        <f t="shared" si="62"/>
        <v>-2868</v>
      </c>
      <c r="S131" s="740">
        <f t="shared" si="62"/>
        <v>-2948</v>
      </c>
    </row>
    <row r="132" spans="1:19" x14ac:dyDescent="0.2">
      <c r="A132" s="660"/>
      <c r="B132" s="671"/>
      <c r="C132" s="672"/>
      <c r="D132" s="672"/>
      <c r="E132" s="673"/>
      <c r="F132" s="660"/>
      <c r="G132" s="739" t="s">
        <v>280</v>
      </c>
      <c r="H132" s="740">
        <f t="shared" ref="H132:S132" si="63">H41</f>
        <v>-1687.7510000000002</v>
      </c>
      <c r="I132" s="740">
        <f t="shared" si="63"/>
        <v>-1773.3300000000002</v>
      </c>
      <c r="J132" s="740">
        <f t="shared" si="63"/>
        <v>-1945.6220000000001</v>
      </c>
      <c r="K132" s="740">
        <f t="shared" si="63"/>
        <v>-2039.2529999999999</v>
      </c>
      <c r="L132" s="740">
        <f t="shared" si="63"/>
        <v>-2152.3739999999998</v>
      </c>
      <c r="M132" s="740">
        <f t="shared" si="63"/>
        <v>-2286</v>
      </c>
      <c r="N132" s="740">
        <f t="shared" si="63"/>
        <v>-2472</v>
      </c>
      <c r="O132" s="740">
        <f t="shared" si="63"/>
        <v>-2831</v>
      </c>
      <c r="P132" s="740">
        <f t="shared" si="63"/>
        <v>-2833</v>
      </c>
      <c r="Q132" s="740">
        <f t="shared" si="63"/>
        <v>-2856</v>
      </c>
      <c r="R132" s="740">
        <f t="shared" si="63"/>
        <v>-2868</v>
      </c>
      <c r="S132" s="740">
        <f t="shared" si="63"/>
        <v>-2948</v>
      </c>
    </row>
    <row r="133" spans="1:19" x14ac:dyDescent="0.2">
      <c r="A133" s="660"/>
      <c r="B133" s="671"/>
      <c r="C133" s="672"/>
      <c r="D133" s="672"/>
      <c r="E133" s="673"/>
      <c r="F133" s="660"/>
      <c r="G133" s="739" t="s">
        <v>281</v>
      </c>
      <c r="H133" s="740">
        <f t="shared" ref="H133:S133" si="64">H38</f>
        <v>0</v>
      </c>
      <c r="I133" s="740">
        <f t="shared" si="64"/>
        <v>0</v>
      </c>
      <c r="J133" s="740">
        <f t="shared" si="64"/>
        <v>0</v>
      </c>
      <c r="K133" s="740">
        <f t="shared" si="64"/>
        <v>0</v>
      </c>
      <c r="L133" s="740">
        <f t="shared" si="64"/>
        <v>0</v>
      </c>
      <c r="M133" s="740">
        <f t="shared" si="64"/>
        <v>0</v>
      </c>
      <c r="N133" s="740">
        <f t="shared" si="64"/>
        <v>0</v>
      </c>
      <c r="O133" s="740">
        <f t="shared" si="64"/>
        <v>0</v>
      </c>
      <c r="P133" s="740">
        <f t="shared" si="64"/>
        <v>0</v>
      </c>
      <c r="Q133" s="740">
        <f t="shared" si="64"/>
        <v>0</v>
      </c>
      <c r="R133" s="740">
        <f t="shared" si="64"/>
        <v>0</v>
      </c>
      <c r="S133" s="740">
        <f t="shared" si="64"/>
        <v>0</v>
      </c>
    </row>
    <row r="134" spans="1:19" x14ac:dyDescent="0.2">
      <c r="A134" s="660"/>
      <c r="B134" s="671"/>
      <c r="C134" s="672"/>
      <c r="D134" s="672"/>
      <c r="E134" s="673"/>
      <c r="F134" s="660"/>
      <c r="G134" s="739" t="s">
        <v>282</v>
      </c>
      <c r="H134" s="740">
        <f t="shared" ref="H134:S134" si="65">H46</f>
        <v>253.78499999999985</v>
      </c>
      <c r="I134" s="740">
        <f t="shared" si="65"/>
        <v>282.2650000000001</v>
      </c>
      <c r="J134" s="740">
        <f t="shared" si="65"/>
        <v>-46.977000000000089</v>
      </c>
      <c r="K134" s="740">
        <f t="shared" si="65"/>
        <v>-48.595000000000027</v>
      </c>
      <c r="L134" s="740">
        <f t="shared" si="65"/>
        <v>-196.45999999999981</v>
      </c>
      <c r="M134" s="740">
        <f t="shared" si="65"/>
        <v>-55</v>
      </c>
      <c r="N134" s="740">
        <f t="shared" si="65"/>
        <v>-139</v>
      </c>
      <c r="O134" s="740">
        <f t="shared" si="65"/>
        <v>-166</v>
      </c>
      <c r="P134" s="740">
        <f t="shared" si="65"/>
        <v>-121</v>
      </c>
      <c r="Q134" s="740">
        <f t="shared" si="65"/>
        <v>-126</v>
      </c>
      <c r="R134" s="740">
        <f t="shared" si="65"/>
        <v>-118</v>
      </c>
      <c r="S134" s="740">
        <f t="shared" si="65"/>
        <v>-143</v>
      </c>
    </row>
    <row r="135" spans="1:19" x14ac:dyDescent="0.2">
      <c r="A135" s="660"/>
      <c r="B135" s="671"/>
      <c r="C135" s="672"/>
      <c r="D135" s="672"/>
      <c r="E135" s="673"/>
      <c r="F135" s="660"/>
      <c r="G135" s="739" t="s">
        <v>283</v>
      </c>
      <c r="H135" s="740">
        <f t="shared" ref="H135:S135" si="66">H51</f>
        <v>88.143999999999863</v>
      </c>
      <c r="I135" s="740">
        <f t="shared" si="66"/>
        <v>151.05300000000011</v>
      </c>
      <c r="J135" s="740">
        <f t="shared" si="66"/>
        <v>-130.34400000000011</v>
      </c>
      <c r="K135" s="740">
        <f t="shared" si="66"/>
        <v>-126.89100000000003</v>
      </c>
      <c r="L135" s="740">
        <f t="shared" si="66"/>
        <v>-258.5829999999998</v>
      </c>
      <c r="M135" s="740">
        <f t="shared" si="66"/>
        <v>-104</v>
      </c>
      <c r="N135" s="740">
        <f t="shared" si="66"/>
        <v>-179</v>
      </c>
      <c r="O135" s="740">
        <f t="shared" si="66"/>
        <v>-206</v>
      </c>
      <c r="P135" s="740">
        <f t="shared" si="66"/>
        <v>-156</v>
      </c>
      <c r="Q135" s="740">
        <f t="shared" si="66"/>
        <v>-156</v>
      </c>
      <c r="R135" s="740">
        <f t="shared" si="66"/>
        <v>-143</v>
      </c>
      <c r="S135" s="740">
        <f t="shared" si="66"/>
        <v>-163</v>
      </c>
    </row>
    <row r="136" spans="1:19" x14ac:dyDescent="0.2">
      <c r="A136" s="660"/>
      <c r="B136" s="671"/>
      <c r="C136" s="672"/>
      <c r="D136" s="672"/>
      <c r="E136" s="673"/>
      <c r="F136" s="660"/>
      <c r="G136" s="739" t="s">
        <v>284</v>
      </c>
      <c r="H136" s="740">
        <f t="shared" ref="H136:S137" si="67">H4</f>
        <v>12498.413</v>
      </c>
      <c r="I136" s="740">
        <f t="shared" si="67"/>
        <v>12173.442999999999</v>
      </c>
      <c r="J136" s="740">
        <f t="shared" si="67"/>
        <v>11715.913</v>
      </c>
      <c r="K136" s="740">
        <f t="shared" si="67"/>
        <v>11213.396000000001</v>
      </c>
      <c r="L136" s="740">
        <f t="shared" si="67"/>
        <v>10724.312000000002</v>
      </c>
      <c r="M136" s="740">
        <f t="shared" si="67"/>
        <v>10231</v>
      </c>
      <c r="N136" s="740">
        <f t="shared" si="67"/>
        <v>9772</v>
      </c>
      <c r="O136" s="740">
        <f t="shared" si="67"/>
        <v>9223</v>
      </c>
      <c r="P136" s="740">
        <f t="shared" si="67"/>
        <v>8740</v>
      </c>
      <c r="Q136" s="740">
        <f t="shared" si="67"/>
        <v>8705</v>
      </c>
      <c r="R136" s="740">
        <f t="shared" si="67"/>
        <v>8707</v>
      </c>
      <c r="S136" s="740">
        <f t="shared" si="67"/>
        <v>8229</v>
      </c>
    </row>
    <row r="137" spans="1:19" x14ac:dyDescent="0.2">
      <c r="A137" s="660"/>
      <c r="B137" s="671"/>
      <c r="C137" s="672"/>
      <c r="D137" s="672"/>
      <c r="E137" s="673"/>
      <c r="F137" s="660"/>
      <c r="G137" s="739" t="s">
        <v>285</v>
      </c>
      <c r="H137" s="740">
        <f t="shared" si="67"/>
        <v>360.38400000000001</v>
      </c>
      <c r="I137" s="740">
        <f t="shared" si="67"/>
        <v>348.447</v>
      </c>
      <c r="J137" s="740">
        <f t="shared" si="67"/>
        <v>390.03700000000003</v>
      </c>
      <c r="K137" s="740">
        <f t="shared" si="67"/>
        <v>390.74299999999999</v>
      </c>
      <c r="L137" s="740">
        <f t="shared" si="67"/>
        <v>406.91500000000002</v>
      </c>
      <c r="M137" s="740">
        <f t="shared" si="67"/>
        <v>412</v>
      </c>
      <c r="N137" s="740">
        <f t="shared" si="67"/>
        <v>450</v>
      </c>
      <c r="O137" s="740">
        <f t="shared" si="67"/>
        <v>448</v>
      </c>
      <c r="P137" s="740">
        <f t="shared" si="67"/>
        <v>397</v>
      </c>
      <c r="Q137" s="740">
        <f t="shared" si="67"/>
        <v>352</v>
      </c>
      <c r="R137" s="740">
        <f t="shared" si="67"/>
        <v>402</v>
      </c>
      <c r="S137" s="740">
        <f t="shared" si="67"/>
        <v>486</v>
      </c>
    </row>
    <row r="138" spans="1:19" x14ac:dyDescent="0.2">
      <c r="A138" s="660"/>
      <c r="B138" s="671"/>
      <c r="C138" s="672"/>
      <c r="D138" s="672"/>
      <c r="E138" s="673"/>
      <c r="F138" s="660"/>
      <c r="G138" s="739" t="s">
        <v>286</v>
      </c>
      <c r="H138" s="740">
        <f t="shared" ref="H138:S138" si="68">H10</f>
        <v>12138.029</v>
      </c>
      <c r="I138" s="740">
        <f t="shared" si="68"/>
        <v>11824.995999999999</v>
      </c>
      <c r="J138" s="740">
        <f t="shared" si="68"/>
        <v>11325.876</v>
      </c>
      <c r="K138" s="740">
        <f t="shared" si="68"/>
        <v>10822.653</v>
      </c>
      <c r="L138" s="740">
        <f t="shared" si="68"/>
        <v>10317.397000000001</v>
      </c>
      <c r="M138" s="740">
        <f t="shared" si="68"/>
        <v>9819</v>
      </c>
      <c r="N138" s="740">
        <f t="shared" si="68"/>
        <v>9322</v>
      </c>
      <c r="O138" s="740">
        <f t="shared" si="68"/>
        <v>8775</v>
      </c>
      <c r="P138" s="740">
        <f t="shared" si="68"/>
        <v>8343</v>
      </c>
      <c r="Q138" s="740">
        <f t="shared" si="68"/>
        <v>8353</v>
      </c>
      <c r="R138" s="740">
        <f t="shared" si="68"/>
        <v>8305</v>
      </c>
      <c r="S138" s="740">
        <f t="shared" si="68"/>
        <v>7743</v>
      </c>
    </row>
    <row r="139" spans="1:19" x14ac:dyDescent="0.2">
      <c r="A139" s="660"/>
      <c r="B139" s="671"/>
      <c r="C139" s="672"/>
      <c r="D139" s="672"/>
      <c r="E139" s="673"/>
      <c r="F139" s="660"/>
      <c r="G139" s="739" t="s">
        <v>287</v>
      </c>
      <c r="H139" s="740">
        <f t="shared" ref="H139:S140" si="69">H19</f>
        <v>5557.8630000000003</v>
      </c>
      <c r="I139" s="740">
        <f t="shared" si="69"/>
        <v>5081.84</v>
      </c>
      <c r="J139" s="740">
        <f t="shared" si="69"/>
        <v>4745.6540000000005</v>
      </c>
      <c r="K139" s="740">
        <f t="shared" si="69"/>
        <v>4370.0279999999993</v>
      </c>
      <c r="L139" s="740">
        <f t="shared" si="69"/>
        <v>4139.5259999999998</v>
      </c>
      <c r="M139" s="740">
        <f t="shared" si="69"/>
        <v>3751</v>
      </c>
      <c r="N139" s="740">
        <f t="shared" si="69"/>
        <v>3471</v>
      </c>
      <c r="O139" s="740">
        <f t="shared" si="69"/>
        <v>3128</v>
      </c>
      <c r="P139" s="740">
        <f t="shared" si="69"/>
        <v>2802</v>
      </c>
      <c r="Q139" s="740">
        <f t="shared" si="69"/>
        <v>2898</v>
      </c>
      <c r="R139" s="740">
        <f t="shared" si="69"/>
        <v>2884</v>
      </c>
      <c r="S139" s="740">
        <f t="shared" si="69"/>
        <v>2409</v>
      </c>
    </row>
    <row r="140" spans="1:19" x14ac:dyDescent="0.2">
      <c r="A140" s="660"/>
      <c r="B140" s="671"/>
      <c r="C140" s="672"/>
      <c r="D140" s="672"/>
      <c r="E140" s="673"/>
      <c r="F140" s="660"/>
      <c r="G140" s="739" t="s">
        <v>288</v>
      </c>
      <c r="H140" s="740">
        <f t="shared" si="69"/>
        <v>767.899</v>
      </c>
      <c r="I140" s="740">
        <f t="shared" si="69"/>
        <v>614.29100000000005</v>
      </c>
      <c r="J140" s="740">
        <f t="shared" si="69"/>
        <v>614.00400000000002</v>
      </c>
      <c r="K140" s="740">
        <f t="shared" si="69"/>
        <v>577.23800000000006</v>
      </c>
      <c r="L140" s="740">
        <f t="shared" si="69"/>
        <v>698.00599999999997</v>
      </c>
      <c r="M140" s="740">
        <f t="shared" si="69"/>
        <v>668</v>
      </c>
      <c r="N140" s="740">
        <f t="shared" si="69"/>
        <v>734</v>
      </c>
      <c r="O140" s="740">
        <f t="shared" si="69"/>
        <v>765</v>
      </c>
      <c r="P140" s="740">
        <f t="shared" si="69"/>
        <v>398</v>
      </c>
      <c r="Q140" s="740">
        <f t="shared" si="69"/>
        <v>431</v>
      </c>
      <c r="R140" s="740">
        <f t="shared" si="69"/>
        <v>410</v>
      </c>
      <c r="S140" s="740">
        <f t="shared" si="69"/>
        <v>410</v>
      </c>
    </row>
    <row r="141" spans="1:19" x14ac:dyDescent="0.2">
      <c r="A141" s="660"/>
      <c r="B141" s="671"/>
      <c r="C141" s="672"/>
      <c r="D141" s="672"/>
      <c r="E141" s="673"/>
      <c r="F141" s="660"/>
      <c r="G141" s="739" t="s">
        <v>289</v>
      </c>
      <c r="H141" s="740">
        <f t="shared" ref="H141:S141" si="70">H24</f>
        <v>5215.1000000000004</v>
      </c>
      <c r="I141" s="740">
        <f t="shared" si="70"/>
        <v>4765.9970000000003</v>
      </c>
      <c r="J141" s="740">
        <f t="shared" si="70"/>
        <v>4467.808</v>
      </c>
      <c r="K141" s="740">
        <f t="shared" si="70"/>
        <v>4131.6499999999996</v>
      </c>
      <c r="L141" s="740">
        <f t="shared" si="70"/>
        <v>3792.79</v>
      </c>
      <c r="M141" s="740">
        <f t="shared" si="70"/>
        <v>3442</v>
      </c>
      <c r="N141" s="740">
        <f t="shared" si="70"/>
        <v>3110</v>
      </c>
      <c r="O141" s="740">
        <f t="shared" si="70"/>
        <v>2736</v>
      </c>
      <c r="P141" s="740">
        <f t="shared" si="70"/>
        <v>2357</v>
      </c>
      <c r="Q141" s="740">
        <f t="shared" si="70"/>
        <v>1973</v>
      </c>
      <c r="R141" s="740">
        <f t="shared" si="70"/>
        <v>1585</v>
      </c>
      <c r="S141" s="740">
        <f t="shared" si="70"/>
        <v>1193</v>
      </c>
    </row>
    <row r="142" spans="1:19" x14ac:dyDescent="0.2">
      <c r="A142" s="660"/>
      <c r="B142" s="671"/>
      <c r="C142" s="672"/>
      <c r="D142" s="672"/>
      <c r="E142" s="673"/>
      <c r="F142" s="660"/>
      <c r="G142" s="739" t="s">
        <v>290</v>
      </c>
      <c r="H142" s="740">
        <f t="shared" ref="H142:S142" si="71">H27</f>
        <v>6940.549</v>
      </c>
      <c r="I142" s="740">
        <f t="shared" si="71"/>
        <v>7091.6030000000001</v>
      </c>
      <c r="J142" s="740">
        <f t="shared" si="71"/>
        <v>6970.259</v>
      </c>
      <c r="K142" s="740">
        <f t="shared" si="71"/>
        <v>6843.3689999999997</v>
      </c>
      <c r="L142" s="740">
        <f t="shared" si="71"/>
        <v>6584.7870000000003</v>
      </c>
      <c r="M142" s="740">
        <f t="shared" si="71"/>
        <v>6480</v>
      </c>
      <c r="N142" s="740">
        <f t="shared" si="71"/>
        <v>6301</v>
      </c>
      <c r="O142" s="740">
        <f t="shared" si="71"/>
        <v>6095</v>
      </c>
      <c r="P142" s="740">
        <f t="shared" si="71"/>
        <v>5938</v>
      </c>
      <c r="Q142" s="740">
        <f t="shared" si="71"/>
        <v>5807</v>
      </c>
      <c r="R142" s="740">
        <f t="shared" si="71"/>
        <v>5823</v>
      </c>
      <c r="S142" s="740">
        <f t="shared" si="71"/>
        <v>5820</v>
      </c>
    </row>
    <row r="143" spans="1:19" x14ac:dyDescent="0.2">
      <c r="A143" s="660"/>
      <c r="B143" s="671"/>
      <c r="C143" s="734"/>
      <c r="D143" s="734"/>
      <c r="E143" s="735"/>
      <c r="F143" s="660"/>
      <c r="G143" s="660"/>
      <c r="H143" s="660"/>
      <c r="I143" s="660"/>
      <c r="J143" s="660"/>
      <c r="K143" s="660"/>
      <c r="L143" s="660"/>
      <c r="M143" s="660"/>
      <c r="N143" s="660"/>
      <c r="O143" s="660"/>
      <c r="P143" s="660"/>
      <c r="Q143" s="660"/>
      <c r="R143" s="660"/>
    </row>
    <row r="144" spans="1:19" x14ac:dyDescent="0.2">
      <c r="A144" s="660"/>
      <c r="B144" s="671"/>
      <c r="C144" s="660" t="s">
        <v>544</v>
      </c>
      <c r="D144" s="672"/>
      <c r="E144" s="673"/>
      <c r="F144" s="660"/>
      <c r="G144" s="660"/>
      <c r="H144" s="660"/>
      <c r="I144" s="660"/>
      <c r="J144" s="660"/>
      <c r="K144" s="660"/>
      <c r="L144" s="660"/>
      <c r="M144" s="660"/>
      <c r="N144" s="660"/>
      <c r="O144" s="660"/>
      <c r="P144" s="660"/>
      <c r="Q144" s="660"/>
      <c r="R144" s="660"/>
    </row>
    <row r="145" spans="1:18" x14ac:dyDescent="0.2">
      <c r="A145" s="660"/>
      <c r="B145" s="671"/>
      <c r="C145" s="660"/>
      <c r="D145" s="672"/>
      <c r="E145" s="673"/>
      <c r="F145" s="660"/>
      <c r="G145" s="675"/>
      <c r="H145" s="675"/>
      <c r="I145" s="675"/>
      <c r="J145" s="675"/>
      <c r="K145" s="675"/>
      <c r="L145" s="675"/>
      <c r="M145" s="675"/>
      <c r="N145" s="675"/>
      <c r="O145" s="675"/>
      <c r="P145" s="675"/>
      <c r="Q145" s="675"/>
      <c r="R145" s="675"/>
    </row>
    <row r="146" spans="1:18" x14ac:dyDescent="0.2">
      <c r="A146" s="660"/>
      <c r="B146" s="671"/>
      <c r="C146" s="660" t="s">
        <v>291</v>
      </c>
      <c r="D146" s="672"/>
      <c r="E146" s="673"/>
      <c r="F146" s="660"/>
      <c r="G146" s="675"/>
      <c r="H146" s="675"/>
      <c r="I146" s="675"/>
      <c r="J146" s="675"/>
      <c r="K146" s="675"/>
      <c r="L146" s="675"/>
      <c r="M146" s="675"/>
      <c r="N146" s="675"/>
      <c r="O146" s="675"/>
      <c r="P146" s="675"/>
      <c r="Q146" s="675"/>
      <c r="R146" s="675"/>
    </row>
    <row r="147" spans="1:18" x14ac:dyDescent="0.2">
      <c r="A147" s="660"/>
      <c r="B147" s="671"/>
      <c r="C147" s="660" t="s">
        <v>292</v>
      </c>
      <c r="D147" s="672"/>
      <c r="E147" s="673"/>
      <c r="F147" s="674"/>
      <c r="G147" s="741"/>
      <c r="H147" s="741"/>
      <c r="I147" s="741"/>
      <c r="J147" s="741"/>
      <c r="K147" s="741"/>
      <c r="L147" s="741"/>
      <c r="M147" s="741"/>
      <c r="N147" s="741"/>
      <c r="O147" s="741"/>
      <c r="P147" s="741"/>
      <c r="Q147" s="741"/>
      <c r="R147" s="741"/>
    </row>
    <row r="148" spans="1:18" x14ac:dyDescent="0.2">
      <c r="A148" s="660"/>
      <c r="B148" s="671"/>
      <c r="C148" s="660"/>
      <c r="D148" s="672"/>
      <c r="E148" s="673"/>
      <c r="F148" s="674"/>
      <c r="G148" s="706"/>
      <c r="H148" s="706"/>
      <c r="I148" s="706"/>
      <c r="J148" s="706"/>
      <c r="K148" s="706"/>
      <c r="L148" s="706"/>
      <c r="M148" s="706"/>
      <c r="N148" s="706"/>
      <c r="O148" s="706"/>
      <c r="P148" s="706"/>
      <c r="Q148" s="706"/>
      <c r="R148" s="706"/>
    </row>
    <row r="149" spans="1:18" x14ac:dyDescent="0.2">
      <c r="A149" s="660"/>
      <c r="B149" s="671"/>
      <c r="C149" s="660" t="s">
        <v>293</v>
      </c>
      <c r="D149" s="672"/>
      <c r="E149" s="673"/>
      <c r="F149" s="674"/>
      <c r="G149" s="675"/>
      <c r="H149" s="670"/>
      <c r="I149" s="670"/>
      <c r="J149" s="670"/>
      <c r="K149" s="670"/>
      <c r="L149" s="670"/>
      <c r="M149" s="670"/>
      <c r="N149" s="670"/>
      <c r="O149" s="670"/>
      <c r="P149" s="670"/>
      <c r="Q149" s="670"/>
      <c r="R149" s="670"/>
    </row>
    <row r="150" spans="1:18" x14ac:dyDescent="0.2">
      <c r="A150" s="660"/>
      <c r="B150" s="671"/>
      <c r="C150" s="660" t="s">
        <v>294</v>
      </c>
      <c r="D150" s="672"/>
      <c r="E150" s="673"/>
      <c r="F150" s="674"/>
      <c r="G150" s="675"/>
      <c r="H150" s="670"/>
      <c r="I150" s="670"/>
      <c r="J150" s="670"/>
      <c r="K150" s="670"/>
      <c r="L150" s="670"/>
      <c r="M150" s="670"/>
      <c r="N150" s="670"/>
      <c r="O150" s="670"/>
      <c r="P150" s="670"/>
      <c r="Q150" s="670"/>
      <c r="R150" s="670"/>
    </row>
  </sheetData>
  <mergeCells count="1">
    <mergeCell ref="D87:E87"/>
  </mergeCells>
  <conditionalFormatting sqref="H116:Q116">
    <cfRule type="cellIs" dxfId="144" priority="80" stopIfTrue="1" operator="greaterThan">
      <formula>$E$116</formula>
    </cfRule>
    <cfRule type="cellIs" dxfId="143" priority="81" stopIfTrue="1" operator="lessThanOrEqual">
      <formula>$E$116</formula>
    </cfRule>
  </conditionalFormatting>
  <conditionalFormatting sqref="H118:Q118">
    <cfRule type="cellIs" dxfId="142" priority="78" stopIfTrue="1" operator="lessThanOrEqual">
      <formula>$E$118</formula>
    </cfRule>
    <cfRule type="cellIs" dxfId="141" priority="79" stopIfTrue="1" operator="greaterThan">
      <formula>$E$118</formula>
    </cfRule>
  </conditionalFormatting>
  <conditionalFormatting sqref="H99:Q99">
    <cfRule type="cellIs" dxfId="140" priority="76" operator="greaterThan">
      <formula>$E$99</formula>
    </cfRule>
    <cfRule type="cellIs" dxfId="139" priority="77" operator="lessThanOrEqual">
      <formula>$E$99</formula>
    </cfRule>
  </conditionalFormatting>
  <conditionalFormatting sqref="H102:Q102">
    <cfRule type="cellIs" dxfId="138" priority="74" stopIfTrue="1" operator="greaterThanOrEqual">
      <formula>$E$102</formula>
    </cfRule>
    <cfRule type="cellIs" dxfId="137" priority="75" stopIfTrue="1" operator="lessThan">
      <formula>$E$102</formula>
    </cfRule>
  </conditionalFormatting>
  <conditionalFormatting sqref="H104:Q104">
    <cfRule type="cellIs" dxfId="136" priority="72" stopIfTrue="1" operator="lessThan">
      <formula>$E$104</formula>
    </cfRule>
    <cfRule type="cellIs" dxfId="135" priority="73" stopIfTrue="1" operator="greaterThanOrEqual">
      <formula>$E$104</formula>
    </cfRule>
  </conditionalFormatting>
  <conditionalFormatting sqref="H103:Q103">
    <cfRule type="cellIs" dxfId="134" priority="70" stopIfTrue="1" operator="greaterThan">
      <formula>$E$103</formula>
    </cfRule>
    <cfRule type="cellIs" dxfId="133" priority="71" stopIfTrue="1" operator="lessThanOrEqual">
      <formula>$E$103</formula>
    </cfRule>
  </conditionalFormatting>
  <conditionalFormatting sqref="H100:Q100">
    <cfRule type="cellIs" dxfId="132" priority="59" stopIfTrue="1" operator="between">
      <formula>$D$100</formula>
      <formula>$E$100</formula>
    </cfRule>
    <cfRule type="cellIs" dxfId="131" priority="68" stopIfTrue="1" operator="lessThanOrEqual">
      <formula>$D$100</formula>
    </cfRule>
    <cfRule type="cellIs" dxfId="130" priority="69" stopIfTrue="1" operator="greaterThan">
      <formula>$E$100</formula>
    </cfRule>
  </conditionalFormatting>
  <conditionalFormatting sqref="H117:Q117">
    <cfRule type="cellIs" dxfId="129" priority="66" stopIfTrue="1" operator="greaterThan">
      <formula>$E$117</formula>
    </cfRule>
    <cfRule type="cellIs" dxfId="128" priority="67" stopIfTrue="1" operator="lessThanOrEqual">
      <formula>$E$117</formula>
    </cfRule>
  </conditionalFormatting>
  <conditionalFormatting sqref="H107:Q107">
    <cfRule type="cellIs" dxfId="127" priority="64" stopIfTrue="1" operator="greaterThan">
      <formula>$E$107</formula>
    </cfRule>
    <cfRule type="cellIs" dxfId="126" priority="65" stopIfTrue="1" operator="lessThanOrEqual">
      <formula>$E$107</formula>
    </cfRule>
  </conditionalFormatting>
  <conditionalFormatting sqref="H108:Q108">
    <cfRule type="cellIs" dxfId="125" priority="62" stopIfTrue="1" operator="lessThan">
      <formula>$E$108</formula>
    </cfRule>
    <cfRule type="cellIs" dxfId="124" priority="63" stopIfTrue="1" operator="greaterThanOrEqual">
      <formula>$E$108</formula>
    </cfRule>
  </conditionalFormatting>
  <conditionalFormatting sqref="H93:Q93">
    <cfRule type="cellIs" dxfId="123" priority="82" stopIfTrue="1" operator="lessThan">
      <formula>$D$93</formula>
    </cfRule>
    <cfRule type="cellIs" dxfId="122" priority="83" stopIfTrue="1" operator="between">
      <formula>$D$93</formula>
      <formula>$E$93</formula>
    </cfRule>
    <cfRule type="cellIs" dxfId="121" priority="84" stopIfTrue="1" operator="greaterThan">
      <formula>$E$93</formula>
    </cfRule>
  </conditionalFormatting>
  <conditionalFormatting sqref="H114:Q114">
    <cfRule type="cellIs" dxfId="120" priority="85" stopIfTrue="1" operator="lessThan">
      <formula>$E$114</formula>
    </cfRule>
    <cfRule type="cellIs" dxfId="119" priority="86" stopIfTrue="1" operator="between">
      <formula>$D$114</formula>
      <formula>$E$114</formula>
    </cfRule>
    <cfRule type="cellIs" dxfId="118" priority="87" stopIfTrue="1" operator="greaterThanOrEqual">
      <formula>$D$114</formula>
    </cfRule>
  </conditionalFormatting>
  <conditionalFormatting sqref="H90:Q90">
    <cfRule type="cellIs" dxfId="117" priority="60" stopIfTrue="1" operator="lessThan">
      <formula>$E$90</formula>
    </cfRule>
    <cfRule type="cellIs" dxfId="116" priority="61" stopIfTrue="1" operator="greaterThan">
      <formula>$E$90</formula>
    </cfRule>
  </conditionalFormatting>
  <conditionalFormatting sqref="R116">
    <cfRule type="cellIs" dxfId="115" priority="51" stopIfTrue="1" operator="greaterThan">
      <formula>$E$116</formula>
    </cfRule>
    <cfRule type="cellIs" dxfId="114" priority="52" stopIfTrue="1" operator="lessThanOrEqual">
      <formula>$E$116</formula>
    </cfRule>
  </conditionalFormatting>
  <conditionalFormatting sqref="R118">
    <cfRule type="cellIs" dxfId="113" priority="49" stopIfTrue="1" operator="lessThanOrEqual">
      <formula>$E$118</formula>
    </cfRule>
    <cfRule type="cellIs" dxfId="112" priority="50" stopIfTrue="1" operator="greaterThan">
      <formula>$E$118</formula>
    </cfRule>
  </conditionalFormatting>
  <conditionalFormatting sqref="R99">
    <cfRule type="cellIs" dxfId="111" priority="47" operator="greaterThan">
      <formula>$E$99</formula>
    </cfRule>
    <cfRule type="cellIs" dxfId="110" priority="48" operator="lessThanOrEqual">
      <formula>$E$99</formula>
    </cfRule>
  </conditionalFormatting>
  <conditionalFormatting sqref="R102">
    <cfRule type="cellIs" dxfId="109" priority="45" stopIfTrue="1" operator="greaterThanOrEqual">
      <formula>$E$102</formula>
    </cfRule>
    <cfRule type="cellIs" dxfId="108" priority="46" stopIfTrue="1" operator="lessThan">
      <formula>$E$102</formula>
    </cfRule>
  </conditionalFormatting>
  <conditionalFormatting sqref="R104">
    <cfRule type="cellIs" dxfId="107" priority="43" stopIfTrue="1" operator="lessThan">
      <formula>$E$104</formula>
    </cfRule>
    <cfRule type="cellIs" dxfId="106" priority="44" stopIfTrue="1" operator="greaterThanOrEqual">
      <formula>$E$104</formula>
    </cfRule>
  </conditionalFormatting>
  <conditionalFormatting sqref="R103">
    <cfRule type="cellIs" dxfId="105" priority="41" stopIfTrue="1" operator="greaterThan">
      <formula>$E$103</formula>
    </cfRule>
    <cfRule type="cellIs" dxfId="104" priority="42" stopIfTrue="1" operator="lessThanOrEqual">
      <formula>$E$103</formula>
    </cfRule>
  </conditionalFormatting>
  <conditionalFormatting sqref="R100">
    <cfRule type="cellIs" dxfId="103" priority="30" stopIfTrue="1" operator="between">
      <formula>$D$100</formula>
      <formula>$E$100</formula>
    </cfRule>
    <cfRule type="cellIs" dxfId="102" priority="39" stopIfTrue="1" operator="lessThanOrEqual">
      <formula>$D$100</formula>
    </cfRule>
    <cfRule type="cellIs" dxfId="101" priority="40" stopIfTrue="1" operator="greaterThan">
      <formula>$E$100</formula>
    </cfRule>
  </conditionalFormatting>
  <conditionalFormatting sqref="R117">
    <cfRule type="cellIs" dxfId="100" priority="37" stopIfTrue="1" operator="greaterThan">
      <formula>$E$117</formula>
    </cfRule>
    <cfRule type="cellIs" dxfId="99" priority="38" stopIfTrue="1" operator="lessThanOrEqual">
      <formula>$E$117</formula>
    </cfRule>
  </conditionalFormatting>
  <conditionalFormatting sqref="R107">
    <cfRule type="cellIs" dxfId="98" priority="35" stopIfTrue="1" operator="greaterThan">
      <formula>$E$107</formula>
    </cfRule>
    <cfRule type="cellIs" dxfId="97" priority="36" stopIfTrue="1" operator="lessThanOrEqual">
      <formula>$E$107</formula>
    </cfRule>
  </conditionalFormatting>
  <conditionalFormatting sqref="R108">
    <cfRule type="cellIs" dxfId="96" priority="33" stopIfTrue="1" operator="lessThan">
      <formula>$E$108</formula>
    </cfRule>
    <cfRule type="cellIs" dxfId="95" priority="34" stopIfTrue="1" operator="greaterThanOrEqual">
      <formula>$E$108</formula>
    </cfRule>
  </conditionalFormatting>
  <conditionalFormatting sqref="R93">
    <cfRule type="cellIs" dxfId="94" priority="53" stopIfTrue="1" operator="lessThan">
      <formula>$D$93</formula>
    </cfRule>
    <cfRule type="cellIs" dxfId="93" priority="54" stopIfTrue="1" operator="between">
      <formula>$D$93</formula>
      <formula>$E$93</formula>
    </cfRule>
    <cfRule type="cellIs" dxfId="92" priority="55" stopIfTrue="1" operator="greaterThan">
      <formula>$E$93</formula>
    </cfRule>
  </conditionalFormatting>
  <conditionalFormatting sqref="R114">
    <cfRule type="cellIs" dxfId="91" priority="56" stopIfTrue="1" operator="lessThan">
      <formula>$E$114</formula>
    </cfRule>
    <cfRule type="cellIs" dxfId="90" priority="57" stopIfTrue="1" operator="between">
      <formula>$D$114</formula>
      <formula>$E$114</formula>
    </cfRule>
    <cfRule type="cellIs" dxfId="89" priority="58" stopIfTrue="1" operator="greaterThanOrEqual">
      <formula>$D$114</formula>
    </cfRule>
  </conditionalFormatting>
  <conditionalFormatting sqref="R90">
    <cfRule type="cellIs" dxfId="88" priority="31" stopIfTrue="1" operator="lessThan">
      <formula>$E$90</formula>
    </cfRule>
    <cfRule type="cellIs" dxfId="87" priority="32" stopIfTrue="1" operator="greaterThan">
      <formula>$E$90</formula>
    </cfRule>
  </conditionalFormatting>
  <conditionalFormatting sqref="S116">
    <cfRule type="cellIs" dxfId="86" priority="22" stopIfTrue="1" operator="greaterThan">
      <formula>$E$116</formula>
    </cfRule>
    <cfRule type="cellIs" dxfId="85" priority="23" stopIfTrue="1" operator="lessThanOrEqual">
      <formula>$E$116</formula>
    </cfRule>
  </conditionalFormatting>
  <conditionalFormatting sqref="S118">
    <cfRule type="cellIs" dxfId="84" priority="20" stopIfTrue="1" operator="lessThanOrEqual">
      <formula>$E$118</formula>
    </cfRule>
    <cfRule type="cellIs" dxfId="83" priority="21" stopIfTrue="1" operator="greaterThan">
      <formula>$E$118</formula>
    </cfRule>
  </conditionalFormatting>
  <conditionalFormatting sqref="S99">
    <cfRule type="cellIs" dxfId="82" priority="18" operator="greaterThan">
      <formula>$E$99</formula>
    </cfRule>
    <cfRule type="cellIs" dxfId="81" priority="19" operator="lessThanOrEqual">
      <formula>$E$99</formula>
    </cfRule>
  </conditionalFormatting>
  <conditionalFormatting sqref="S102">
    <cfRule type="cellIs" dxfId="80" priority="16" stopIfTrue="1" operator="greaterThanOrEqual">
      <formula>$E$102</formula>
    </cfRule>
    <cfRule type="cellIs" dxfId="79" priority="17" stopIfTrue="1" operator="lessThan">
      <formula>$E$102</formula>
    </cfRule>
  </conditionalFormatting>
  <conditionalFormatting sqref="S104">
    <cfRule type="cellIs" dxfId="78" priority="14" stopIfTrue="1" operator="lessThan">
      <formula>$E$104</formula>
    </cfRule>
    <cfRule type="cellIs" dxfId="77" priority="15" stopIfTrue="1" operator="greaterThanOrEqual">
      <formula>$E$104</formula>
    </cfRule>
  </conditionalFormatting>
  <conditionalFormatting sqref="S103">
    <cfRule type="cellIs" dxfId="76" priority="12" stopIfTrue="1" operator="greaterThan">
      <formula>$E$103</formula>
    </cfRule>
    <cfRule type="cellIs" dxfId="75" priority="13" stopIfTrue="1" operator="lessThanOrEqual">
      <formula>$E$103</formula>
    </cfRule>
  </conditionalFormatting>
  <conditionalFormatting sqref="S100">
    <cfRule type="cellIs" dxfId="74" priority="1" stopIfTrue="1" operator="between">
      <formula>$D$100</formula>
      <formula>$E$100</formula>
    </cfRule>
    <cfRule type="cellIs" dxfId="73" priority="10" stopIfTrue="1" operator="lessThanOrEqual">
      <formula>$D$100</formula>
    </cfRule>
    <cfRule type="cellIs" dxfId="72" priority="11" stopIfTrue="1" operator="greaterThan">
      <formula>$E$100</formula>
    </cfRule>
  </conditionalFormatting>
  <conditionalFormatting sqref="S117">
    <cfRule type="cellIs" dxfId="71" priority="8" stopIfTrue="1" operator="greaterThan">
      <formula>$E$117</formula>
    </cfRule>
    <cfRule type="cellIs" dxfId="70" priority="9" stopIfTrue="1" operator="lessThanOrEqual">
      <formula>$E$117</formula>
    </cfRule>
  </conditionalFormatting>
  <conditionalFormatting sqref="S107">
    <cfRule type="cellIs" dxfId="69" priority="6" stopIfTrue="1" operator="greaterThan">
      <formula>$E$107</formula>
    </cfRule>
    <cfRule type="cellIs" dxfId="68" priority="7" stopIfTrue="1" operator="lessThanOrEqual">
      <formula>$E$107</formula>
    </cfRule>
  </conditionalFormatting>
  <conditionalFormatting sqref="S108">
    <cfRule type="cellIs" dxfId="67" priority="4" stopIfTrue="1" operator="lessThan">
      <formula>$E$108</formula>
    </cfRule>
    <cfRule type="cellIs" dxfId="66" priority="5" stopIfTrue="1" operator="greaterThanOrEqual">
      <formula>$E$108</formula>
    </cfRule>
  </conditionalFormatting>
  <conditionalFormatting sqref="S93">
    <cfRule type="cellIs" dxfId="65" priority="24" stopIfTrue="1" operator="lessThan">
      <formula>$D$93</formula>
    </cfRule>
    <cfRule type="cellIs" dxfId="64" priority="25" stopIfTrue="1" operator="between">
      <formula>$D$93</formula>
      <formula>$E$93</formula>
    </cfRule>
    <cfRule type="cellIs" dxfId="63" priority="26" stopIfTrue="1" operator="greaterThan">
      <formula>$E$93</formula>
    </cfRule>
  </conditionalFormatting>
  <conditionalFormatting sqref="S114">
    <cfRule type="cellIs" dxfId="62" priority="27" stopIfTrue="1" operator="lessThan">
      <formula>$E$114</formula>
    </cfRule>
    <cfRule type="cellIs" dxfId="61" priority="28" stopIfTrue="1" operator="between">
      <formula>$D$114</formula>
      <formula>$E$114</formula>
    </cfRule>
    <cfRule type="cellIs" dxfId="60" priority="29" stopIfTrue="1" operator="greaterThanOrEqual">
      <formula>$D$114</formula>
    </cfRule>
  </conditionalFormatting>
  <conditionalFormatting sqref="S90">
    <cfRule type="cellIs" dxfId="59" priority="2" stopIfTrue="1" operator="lessThan">
      <formula>$E$90</formula>
    </cfRule>
    <cfRule type="cellIs" dxfId="58" priority="3" stopIfTrue="1" operator="greaterThan">
      <formula>$E$90</formula>
    </cfRule>
  </conditionalFormatting>
  <pageMargins left="0.7" right="0.7" top="0.75" bottom="0.75" header="0.3" footer="0.3"/>
  <pageSetup orientation="portrait" r:id="rId1"/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3AFF91-1D8F-4F8C-9E3D-F9A5B0055301}">
  <dimension ref="A1:U202"/>
  <sheetViews>
    <sheetView workbookViewId="0">
      <selection activeCell="G2" sqref="G2"/>
    </sheetView>
  </sheetViews>
  <sheetFormatPr defaultRowHeight="11.25" outlineLevelCol="1" x14ac:dyDescent="0.2"/>
  <cols>
    <col min="1" max="1" width="5.7109375" style="47" customWidth="1"/>
    <col min="2" max="2" width="8" style="47" customWidth="1"/>
    <col min="3" max="3" width="9.140625" style="47"/>
    <col min="4" max="4" width="4.5703125" style="47" bestFit="1" customWidth="1"/>
    <col min="5" max="5" width="5.140625" style="47" bestFit="1" customWidth="1"/>
    <col min="6" max="6" width="2" style="8" bestFit="1" customWidth="1"/>
    <col min="7" max="7" width="29" style="47" customWidth="1"/>
    <col min="8" max="12" width="7.85546875" style="47" hidden="1" customWidth="1" outlineLevel="1"/>
    <col min="13" max="13" width="8.7109375" style="47" bestFit="1" customWidth="1" collapsed="1"/>
    <col min="14" max="14" width="9.140625" style="47" customWidth="1"/>
    <col min="15" max="18" width="8.7109375" style="47" bestFit="1" customWidth="1"/>
    <col min="19" max="19" width="8.5703125" style="47" customWidth="1"/>
    <col min="20" max="256" width="9.140625" style="47"/>
    <col min="257" max="257" width="5.7109375" style="47" customWidth="1"/>
    <col min="258" max="258" width="8" style="47" customWidth="1"/>
    <col min="259" max="259" width="9.140625" style="47"/>
    <col min="260" max="260" width="4.5703125" style="47" bestFit="1" customWidth="1"/>
    <col min="261" max="261" width="5.140625" style="47" bestFit="1" customWidth="1"/>
    <col min="262" max="262" width="2" style="47" bestFit="1" customWidth="1"/>
    <col min="263" max="263" width="29" style="47" customWidth="1"/>
    <col min="264" max="268" width="0" style="47" hidden="1" customWidth="1"/>
    <col min="269" max="269" width="8.7109375" style="47" bestFit="1" customWidth="1"/>
    <col min="270" max="270" width="9.140625" style="47"/>
    <col min="271" max="274" width="8.7109375" style="47" bestFit="1" customWidth="1"/>
    <col min="275" max="275" width="8.5703125" style="47" customWidth="1"/>
    <col min="276" max="512" width="9.140625" style="47"/>
    <col min="513" max="513" width="5.7109375" style="47" customWidth="1"/>
    <col min="514" max="514" width="8" style="47" customWidth="1"/>
    <col min="515" max="515" width="9.140625" style="47"/>
    <col min="516" max="516" width="4.5703125" style="47" bestFit="1" customWidth="1"/>
    <col min="517" max="517" width="5.140625" style="47" bestFit="1" customWidth="1"/>
    <col min="518" max="518" width="2" style="47" bestFit="1" customWidth="1"/>
    <col min="519" max="519" width="29" style="47" customWidth="1"/>
    <col min="520" max="524" width="0" style="47" hidden="1" customWidth="1"/>
    <col min="525" max="525" width="8.7109375" style="47" bestFit="1" customWidth="1"/>
    <col min="526" max="526" width="9.140625" style="47"/>
    <col min="527" max="530" width="8.7109375" style="47" bestFit="1" customWidth="1"/>
    <col min="531" max="531" width="8.5703125" style="47" customWidth="1"/>
    <col min="532" max="768" width="9.140625" style="47"/>
    <col min="769" max="769" width="5.7109375" style="47" customWidth="1"/>
    <col min="770" max="770" width="8" style="47" customWidth="1"/>
    <col min="771" max="771" width="9.140625" style="47"/>
    <col min="772" max="772" width="4.5703125" style="47" bestFit="1" customWidth="1"/>
    <col min="773" max="773" width="5.140625" style="47" bestFit="1" customWidth="1"/>
    <col min="774" max="774" width="2" style="47" bestFit="1" customWidth="1"/>
    <col min="775" max="775" width="29" style="47" customWidth="1"/>
    <col min="776" max="780" width="0" style="47" hidden="1" customWidth="1"/>
    <col min="781" max="781" width="8.7109375" style="47" bestFit="1" customWidth="1"/>
    <col min="782" max="782" width="9.140625" style="47"/>
    <col min="783" max="786" width="8.7109375" style="47" bestFit="1" customWidth="1"/>
    <col min="787" max="787" width="8.5703125" style="47" customWidth="1"/>
    <col min="788" max="1024" width="9.140625" style="47"/>
    <col min="1025" max="1025" width="5.7109375" style="47" customWidth="1"/>
    <col min="1026" max="1026" width="8" style="47" customWidth="1"/>
    <col min="1027" max="1027" width="9.140625" style="47"/>
    <col min="1028" max="1028" width="4.5703125" style="47" bestFit="1" customWidth="1"/>
    <col min="1029" max="1029" width="5.140625" style="47" bestFit="1" customWidth="1"/>
    <col min="1030" max="1030" width="2" style="47" bestFit="1" customWidth="1"/>
    <col min="1031" max="1031" width="29" style="47" customWidth="1"/>
    <col min="1032" max="1036" width="0" style="47" hidden="1" customWidth="1"/>
    <col min="1037" max="1037" width="8.7109375" style="47" bestFit="1" customWidth="1"/>
    <col min="1038" max="1038" width="9.140625" style="47"/>
    <col min="1039" max="1042" width="8.7109375" style="47" bestFit="1" customWidth="1"/>
    <col min="1043" max="1043" width="8.5703125" style="47" customWidth="1"/>
    <col min="1044" max="1280" width="9.140625" style="47"/>
    <col min="1281" max="1281" width="5.7109375" style="47" customWidth="1"/>
    <col min="1282" max="1282" width="8" style="47" customWidth="1"/>
    <col min="1283" max="1283" width="9.140625" style="47"/>
    <col min="1284" max="1284" width="4.5703125" style="47" bestFit="1" customWidth="1"/>
    <col min="1285" max="1285" width="5.140625" style="47" bestFit="1" customWidth="1"/>
    <col min="1286" max="1286" width="2" style="47" bestFit="1" customWidth="1"/>
    <col min="1287" max="1287" width="29" style="47" customWidth="1"/>
    <col min="1288" max="1292" width="0" style="47" hidden="1" customWidth="1"/>
    <col min="1293" max="1293" width="8.7109375" style="47" bestFit="1" customWidth="1"/>
    <col min="1294" max="1294" width="9.140625" style="47"/>
    <col min="1295" max="1298" width="8.7109375" style="47" bestFit="1" customWidth="1"/>
    <col min="1299" max="1299" width="8.5703125" style="47" customWidth="1"/>
    <col min="1300" max="1536" width="9.140625" style="47"/>
    <col min="1537" max="1537" width="5.7109375" style="47" customWidth="1"/>
    <col min="1538" max="1538" width="8" style="47" customWidth="1"/>
    <col min="1539" max="1539" width="9.140625" style="47"/>
    <col min="1540" max="1540" width="4.5703125" style="47" bestFit="1" customWidth="1"/>
    <col min="1541" max="1541" width="5.140625" style="47" bestFit="1" customWidth="1"/>
    <col min="1542" max="1542" width="2" style="47" bestFit="1" customWidth="1"/>
    <col min="1543" max="1543" width="29" style="47" customWidth="1"/>
    <col min="1544" max="1548" width="0" style="47" hidden="1" customWidth="1"/>
    <col min="1549" max="1549" width="8.7109375" style="47" bestFit="1" customWidth="1"/>
    <col min="1550" max="1550" width="9.140625" style="47"/>
    <col min="1551" max="1554" width="8.7109375" style="47" bestFit="1" customWidth="1"/>
    <col min="1555" max="1555" width="8.5703125" style="47" customWidth="1"/>
    <col min="1556" max="1792" width="9.140625" style="47"/>
    <col min="1793" max="1793" width="5.7109375" style="47" customWidth="1"/>
    <col min="1794" max="1794" width="8" style="47" customWidth="1"/>
    <col min="1795" max="1795" width="9.140625" style="47"/>
    <col min="1796" max="1796" width="4.5703125" style="47" bestFit="1" customWidth="1"/>
    <col min="1797" max="1797" width="5.140625" style="47" bestFit="1" customWidth="1"/>
    <col min="1798" max="1798" width="2" style="47" bestFit="1" customWidth="1"/>
    <col min="1799" max="1799" width="29" style="47" customWidth="1"/>
    <col min="1800" max="1804" width="0" style="47" hidden="1" customWidth="1"/>
    <col min="1805" max="1805" width="8.7109375" style="47" bestFit="1" customWidth="1"/>
    <col min="1806" max="1806" width="9.140625" style="47"/>
    <col min="1807" max="1810" width="8.7109375" style="47" bestFit="1" customWidth="1"/>
    <col min="1811" max="1811" width="8.5703125" style="47" customWidth="1"/>
    <col min="1812" max="2048" width="9.140625" style="47"/>
    <col min="2049" max="2049" width="5.7109375" style="47" customWidth="1"/>
    <col min="2050" max="2050" width="8" style="47" customWidth="1"/>
    <col min="2051" max="2051" width="9.140625" style="47"/>
    <col min="2052" max="2052" width="4.5703125" style="47" bestFit="1" customWidth="1"/>
    <col min="2053" max="2053" width="5.140625" style="47" bestFit="1" customWidth="1"/>
    <col min="2054" max="2054" width="2" style="47" bestFit="1" customWidth="1"/>
    <col min="2055" max="2055" width="29" style="47" customWidth="1"/>
    <col min="2056" max="2060" width="0" style="47" hidden="1" customWidth="1"/>
    <col min="2061" max="2061" width="8.7109375" style="47" bestFit="1" customWidth="1"/>
    <col min="2062" max="2062" width="9.140625" style="47"/>
    <col min="2063" max="2066" width="8.7109375" style="47" bestFit="1" customWidth="1"/>
    <col min="2067" max="2067" width="8.5703125" style="47" customWidth="1"/>
    <col min="2068" max="2304" width="9.140625" style="47"/>
    <col min="2305" max="2305" width="5.7109375" style="47" customWidth="1"/>
    <col min="2306" max="2306" width="8" style="47" customWidth="1"/>
    <col min="2307" max="2307" width="9.140625" style="47"/>
    <col min="2308" max="2308" width="4.5703125" style="47" bestFit="1" customWidth="1"/>
    <col min="2309" max="2309" width="5.140625" style="47" bestFit="1" customWidth="1"/>
    <col min="2310" max="2310" width="2" style="47" bestFit="1" customWidth="1"/>
    <col min="2311" max="2311" width="29" style="47" customWidth="1"/>
    <col min="2312" max="2316" width="0" style="47" hidden="1" customWidth="1"/>
    <col min="2317" max="2317" width="8.7109375" style="47" bestFit="1" customWidth="1"/>
    <col min="2318" max="2318" width="9.140625" style="47"/>
    <col min="2319" max="2322" width="8.7109375" style="47" bestFit="1" customWidth="1"/>
    <col min="2323" max="2323" width="8.5703125" style="47" customWidth="1"/>
    <col min="2324" max="2560" width="9.140625" style="47"/>
    <col min="2561" max="2561" width="5.7109375" style="47" customWidth="1"/>
    <col min="2562" max="2562" width="8" style="47" customWidth="1"/>
    <col min="2563" max="2563" width="9.140625" style="47"/>
    <col min="2564" max="2564" width="4.5703125" style="47" bestFit="1" customWidth="1"/>
    <col min="2565" max="2565" width="5.140625" style="47" bestFit="1" customWidth="1"/>
    <col min="2566" max="2566" width="2" style="47" bestFit="1" customWidth="1"/>
    <col min="2567" max="2567" width="29" style="47" customWidth="1"/>
    <col min="2568" max="2572" width="0" style="47" hidden="1" customWidth="1"/>
    <col min="2573" max="2573" width="8.7109375" style="47" bestFit="1" customWidth="1"/>
    <col min="2574" max="2574" width="9.140625" style="47"/>
    <col min="2575" max="2578" width="8.7109375" style="47" bestFit="1" customWidth="1"/>
    <col min="2579" max="2579" width="8.5703125" style="47" customWidth="1"/>
    <col min="2580" max="2816" width="9.140625" style="47"/>
    <col min="2817" max="2817" width="5.7109375" style="47" customWidth="1"/>
    <col min="2818" max="2818" width="8" style="47" customWidth="1"/>
    <col min="2819" max="2819" width="9.140625" style="47"/>
    <col min="2820" max="2820" width="4.5703125" style="47" bestFit="1" customWidth="1"/>
    <col min="2821" max="2821" width="5.140625" style="47" bestFit="1" customWidth="1"/>
    <col min="2822" max="2822" width="2" style="47" bestFit="1" customWidth="1"/>
    <col min="2823" max="2823" width="29" style="47" customWidth="1"/>
    <col min="2824" max="2828" width="0" style="47" hidden="1" customWidth="1"/>
    <col min="2829" max="2829" width="8.7109375" style="47" bestFit="1" customWidth="1"/>
    <col min="2830" max="2830" width="9.140625" style="47"/>
    <col min="2831" max="2834" width="8.7109375" style="47" bestFit="1" customWidth="1"/>
    <col min="2835" max="2835" width="8.5703125" style="47" customWidth="1"/>
    <col min="2836" max="3072" width="9.140625" style="47"/>
    <col min="3073" max="3073" width="5.7109375" style="47" customWidth="1"/>
    <col min="3074" max="3074" width="8" style="47" customWidth="1"/>
    <col min="3075" max="3075" width="9.140625" style="47"/>
    <col min="3076" max="3076" width="4.5703125" style="47" bestFit="1" customWidth="1"/>
    <col min="3077" max="3077" width="5.140625" style="47" bestFit="1" customWidth="1"/>
    <col min="3078" max="3078" width="2" style="47" bestFit="1" customWidth="1"/>
    <col min="3079" max="3079" width="29" style="47" customWidth="1"/>
    <col min="3080" max="3084" width="0" style="47" hidden="1" customWidth="1"/>
    <col min="3085" max="3085" width="8.7109375" style="47" bestFit="1" customWidth="1"/>
    <col min="3086" max="3086" width="9.140625" style="47"/>
    <col min="3087" max="3090" width="8.7109375" style="47" bestFit="1" customWidth="1"/>
    <col min="3091" max="3091" width="8.5703125" style="47" customWidth="1"/>
    <col min="3092" max="3328" width="9.140625" style="47"/>
    <col min="3329" max="3329" width="5.7109375" style="47" customWidth="1"/>
    <col min="3330" max="3330" width="8" style="47" customWidth="1"/>
    <col min="3331" max="3331" width="9.140625" style="47"/>
    <col min="3332" max="3332" width="4.5703125" style="47" bestFit="1" customWidth="1"/>
    <col min="3333" max="3333" width="5.140625" style="47" bestFit="1" customWidth="1"/>
    <col min="3334" max="3334" width="2" style="47" bestFit="1" customWidth="1"/>
    <col min="3335" max="3335" width="29" style="47" customWidth="1"/>
    <col min="3336" max="3340" width="0" style="47" hidden="1" customWidth="1"/>
    <col min="3341" max="3341" width="8.7109375" style="47" bestFit="1" customWidth="1"/>
    <col min="3342" max="3342" width="9.140625" style="47"/>
    <col min="3343" max="3346" width="8.7109375" style="47" bestFit="1" customWidth="1"/>
    <col min="3347" max="3347" width="8.5703125" style="47" customWidth="1"/>
    <col min="3348" max="3584" width="9.140625" style="47"/>
    <col min="3585" max="3585" width="5.7109375" style="47" customWidth="1"/>
    <col min="3586" max="3586" width="8" style="47" customWidth="1"/>
    <col min="3587" max="3587" width="9.140625" style="47"/>
    <col min="3588" max="3588" width="4.5703125" style="47" bestFit="1" customWidth="1"/>
    <col min="3589" max="3589" width="5.140625" style="47" bestFit="1" customWidth="1"/>
    <col min="3590" max="3590" width="2" style="47" bestFit="1" customWidth="1"/>
    <col min="3591" max="3591" width="29" style="47" customWidth="1"/>
    <col min="3592" max="3596" width="0" style="47" hidden="1" customWidth="1"/>
    <col min="3597" max="3597" width="8.7109375" style="47" bestFit="1" customWidth="1"/>
    <col min="3598" max="3598" width="9.140625" style="47"/>
    <col min="3599" max="3602" width="8.7109375" style="47" bestFit="1" customWidth="1"/>
    <col min="3603" max="3603" width="8.5703125" style="47" customWidth="1"/>
    <col min="3604" max="3840" width="9.140625" style="47"/>
    <col min="3841" max="3841" width="5.7109375" style="47" customWidth="1"/>
    <col min="3842" max="3842" width="8" style="47" customWidth="1"/>
    <col min="3843" max="3843" width="9.140625" style="47"/>
    <col min="3844" max="3844" width="4.5703125" style="47" bestFit="1" customWidth="1"/>
    <col min="3845" max="3845" width="5.140625" style="47" bestFit="1" customWidth="1"/>
    <col min="3846" max="3846" width="2" style="47" bestFit="1" customWidth="1"/>
    <col min="3847" max="3847" width="29" style="47" customWidth="1"/>
    <col min="3848" max="3852" width="0" style="47" hidden="1" customWidth="1"/>
    <col min="3853" max="3853" width="8.7109375" style="47" bestFit="1" customWidth="1"/>
    <col min="3854" max="3854" width="9.140625" style="47"/>
    <col min="3855" max="3858" width="8.7109375" style="47" bestFit="1" customWidth="1"/>
    <col min="3859" max="3859" width="8.5703125" style="47" customWidth="1"/>
    <col min="3860" max="4096" width="9.140625" style="47"/>
    <col min="4097" max="4097" width="5.7109375" style="47" customWidth="1"/>
    <col min="4098" max="4098" width="8" style="47" customWidth="1"/>
    <col min="4099" max="4099" width="9.140625" style="47"/>
    <col min="4100" max="4100" width="4.5703125" style="47" bestFit="1" customWidth="1"/>
    <col min="4101" max="4101" width="5.140625" style="47" bestFit="1" customWidth="1"/>
    <col min="4102" max="4102" width="2" style="47" bestFit="1" customWidth="1"/>
    <col min="4103" max="4103" width="29" style="47" customWidth="1"/>
    <col min="4104" max="4108" width="0" style="47" hidden="1" customWidth="1"/>
    <col min="4109" max="4109" width="8.7109375" style="47" bestFit="1" customWidth="1"/>
    <col min="4110" max="4110" width="9.140625" style="47"/>
    <col min="4111" max="4114" width="8.7109375" style="47" bestFit="1" customWidth="1"/>
    <col min="4115" max="4115" width="8.5703125" style="47" customWidth="1"/>
    <col min="4116" max="4352" width="9.140625" style="47"/>
    <col min="4353" max="4353" width="5.7109375" style="47" customWidth="1"/>
    <col min="4354" max="4354" width="8" style="47" customWidth="1"/>
    <col min="4355" max="4355" width="9.140625" style="47"/>
    <col min="4356" max="4356" width="4.5703125" style="47" bestFit="1" customWidth="1"/>
    <col min="4357" max="4357" width="5.140625" style="47" bestFit="1" customWidth="1"/>
    <col min="4358" max="4358" width="2" style="47" bestFit="1" customWidth="1"/>
    <col min="4359" max="4359" width="29" style="47" customWidth="1"/>
    <col min="4360" max="4364" width="0" style="47" hidden="1" customWidth="1"/>
    <col min="4365" max="4365" width="8.7109375" style="47" bestFit="1" customWidth="1"/>
    <col min="4366" max="4366" width="9.140625" style="47"/>
    <col min="4367" max="4370" width="8.7109375" style="47" bestFit="1" customWidth="1"/>
    <col min="4371" max="4371" width="8.5703125" style="47" customWidth="1"/>
    <col min="4372" max="4608" width="9.140625" style="47"/>
    <col min="4609" max="4609" width="5.7109375" style="47" customWidth="1"/>
    <col min="4610" max="4610" width="8" style="47" customWidth="1"/>
    <col min="4611" max="4611" width="9.140625" style="47"/>
    <col min="4612" max="4612" width="4.5703125" style="47" bestFit="1" customWidth="1"/>
    <col min="4613" max="4613" width="5.140625" style="47" bestFit="1" customWidth="1"/>
    <col min="4614" max="4614" width="2" style="47" bestFit="1" customWidth="1"/>
    <col min="4615" max="4615" width="29" style="47" customWidth="1"/>
    <col min="4616" max="4620" width="0" style="47" hidden="1" customWidth="1"/>
    <col min="4621" max="4621" width="8.7109375" style="47" bestFit="1" customWidth="1"/>
    <col min="4622" max="4622" width="9.140625" style="47"/>
    <col min="4623" max="4626" width="8.7109375" style="47" bestFit="1" customWidth="1"/>
    <col min="4627" max="4627" width="8.5703125" style="47" customWidth="1"/>
    <col min="4628" max="4864" width="9.140625" style="47"/>
    <col min="4865" max="4865" width="5.7109375" style="47" customWidth="1"/>
    <col min="4866" max="4866" width="8" style="47" customWidth="1"/>
    <col min="4867" max="4867" width="9.140625" style="47"/>
    <col min="4868" max="4868" width="4.5703125" style="47" bestFit="1" customWidth="1"/>
    <col min="4869" max="4869" width="5.140625" style="47" bestFit="1" customWidth="1"/>
    <col min="4870" max="4870" width="2" style="47" bestFit="1" customWidth="1"/>
    <col min="4871" max="4871" width="29" style="47" customWidth="1"/>
    <col min="4872" max="4876" width="0" style="47" hidden="1" customWidth="1"/>
    <col min="4877" max="4877" width="8.7109375" style="47" bestFit="1" customWidth="1"/>
    <col min="4878" max="4878" width="9.140625" style="47"/>
    <col min="4879" max="4882" width="8.7109375" style="47" bestFit="1" customWidth="1"/>
    <col min="4883" max="4883" width="8.5703125" style="47" customWidth="1"/>
    <col min="4884" max="5120" width="9.140625" style="47"/>
    <col min="5121" max="5121" width="5.7109375" style="47" customWidth="1"/>
    <col min="5122" max="5122" width="8" style="47" customWidth="1"/>
    <col min="5123" max="5123" width="9.140625" style="47"/>
    <col min="5124" max="5124" width="4.5703125" style="47" bestFit="1" customWidth="1"/>
    <col min="5125" max="5125" width="5.140625" style="47" bestFit="1" customWidth="1"/>
    <col min="5126" max="5126" width="2" style="47" bestFit="1" customWidth="1"/>
    <col min="5127" max="5127" width="29" style="47" customWidth="1"/>
    <col min="5128" max="5132" width="0" style="47" hidden="1" customWidth="1"/>
    <col min="5133" max="5133" width="8.7109375" style="47" bestFit="1" customWidth="1"/>
    <col min="5134" max="5134" width="9.140625" style="47"/>
    <col min="5135" max="5138" width="8.7109375" style="47" bestFit="1" customWidth="1"/>
    <col min="5139" max="5139" width="8.5703125" style="47" customWidth="1"/>
    <col min="5140" max="5376" width="9.140625" style="47"/>
    <col min="5377" max="5377" width="5.7109375" style="47" customWidth="1"/>
    <col min="5378" max="5378" width="8" style="47" customWidth="1"/>
    <col min="5379" max="5379" width="9.140625" style="47"/>
    <col min="5380" max="5380" width="4.5703125" style="47" bestFit="1" customWidth="1"/>
    <col min="5381" max="5381" width="5.140625" style="47" bestFit="1" customWidth="1"/>
    <col min="5382" max="5382" width="2" style="47" bestFit="1" customWidth="1"/>
    <col min="5383" max="5383" width="29" style="47" customWidth="1"/>
    <col min="5384" max="5388" width="0" style="47" hidden="1" customWidth="1"/>
    <col min="5389" max="5389" width="8.7109375" style="47" bestFit="1" customWidth="1"/>
    <col min="5390" max="5390" width="9.140625" style="47"/>
    <col min="5391" max="5394" width="8.7109375" style="47" bestFit="1" customWidth="1"/>
    <col min="5395" max="5395" width="8.5703125" style="47" customWidth="1"/>
    <col min="5396" max="5632" width="9.140625" style="47"/>
    <col min="5633" max="5633" width="5.7109375" style="47" customWidth="1"/>
    <col min="5634" max="5634" width="8" style="47" customWidth="1"/>
    <col min="5635" max="5635" width="9.140625" style="47"/>
    <col min="5636" max="5636" width="4.5703125" style="47" bestFit="1" customWidth="1"/>
    <col min="5637" max="5637" width="5.140625" style="47" bestFit="1" customWidth="1"/>
    <col min="5638" max="5638" width="2" style="47" bestFit="1" customWidth="1"/>
    <col min="5639" max="5639" width="29" style="47" customWidth="1"/>
    <col min="5640" max="5644" width="0" style="47" hidden="1" customWidth="1"/>
    <col min="5645" max="5645" width="8.7109375" style="47" bestFit="1" customWidth="1"/>
    <col min="5646" max="5646" width="9.140625" style="47"/>
    <col min="5647" max="5650" width="8.7109375" style="47" bestFit="1" customWidth="1"/>
    <col min="5651" max="5651" width="8.5703125" style="47" customWidth="1"/>
    <col min="5652" max="5888" width="9.140625" style="47"/>
    <col min="5889" max="5889" width="5.7109375" style="47" customWidth="1"/>
    <col min="5890" max="5890" width="8" style="47" customWidth="1"/>
    <col min="5891" max="5891" width="9.140625" style="47"/>
    <col min="5892" max="5892" width="4.5703125" style="47" bestFit="1" customWidth="1"/>
    <col min="5893" max="5893" width="5.140625" style="47" bestFit="1" customWidth="1"/>
    <col min="5894" max="5894" width="2" style="47" bestFit="1" customWidth="1"/>
    <col min="5895" max="5895" width="29" style="47" customWidth="1"/>
    <col min="5896" max="5900" width="0" style="47" hidden="1" customWidth="1"/>
    <col min="5901" max="5901" width="8.7109375" style="47" bestFit="1" customWidth="1"/>
    <col min="5902" max="5902" width="9.140625" style="47"/>
    <col min="5903" max="5906" width="8.7109375" style="47" bestFit="1" customWidth="1"/>
    <col min="5907" max="5907" width="8.5703125" style="47" customWidth="1"/>
    <col min="5908" max="6144" width="9.140625" style="47"/>
    <col min="6145" max="6145" width="5.7109375" style="47" customWidth="1"/>
    <col min="6146" max="6146" width="8" style="47" customWidth="1"/>
    <col min="6147" max="6147" width="9.140625" style="47"/>
    <col min="6148" max="6148" width="4.5703125" style="47" bestFit="1" customWidth="1"/>
    <col min="6149" max="6149" width="5.140625" style="47" bestFit="1" customWidth="1"/>
    <col min="6150" max="6150" width="2" style="47" bestFit="1" customWidth="1"/>
    <col min="6151" max="6151" width="29" style="47" customWidth="1"/>
    <col min="6152" max="6156" width="0" style="47" hidden="1" customWidth="1"/>
    <col min="6157" max="6157" width="8.7109375" style="47" bestFit="1" customWidth="1"/>
    <col min="6158" max="6158" width="9.140625" style="47"/>
    <col min="6159" max="6162" width="8.7109375" style="47" bestFit="1" customWidth="1"/>
    <col min="6163" max="6163" width="8.5703125" style="47" customWidth="1"/>
    <col min="6164" max="6400" width="9.140625" style="47"/>
    <col min="6401" max="6401" width="5.7109375" style="47" customWidth="1"/>
    <col min="6402" max="6402" width="8" style="47" customWidth="1"/>
    <col min="6403" max="6403" width="9.140625" style="47"/>
    <col min="6404" max="6404" width="4.5703125" style="47" bestFit="1" customWidth="1"/>
    <col min="6405" max="6405" width="5.140625" style="47" bestFit="1" customWidth="1"/>
    <col min="6406" max="6406" width="2" style="47" bestFit="1" customWidth="1"/>
    <col min="6407" max="6407" width="29" style="47" customWidth="1"/>
    <col min="6408" max="6412" width="0" style="47" hidden="1" customWidth="1"/>
    <col min="6413" max="6413" width="8.7109375" style="47" bestFit="1" customWidth="1"/>
    <col min="6414" max="6414" width="9.140625" style="47"/>
    <col min="6415" max="6418" width="8.7109375" style="47" bestFit="1" customWidth="1"/>
    <col min="6419" max="6419" width="8.5703125" style="47" customWidth="1"/>
    <col min="6420" max="6656" width="9.140625" style="47"/>
    <col min="6657" max="6657" width="5.7109375" style="47" customWidth="1"/>
    <col min="6658" max="6658" width="8" style="47" customWidth="1"/>
    <col min="6659" max="6659" width="9.140625" style="47"/>
    <col min="6660" max="6660" width="4.5703125" style="47" bestFit="1" customWidth="1"/>
    <col min="6661" max="6661" width="5.140625" style="47" bestFit="1" customWidth="1"/>
    <col min="6662" max="6662" width="2" style="47" bestFit="1" customWidth="1"/>
    <col min="6663" max="6663" width="29" style="47" customWidth="1"/>
    <col min="6664" max="6668" width="0" style="47" hidden="1" customWidth="1"/>
    <col min="6669" max="6669" width="8.7109375" style="47" bestFit="1" customWidth="1"/>
    <col min="6670" max="6670" width="9.140625" style="47"/>
    <col min="6671" max="6674" width="8.7109375" style="47" bestFit="1" customWidth="1"/>
    <col min="6675" max="6675" width="8.5703125" style="47" customWidth="1"/>
    <col min="6676" max="6912" width="9.140625" style="47"/>
    <col min="6913" max="6913" width="5.7109375" style="47" customWidth="1"/>
    <col min="6914" max="6914" width="8" style="47" customWidth="1"/>
    <col min="6915" max="6915" width="9.140625" style="47"/>
    <col min="6916" max="6916" width="4.5703125" style="47" bestFit="1" customWidth="1"/>
    <col min="6917" max="6917" width="5.140625" style="47" bestFit="1" customWidth="1"/>
    <col min="6918" max="6918" width="2" style="47" bestFit="1" customWidth="1"/>
    <col min="6919" max="6919" width="29" style="47" customWidth="1"/>
    <col min="6920" max="6924" width="0" style="47" hidden="1" customWidth="1"/>
    <col min="6925" max="6925" width="8.7109375" style="47" bestFit="1" customWidth="1"/>
    <col min="6926" max="6926" width="9.140625" style="47"/>
    <col min="6927" max="6930" width="8.7109375" style="47" bestFit="1" customWidth="1"/>
    <col min="6931" max="6931" width="8.5703125" style="47" customWidth="1"/>
    <col min="6932" max="7168" width="9.140625" style="47"/>
    <col min="7169" max="7169" width="5.7109375" style="47" customWidth="1"/>
    <col min="7170" max="7170" width="8" style="47" customWidth="1"/>
    <col min="7171" max="7171" width="9.140625" style="47"/>
    <col min="7172" max="7172" width="4.5703125" style="47" bestFit="1" customWidth="1"/>
    <col min="7173" max="7173" width="5.140625" style="47" bestFit="1" customWidth="1"/>
    <col min="7174" max="7174" width="2" style="47" bestFit="1" customWidth="1"/>
    <col min="7175" max="7175" width="29" style="47" customWidth="1"/>
    <col min="7176" max="7180" width="0" style="47" hidden="1" customWidth="1"/>
    <col min="7181" max="7181" width="8.7109375" style="47" bestFit="1" customWidth="1"/>
    <col min="7182" max="7182" width="9.140625" style="47"/>
    <col min="7183" max="7186" width="8.7109375" style="47" bestFit="1" customWidth="1"/>
    <col min="7187" max="7187" width="8.5703125" style="47" customWidth="1"/>
    <col min="7188" max="7424" width="9.140625" style="47"/>
    <col min="7425" max="7425" width="5.7109375" style="47" customWidth="1"/>
    <col min="7426" max="7426" width="8" style="47" customWidth="1"/>
    <col min="7427" max="7427" width="9.140625" style="47"/>
    <col min="7428" max="7428" width="4.5703125" style="47" bestFit="1" customWidth="1"/>
    <col min="7429" max="7429" width="5.140625" style="47" bestFit="1" customWidth="1"/>
    <col min="7430" max="7430" width="2" style="47" bestFit="1" customWidth="1"/>
    <col min="7431" max="7431" width="29" style="47" customWidth="1"/>
    <col min="7432" max="7436" width="0" style="47" hidden="1" customWidth="1"/>
    <col min="7437" max="7437" width="8.7109375" style="47" bestFit="1" customWidth="1"/>
    <col min="7438" max="7438" width="9.140625" style="47"/>
    <col min="7439" max="7442" width="8.7109375" style="47" bestFit="1" customWidth="1"/>
    <col min="7443" max="7443" width="8.5703125" style="47" customWidth="1"/>
    <col min="7444" max="7680" width="9.140625" style="47"/>
    <col min="7681" max="7681" width="5.7109375" style="47" customWidth="1"/>
    <col min="7682" max="7682" width="8" style="47" customWidth="1"/>
    <col min="7683" max="7683" width="9.140625" style="47"/>
    <col min="7684" max="7684" width="4.5703125" style="47" bestFit="1" customWidth="1"/>
    <col min="7685" max="7685" width="5.140625" style="47" bestFit="1" customWidth="1"/>
    <col min="7686" max="7686" width="2" style="47" bestFit="1" customWidth="1"/>
    <col min="7687" max="7687" width="29" style="47" customWidth="1"/>
    <col min="7688" max="7692" width="0" style="47" hidden="1" customWidth="1"/>
    <col min="7693" max="7693" width="8.7109375" style="47" bestFit="1" customWidth="1"/>
    <col min="7694" max="7694" width="9.140625" style="47"/>
    <col min="7695" max="7698" width="8.7109375" style="47" bestFit="1" customWidth="1"/>
    <col min="7699" max="7699" width="8.5703125" style="47" customWidth="1"/>
    <col min="7700" max="7936" width="9.140625" style="47"/>
    <col min="7937" max="7937" width="5.7109375" style="47" customWidth="1"/>
    <col min="7938" max="7938" width="8" style="47" customWidth="1"/>
    <col min="7939" max="7939" width="9.140625" style="47"/>
    <col min="7940" max="7940" width="4.5703125" style="47" bestFit="1" customWidth="1"/>
    <col min="7941" max="7941" width="5.140625" style="47" bestFit="1" customWidth="1"/>
    <col min="7942" max="7942" width="2" style="47" bestFit="1" customWidth="1"/>
    <col min="7943" max="7943" width="29" style="47" customWidth="1"/>
    <col min="7944" max="7948" width="0" style="47" hidden="1" customWidth="1"/>
    <col min="7949" max="7949" width="8.7109375" style="47" bestFit="1" customWidth="1"/>
    <col min="7950" max="7950" width="9.140625" style="47"/>
    <col min="7951" max="7954" width="8.7109375" style="47" bestFit="1" customWidth="1"/>
    <col min="7955" max="7955" width="8.5703125" style="47" customWidth="1"/>
    <col min="7956" max="8192" width="9.140625" style="47"/>
    <col min="8193" max="8193" width="5.7109375" style="47" customWidth="1"/>
    <col min="8194" max="8194" width="8" style="47" customWidth="1"/>
    <col min="8195" max="8195" width="9.140625" style="47"/>
    <col min="8196" max="8196" width="4.5703125" style="47" bestFit="1" customWidth="1"/>
    <col min="8197" max="8197" width="5.140625" style="47" bestFit="1" customWidth="1"/>
    <col min="8198" max="8198" width="2" style="47" bestFit="1" customWidth="1"/>
    <col min="8199" max="8199" width="29" style="47" customWidth="1"/>
    <col min="8200" max="8204" width="0" style="47" hidden="1" customWidth="1"/>
    <col min="8205" max="8205" width="8.7109375" style="47" bestFit="1" customWidth="1"/>
    <col min="8206" max="8206" width="9.140625" style="47"/>
    <col min="8207" max="8210" width="8.7109375" style="47" bestFit="1" customWidth="1"/>
    <col min="8211" max="8211" width="8.5703125" style="47" customWidth="1"/>
    <col min="8212" max="8448" width="9.140625" style="47"/>
    <col min="8449" max="8449" width="5.7109375" style="47" customWidth="1"/>
    <col min="8450" max="8450" width="8" style="47" customWidth="1"/>
    <col min="8451" max="8451" width="9.140625" style="47"/>
    <col min="8452" max="8452" width="4.5703125" style="47" bestFit="1" customWidth="1"/>
    <col min="8453" max="8453" width="5.140625" style="47" bestFit="1" customWidth="1"/>
    <col min="8454" max="8454" width="2" style="47" bestFit="1" customWidth="1"/>
    <col min="8455" max="8455" width="29" style="47" customWidth="1"/>
    <col min="8456" max="8460" width="0" style="47" hidden="1" customWidth="1"/>
    <col min="8461" max="8461" width="8.7109375" style="47" bestFit="1" customWidth="1"/>
    <col min="8462" max="8462" width="9.140625" style="47"/>
    <col min="8463" max="8466" width="8.7109375" style="47" bestFit="1" customWidth="1"/>
    <col min="8467" max="8467" width="8.5703125" style="47" customWidth="1"/>
    <col min="8468" max="8704" width="9.140625" style="47"/>
    <col min="8705" max="8705" width="5.7109375" style="47" customWidth="1"/>
    <col min="8706" max="8706" width="8" style="47" customWidth="1"/>
    <col min="8707" max="8707" width="9.140625" style="47"/>
    <col min="8708" max="8708" width="4.5703125" style="47" bestFit="1" customWidth="1"/>
    <col min="8709" max="8709" width="5.140625" style="47" bestFit="1" customWidth="1"/>
    <col min="8710" max="8710" width="2" style="47" bestFit="1" customWidth="1"/>
    <col min="8711" max="8711" width="29" style="47" customWidth="1"/>
    <col min="8712" max="8716" width="0" style="47" hidden="1" customWidth="1"/>
    <col min="8717" max="8717" width="8.7109375" style="47" bestFit="1" customWidth="1"/>
    <col min="8718" max="8718" width="9.140625" style="47"/>
    <col min="8719" max="8722" width="8.7109375" style="47" bestFit="1" customWidth="1"/>
    <col min="8723" max="8723" width="8.5703125" style="47" customWidth="1"/>
    <col min="8724" max="8960" width="9.140625" style="47"/>
    <col min="8961" max="8961" width="5.7109375" style="47" customWidth="1"/>
    <col min="8962" max="8962" width="8" style="47" customWidth="1"/>
    <col min="8963" max="8963" width="9.140625" style="47"/>
    <col min="8964" max="8964" width="4.5703125" style="47" bestFit="1" customWidth="1"/>
    <col min="8965" max="8965" width="5.140625" style="47" bestFit="1" customWidth="1"/>
    <col min="8966" max="8966" width="2" style="47" bestFit="1" customWidth="1"/>
    <col min="8967" max="8967" width="29" style="47" customWidth="1"/>
    <col min="8968" max="8972" width="0" style="47" hidden="1" customWidth="1"/>
    <col min="8973" max="8973" width="8.7109375" style="47" bestFit="1" customWidth="1"/>
    <col min="8974" max="8974" width="9.140625" style="47"/>
    <col min="8975" max="8978" width="8.7109375" style="47" bestFit="1" customWidth="1"/>
    <col min="8979" max="8979" width="8.5703125" style="47" customWidth="1"/>
    <col min="8980" max="9216" width="9.140625" style="47"/>
    <col min="9217" max="9217" width="5.7109375" style="47" customWidth="1"/>
    <col min="9218" max="9218" width="8" style="47" customWidth="1"/>
    <col min="9219" max="9219" width="9.140625" style="47"/>
    <col min="9220" max="9220" width="4.5703125" style="47" bestFit="1" customWidth="1"/>
    <col min="9221" max="9221" width="5.140625" style="47" bestFit="1" customWidth="1"/>
    <col min="9222" max="9222" width="2" style="47" bestFit="1" customWidth="1"/>
    <col min="9223" max="9223" width="29" style="47" customWidth="1"/>
    <col min="9224" max="9228" width="0" style="47" hidden="1" customWidth="1"/>
    <col min="9229" max="9229" width="8.7109375" style="47" bestFit="1" customWidth="1"/>
    <col min="9230" max="9230" width="9.140625" style="47"/>
    <col min="9231" max="9234" width="8.7109375" style="47" bestFit="1" customWidth="1"/>
    <col min="9235" max="9235" width="8.5703125" style="47" customWidth="1"/>
    <col min="9236" max="9472" width="9.140625" style="47"/>
    <col min="9473" max="9473" width="5.7109375" style="47" customWidth="1"/>
    <col min="9474" max="9474" width="8" style="47" customWidth="1"/>
    <col min="9475" max="9475" width="9.140625" style="47"/>
    <col min="9476" max="9476" width="4.5703125" style="47" bestFit="1" customWidth="1"/>
    <col min="9477" max="9477" width="5.140625" style="47" bestFit="1" customWidth="1"/>
    <col min="9478" max="9478" width="2" style="47" bestFit="1" customWidth="1"/>
    <col min="9479" max="9479" width="29" style="47" customWidth="1"/>
    <col min="9480" max="9484" width="0" style="47" hidden="1" customWidth="1"/>
    <col min="9485" max="9485" width="8.7109375" style="47" bestFit="1" customWidth="1"/>
    <col min="9486" max="9486" width="9.140625" style="47"/>
    <col min="9487" max="9490" width="8.7109375" style="47" bestFit="1" customWidth="1"/>
    <col min="9491" max="9491" width="8.5703125" style="47" customWidth="1"/>
    <col min="9492" max="9728" width="9.140625" style="47"/>
    <col min="9729" max="9729" width="5.7109375" style="47" customWidth="1"/>
    <col min="9730" max="9730" width="8" style="47" customWidth="1"/>
    <col min="9731" max="9731" width="9.140625" style="47"/>
    <col min="9732" max="9732" width="4.5703125" style="47" bestFit="1" customWidth="1"/>
    <col min="9733" max="9733" width="5.140625" style="47" bestFit="1" customWidth="1"/>
    <col min="9734" max="9734" width="2" style="47" bestFit="1" customWidth="1"/>
    <col min="9735" max="9735" width="29" style="47" customWidth="1"/>
    <col min="9736" max="9740" width="0" style="47" hidden="1" customWidth="1"/>
    <col min="9741" max="9741" width="8.7109375" style="47" bestFit="1" customWidth="1"/>
    <col min="9742" max="9742" width="9.140625" style="47"/>
    <col min="9743" max="9746" width="8.7109375" style="47" bestFit="1" customWidth="1"/>
    <col min="9747" max="9747" width="8.5703125" style="47" customWidth="1"/>
    <col min="9748" max="9984" width="9.140625" style="47"/>
    <col min="9985" max="9985" width="5.7109375" style="47" customWidth="1"/>
    <col min="9986" max="9986" width="8" style="47" customWidth="1"/>
    <col min="9987" max="9987" width="9.140625" style="47"/>
    <col min="9988" max="9988" width="4.5703125" style="47" bestFit="1" customWidth="1"/>
    <col min="9989" max="9989" width="5.140625" style="47" bestFit="1" customWidth="1"/>
    <col min="9990" max="9990" width="2" style="47" bestFit="1" customWidth="1"/>
    <col min="9991" max="9991" width="29" style="47" customWidth="1"/>
    <col min="9992" max="9996" width="0" style="47" hidden="1" customWidth="1"/>
    <col min="9997" max="9997" width="8.7109375" style="47" bestFit="1" customWidth="1"/>
    <col min="9998" max="9998" width="9.140625" style="47"/>
    <col min="9999" max="10002" width="8.7109375" style="47" bestFit="1" customWidth="1"/>
    <col min="10003" max="10003" width="8.5703125" style="47" customWidth="1"/>
    <col min="10004" max="10240" width="9.140625" style="47"/>
    <col min="10241" max="10241" width="5.7109375" style="47" customWidth="1"/>
    <col min="10242" max="10242" width="8" style="47" customWidth="1"/>
    <col min="10243" max="10243" width="9.140625" style="47"/>
    <col min="10244" max="10244" width="4.5703125" style="47" bestFit="1" customWidth="1"/>
    <col min="10245" max="10245" width="5.140625" style="47" bestFit="1" customWidth="1"/>
    <col min="10246" max="10246" width="2" style="47" bestFit="1" customWidth="1"/>
    <col min="10247" max="10247" width="29" style="47" customWidth="1"/>
    <col min="10248" max="10252" width="0" style="47" hidden="1" customWidth="1"/>
    <col min="10253" max="10253" width="8.7109375" style="47" bestFit="1" customWidth="1"/>
    <col min="10254" max="10254" width="9.140625" style="47"/>
    <col min="10255" max="10258" width="8.7109375" style="47" bestFit="1" customWidth="1"/>
    <col min="10259" max="10259" width="8.5703125" style="47" customWidth="1"/>
    <col min="10260" max="10496" width="9.140625" style="47"/>
    <col min="10497" max="10497" width="5.7109375" style="47" customWidth="1"/>
    <col min="10498" max="10498" width="8" style="47" customWidth="1"/>
    <col min="10499" max="10499" width="9.140625" style="47"/>
    <col min="10500" max="10500" width="4.5703125" style="47" bestFit="1" customWidth="1"/>
    <col min="10501" max="10501" width="5.140625" style="47" bestFit="1" customWidth="1"/>
    <col min="10502" max="10502" width="2" style="47" bestFit="1" customWidth="1"/>
    <col min="10503" max="10503" width="29" style="47" customWidth="1"/>
    <col min="10504" max="10508" width="0" style="47" hidden="1" customWidth="1"/>
    <col min="10509" max="10509" width="8.7109375" style="47" bestFit="1" customWidth="1"/>
    <col min="10510" max="10510" width="9.140625" style="47"/>
    <col min="10511" max="10514" width="8.7109375" style="47" bestFit="1" customWidth="1"/>
    <col min="10515" max="10515" width="8.5703125" style="47" customWidth="1"/>
    <col min="10516" max="10752" width="9.140625" style="47"/>
    <col min="10753" max="10753" width="5.7109375" style="47" customWidth="1"/>
    <col min="10754" max="10754" width="8" style="47" customWidth="1"/>
    <col min="10755" max="10755" width="9.140625" style="47"/>
    <col min="10756" max="10756" width="4.5703125" style="47" bestFit="1" customWidth="1"/>
    <col min="10757" max="10757" width="5.140625" style="47" bestFit="1" customWidth="1"/>
    <col min="10758" max="10758" width="2" style="47" bestFit="1" customWidth="1"/>
    <col min="10759" max="10759" width="29" style="47" customWidth="1"/>
    <col min="10760" max="10764" width="0" style="47" hidden="1" customWidth="1"/>
    <col min="10765" max="10765" width="8.7109375" style="47" bestFit="1" customWidth="1"/>
    <col min="10766" max="10766" width="9.140625" style="47"/>
    <col min="10767" max="10770" width="8.7109375" style="47" bestFit="1" customWidth="1"/>
    <col min="10771" max="10771" width="8.5703125" style="47" customWidth="1"/>
    <col min="10772" max="11008" width="9.140625" style="47"/>
    <col min="11009" max="11009" width="5.7109375" style="47" customWidth="1"/>
    <col min="11010" max="11010" width="8" style="47" customWidth="1"/>
    <col min="11011" max="11011" width="9.140625" style="47"/>
    <col min="11012" max="11012" width="4.5703125" style="47" bestFit="1" customWidth="1"/>
    <col min="11013" max="11013" width="5.140625" style="47" bestFit="1" customWidth="1"/>
    <col min="11014" max="11014" width="2" style="47" bestFit="1" customWidth="1"/>
    <col min="11015" max="11015" width="29" style="47" customWidth="1"/>
    <col min="11016" max="11020" width="0" style="47" hidden="1" customWidth="1"/>
    <col min="11021" max="11021" width="8.7109375" style="47" bestFit="1" customWidth="1"/>
    <col min="11022" max="11022" width="9.140625" style="47"/>
    <col min="11023" max="11026" width="8.7109375" style="47" bestFit="1" customWidth="1"/>
    <col min="11027" max="11027" width="8.5703125" style="47" customWidth="1"/>
    <col min="11028" max="11264" width="9.140625" style="47"/>
    <col min="11265" max="11265" width="5.7109375" style="47" customWidth="1"/>
    <col min="11266" max="11266" width="8" style="47" customWidth="1"/>
    <col min="11267" max="11267" width="9.140625" style="47"/>
    <col min="11268" max="11268" width="4.5703125" style="47" bestFit="1" customWidth="1"/>
    <col min="11269" max="11269" width="5.140625" style="47" bestFit="1" customWidth="1"/>
    <col min="11270" max="11270" width="2" style="47" bestFit="1" customWidth="1"/>
    <col min="11271" max="11271" width="29" style="47" customWidth="1"/>
    <col min="11272" max="11276" width="0" style="47" hidden="1" customWidth="1"/>
    <col min="11277" max="11277" width="8.7109375" style="47" bestFit="1" customWidth="1"/>
    <col min="11278" max="11278" width="9.140625" style="47"/>
    <col min="11279" max="11282" width="8.7109375" style="47" bestFit="1" customWidth="1"/>
    <col min="11283" max="11283" width="8.5703125" style="47" customWidth="1"/>
    <col min="11284" max="11520" width="9.140625" style="47"/>
    <col min="11521" max="11521" width="5.7109375" style="47" customWidth="1"/>
    <col min="11522" max="11522" width="8" style="47" customWidth="1"/>
    <col min="11523" max="11523" width="9.140625" style="47"/>
    <col min="11524" max="11524" width="4.5703125" style="47" bestFit="1" customWidth="1"/>
    <col min="11525" max="11525" width="5.140625" style="47" bestFit="1" customWidth="1"/>
    <col min="11526" max="11526" width="2" style="47" bestFit="1" customWidth="1"/>
    <col min="11527" max="11527" width="29" style="47" customWidth="1"/>
    <col min="11528" max="11532" width="0" style="47" hidden="1" customWidth="1"/>
    <col min="11533" max="11533" width="8.7109375" style="47" bestFit="1" customWidth="1"/>
    <col min="11534" max="11534" width="9.140625" style="47"/>
    <col min="11535" max="11538" width="8.7109375" style="47" bestFit="1" customWidth="1"/>
    <col min="11539" max="11539" width="8.5703125" style="47" customWidth="1"/>
    <col min="11540" max="11776" width="9.140625" style="47"/>
    <col min="11777" max="11777" width="5.7109375" style="47" customWidth="1"/>
    <col min="11778" max="11778" width="8" style="47" customWidth="1"/>
    <col min="11779" max="11779" width="9.140625" style="47"/>
    <col min="11780" max="11780" width="4.5703125" style="47" bestFit="1" customWidth="1"/>
    <col min="11781" max="11781" width="5.140625" style="47" bestFit="1" customWidth="1"/>
    <col min="11782" max="11782" width="2" style="47" bestFit="1" customWidth="1"/>
    <col min="11783" max="11783" width="29" style="47" customWidth="1"/>
    <col min="11784" max="11788" width="0" style="47" hidden="1" customWidth="1"/>
    <col min="11789" max="11789" width="8.7109375" style="47" bestFit="1" customWidth="1"/>
    <col min="11790" max="11790" width="9.140625" style="47"/>
    <col min="11791" max="11794" width="8.7109375" style="47" bestFit="1" customWidth="1"/>
    <col min="11795" max="11795" width="8.5703125" style="47" customWidth="1"/>
    <col min="11796" max="12032" width="9.140625" style="47"/>
    <col min="12033" max="12033" width="5.7109375" style="47" customWidth="1"/>
    <col min="12034" max="12034" width="8" style="47" customWidth="1"/>
    <col min="12035" max="12035" width="9.140625" style="47"/>
    <col min="12036" max="12036" width="4.5703125" style="47" bestFit="1" customWidth="1"/>
    <col min="12037" max="12037" width="5.140625" style="47" bestFit="1" customWidth="1"/>
    <col min="12038" max="12038" width="2" style="47" bestFit="1" customWidth="1"/>
    <col min="12039" max="12039" width="29" style="47" customWidth="1"/>
    <col min="12040" max="12044" width="0" style="47" hidden="1" customWidth="1"/>
    <col min="12045" max="12045" width="8.7109375" style="47" bestFit="1" customWidth="1"/>
    <col min="12046" max="12046" width="9.140625" style="47"/>
    <col min="12047" max="12050" width="8.7109375" style="47" bestFit="1" customWidth="1"/>
    <col min="12051" max="12051" width="8.5703125" style="47" customWidth="1"/>
    <col min="12052" max="12288" width="9.140625" style="47"/>
    <col min="12289" max="12289" width="5.7109375" style="47" customWidth="1"/>
    <col min="12290" max="12290" width="8" style="47" customWidth="1"/>
    <col min="12291" max="12291" width="9.140625" style="47"/>
    <col min="12292" max="12292" width="4.5703125" style="47" bestFit="1" customWidth="1"/>
    <col min="12293" max="12293" width="5.140625" style="47" bestFit="1" customWidth="1"/>
    <col min="12294" max="12294" width="2" style="47" bestFit="1" customWidth="1"/>
    <col min="12295" max="12295" width="29" style="47" customWidth="1"/>
    <col min="12296" max="12300" width="0" style="47" hidden="1" customWidth="1"/>
    <col min="12301" max="12301" width="8.7109375" style="47" bestFit="1" customWidth="1"/>
    <col min="12302" max="12302" width="9.140625" style="47"/>
    <col min="12303" max="12306" width="8.7109375" style="47" bestFit="1" customWidth="1"/>
    <col min="12307" max="12307" width="8.5703125" style="47" customWidth="1"/>
    <col min="12308" max="12544" width="9.140625" style="47"/>
    <col min="12545" max="12545" width="5.7109375" style="47" customWidth="1"/>
    <col min="12546" max="12546" width="8" style="47" customWidth="1"/>
    <col min="12547" max="12547" width="9.140625" style="47"/>
    <col min="12548" max="12548" width="4.5703125" style="47" bestFit="1" customWidth="1"/>
    <col min="12549" max="12549" width="5.140625" style="47" bestFit="1" customWidth="1"/>
    <col min="12550" max="12550" width="2" style="47" bestFit="1" customWidth="1"/>
    <col min="12551" max="12551" width="29" style="47" customWidth="1"/>
    <col min="12552" max="12556" width="0" style="47" hidden="1" customWidth="1"/>
    <col min="12557" max="12557" width="8.7109375" style="47" bestFit="1" customWidth="1"/>
    <col min="12558" max="12558" width="9.140625" style="47"/>
    <col min="12559" max="12562" width="8.7109375" style="47" bestFit="1" customWidth="1"/>
    <col min="12563" max="12563" width="8.5703125" style="47" customWidth="1"/>
    <col min="12564" max="12800" width="9.140625" style="47"/>
    <col min="12801" max="12801" width="5.7109375" style="47" customWidth="1"/>
    <col min="12802" max="12802" width="8" style="47" customWidth="1"/>
    <col min="12803" max="12803" width="9.140625" style="47"/>
    <col min="12804" max="12804" width="4.5703125" style="47" bestFit="1" customWidth="1"/>
    <col min="12805" max="12805" width="5.140625" style="47" bestFit="1" customWidth="1"/>
    <col min="12806" max="12806" width="2" style="47" bestFit="1" customWidth="1"/>
    <col min="12807" max="12807" width="29" style="47" customWidth="1"/>
    <col min="12808" max="12812" width="0" style="47" hidden="1" customWidth="1"/>
    <col min="12813" max="12813" width="8.7109375" style="47" bestFit="1" customWidth="1"/>
    <col min="12814" max="12814" width="9.140625" style="47"/>
    <col min="12815" max="12818" width="8.7109375" style="47" bestFit="1" customWidth="1"/>
    <col min="12819" max="12819" width="8.5703125" style="47" customWidth="1"/>
    <col min="12820" max="13056" width="9.140625" style="47"/>
    <col min="13057" max="13057" width="5.7109375" style="47" customWidth="1"/>
    <col min="13058" max="13058" width="8" style="47" customWidth="1"/>
    <col min="13059" max="13059" width="9.140625" style="47"/>
    <col min="13060" max="13060" width="4.5703125" style="47" bestFit="1" customWidth="1"/>
    <col min="13061" max="13061" width="5.140625" style="47" bestFit="1" customWidth="1"/>
    <col min="13062" max="13062" width="2" style="47" bestFit="1" customWidth="1"/>
    <col min="13063" max="13063" width="29" style="47" customWidth="1"/>
    <col min="13064" max="13068" width="0" style="47" hidden="1" customWidth="1"/>
    <col min="13069" max="13069" width="8.7109375" style="47" bestFit="1" customWidth="1"/>
    <col min="13070" max="13070" width="9.140625" style="47"/>
    <col min="13071" max="13074" width="8.7109375" style="47" bestFit="1" customWidth="1"/>
    <col min="13075" max="13075" width="8.5703125" style="47" customWidth="1"/>
    <col min="13076" max="13312" width="9.140625" style="47"/>
    <col min="13313" max="13313" width="5.7109375" style="47" customWidth="1"/>
    <col min="13314" max="13314" width="8" style="47" customWidth="1"/>
    <col min="13315" max="13315" width="9.140625" style="47"/>
    <col min="13316" max="13316" width="4.5703125" style="47" bestFit="1" customWidth="1"/>
    <col min="13317" max="13317" width="5.140625" style="47" bestFit="1" customWidth="1"/>
    <col min="13318" max="13318" width="2" style="47" bestFit="1" customWidth="1"/>
    <col min="13319" max="13319" width="29" style="47" customWidth="1"/>
    <col min="13320" max="13324" width="0" style="47" hidden="1" customWidth="1"/>
    <col min="13325" max="13325" width="8.7109375" style="47" bestFit="1" customWidth="1"/>
    <col min="13326" max="13326" width="9.140625" style="47"/>
    <col min="13327" max="13330" width="8.7109375" style="47" bestFit="1" customWidth="1"/>
    <col min="13331" max="13331" width="8.5703125" style="47" customWidth="1"/>
    <col min="13332" max="13568" width="9.140625" style="47"/>
    <col min="13569" max="13569" width="5.7109375" style="47" customWidth="1"/>
    <col min="13570" max="13570" width="8" style="47" customWidth="1"/>
    <col min="13571" max="13571" width="9.140625" style="47"/>
    <col min="13572" max="13572" width="4.5703125" style="47" bestFit="1" customWidth="1"/>
    <col min="13573" max="13573" width="5.140625" style="47" bestFit="1" customWidth="1"/>
    <col min="13574" max="13574" width="2" style="47" bestFit="1" customWidth="1"/>
    <col min="13575" max="13575" width="29" style="47" customWidth="1"/>
    <col min="13576" max="13580" width="0" style="47" hidden="1" customWidth="1"/>
    <col min="13581" max="13581" width="8.7109375" style="47" bestFit="1" customWidth="1"/>
    <col min="13582" max="13582" width="9.140625" style="47"/>
    <col min="13583" max="13586" width="8.7109375" style="47" bestFit="1" customWidth="1"/>
    <col min="13587" max="13587" width="8.5703125" style="47" customWidth="1"/>
    <col min="13588" max="13824" width="9.140625" style="47"/>
    <col min="13825" max="13825" width="5.7109375" style="47" customWidth="1"/>
    <col min="13826" max="13826" width="8" style="47" customWidth="1"/>
    <col min="13827" max="13827" width="9.140625" style="47"/>
    <col min="13828" max="13828" width="4.5703125" style="47" bestFit="1" customWidth="1"/>
    <col min="13829" max="13829" width="5.140625" style="47" bestFit="1" customWidth="1"/>
    <col min="13830" max="13830" width="2" style="47" bestFit="1" customWidth="1"/>
    <col min="13831" max="13831" width="29" style="47" customWidth="1"/>
    <col min="13832" max="13836" width="0" style="47" hidden="1" customWidth="1"/>
    <col min="13837" max="13837" width="8.7109375" style="47" bestFit="1" customWidth="1"/>
    <col min="13838" max="13838" width="9.140625" style="47"/>
    <col min="13839" max="13842" width="8.7109375" style="47" bestFit="1" customWidth="1"/>
    <col min="13843" max="13843" width="8.5703125" style="47" customWidth="1"/>
    <col min="13844" max="14080" width="9.140625" style="47"/>
    <col min="14081" max="14081" width="5.7109375" style="47" customWidth="1"/>
    <col min="14082" max="14082" width="8" style="47" customWidth="1"/>
    <col min="14083" max="14083" width="9.140625" style="47"/>
    <col min="14084" max="14084" width="4.5703125" style="47" bestFit="1" customWidth="1"/>
    <col min="14085" max="14085" width="5.140625" style="47" bestFit="1" customWidth="1"/>
    <col min="14086" max="14086" width="2" style="47" bestFit="1" customWidth="1"/>
    <col min="14087" max="14087" width="29" style="47" customWidth="1"/>
    <col min="14088" max="14092" width="0" style="47" hidden="1" customWidth="1"/>
    <col min="14093" max="14093" width="8.7109375" style="47" bestFit="1" customWidth="1"/>
    <col min="14094" max="14094" width="9.140625" style="47"/>
    <col min="14095" max="14098" width="8.7109375" style="47" bestFit="1" customWidth="1"/>
    <col min="14099" max="14099" width="8.5703125" style="47" customWidth="1"/>
    <col min="14100" max="14336" width="9.140625" style="47"/>
    <col min="14337" max="14337" width="5.7109375" style="47" customWidth="1"/>
    <col min="14338" max="14338" width="8" style="47" customWidth="1"/>
    <col min="14339" max="14339" width="9.140625" style="47"/>
    <col min="14340" max="14340" width="4.5703125" style="47" bestFit="1" customWidth="1"/>
    <col min="14341" max="14341" width="5.140625" style="47" bestFit="1" customWidth="1"/>
    <col min="14342" max="14342" width="2" style="47" bestFit="1" customWidth="1"/>
    <col min="14343" max="14343" width="29" style="47" customWidth="1"/>
    <col min="14344" max="14348" width="0" style="47" hidden="1" customWidth="1"/>
    <col min="14349" max="14349" width="8.7109375" style="47" bestFit="1" customWidth="1"/>
    <col min="14350" max="14350" width="9.140625" style="47"/>
    <col min="14351" max="14354" width="8.7109375" style="47" bestFit="1" customWidth="1"/>
    <col min="14355" max="14355" width="8.5703125" style="47" customWidth="1"/>
    <col min="14356" max="14592" width="9.140625" style="47"/>
    <col min="14593" max="14593" width="5.7109375" style="47" customWidth="1"/>
    <col min="14594" max="14594" width="8" style="47" customWidth="1"/>
    <col min="14595" max="14595" width="9.140625" style="47"/>
    <col min="14596" max="14596" width="4.5703125" style="47" bestFit="1" customWidth="1"/>
    <col min="14597" max="14597" width="5.140625" style="47" bestFit="1" customWidth="1"/>
    <col min="14598" max="14598" width="2" style="47" bestFit="1" customWidth="1"/>
    <col min="14599" max="14599" width="29" style="47" customWidth="1"/>
    <col min="14600" max="14604" width="0" style="47" hidden="1" customWidth="1"/>
    <col min="14605" max="14605" width="8.7109375" style="47" bestFit="1" customWidth="1"/>
    <col min="14606" max="14606" width="9.140625" style="47"/>
    <col min="14607" max="14610" width="8.7109375" style="47" bestFit="1" customWidth="1"/>
    <col min="14611" max="14611" width="8.5703125" style="47" customWidth="1"/>
    <col min="14612" max="14848" width="9.140625" style="47"/>
    <col min="14849" max="14849" width="5.7109375" style="47" customWidth="1"/>
    <col min="14850" max="14850" width="8" style="47" customWidth="1"/>
    <col min="14851" max="14851" width="9.140625" style="47"/>
    <col min="14852" max="14852" width="4.5703125" style="47" bestFit="1" customWidth="1"/>
    <col min="14853" max="14853" width="5.140625" style="47" bestFit="1" customWidth="1"/>
    <col min="14854" max="14854" width="2" style="47" bestFit="1" customWidth="1"/>
    <col min="14855" max="14855" width="29" style="47" customWidth="1"/>
    <col min="14856" max="14860" width="0" style="47" hidden="1" customWidth="1"/>
    <col min="14861" max="14861" width="8.7109375" style="47" bestFit="1" customWidth="1"/>
    <col min="14862" max="14862" width="9.140625" style="47"/>
    <col min="14863" max="14866" width="8.7109375" style="47" bestFit="1" customWidth="1"/>
    <col min="14867" max="14867" width="8.5703125" style="47" customWidth="1"/>
    <col min="14868" max="15104" width="9.140625" style="47"/>
    <col min="15105" max="15105" width="5.7109375" style="47" customWidth="1"/>
    <col min="15106" max="15106" width="8" style="47" customWidth="1"/>
    <col min="15107" max="15107" width="9.140625" style="47"/>
    <col min="15108" max="15108" width="4.5703125" style="47" bestFit="1" customWidth="1"/>
    <col min="15109" max="15109" width="5.140625" style="47" bestFit="1" customWidth="1"/>
    <col min="15110" max="15110" width="2" style="47" bestFit="1" customWidth="1"/>
    <col min="15111" max="15111" width="29" style="47" customWidth="1"/>
    <col min="15112" max="15116" width="0" style="47" hidden="1" customWidth="1"/>
    <col min="15117" max="15117" width="8.7109375" style="47" bestFit="1" customWidth="1"/>
    <col min="15118" max="15118" width="9.140625" style="47"/>
    <col min="15119" max="15122" width="8.7109375" style="47" bestFit="1" customWidth="1"/>
    <col min="15123" max="15123" width="8.5703125" style="47" customWidth="1"/>
    <col min="15124" max="15360" width="9.140625" style="47"/>
    <col min="15361" max="15361" width="5.7109375" style="47" customWidth="1"/>
    <col min="15362" max="15362" width="8" style="47" customWidth="1"/>
    <col min="15363" max="15363" width="9.140625" style="47"/>
    <col min="15364" max="15364" width="4.5703125" style="47" bestFit="1" customWidth="1"/>
    <col min="15365" max="15365" width="5.140625" style="47" bestFit="1" customWidth="1"/>
    <col min="15366" max="15366" width="2" style="47" bestFit="1" customWidth="1"/>
    <col min="15367" max="15367" width="29" style="47" customWidth="1"/>
    <col min="15368" max="15372" width="0" style="47" hidden="1" customWidth="1"/>
    <col min="15373" max="15373" width="8.7109375" style="47" bestFit="1" customWidth="1"/>
    <col min="15374" max="15374" width="9.140625" style="47"/>
    <col min="15375" max="15378" width="8.7109375" style="47" bestFit="1" customWidth="1"/>
    <col min="15379" max="15379" width="8.5703125" style="47" customWidth="1"/>
    <col min="15380" max="15616" width="9.140625" style="47"/>
    <col min="15617" max="15617" width="5.7109375" style="47" customWidth="1"/>
    <col min="15618" max="15618" width="8" style="47" customWidth="1"/>
    <col min="15619" max="15619" width="9.140625" style="47"/>
    <col min="15620" max="15620" width="4.5703125" style="47" bestFit="1" customWidth="1"/>
    <col min="15621" max="15621" width="5.140625" style="47" bestFit="1" customWidth="1"/>
    <col min="15622" max="15622" width="2" style="47" bestFit="1" customWidth="1"/>
    <col min="15623" max="15623" width="29" style="47" customWidth="1"/>
    <col min="15624" max="15628" width="0" style="47" hidden="1" customWidth="1"/>
    <col min="15629" max="15629" width="8.7109375" style="47" bestFit="1" customWidth="1"/>
    <col min="15630" max="15630" width="9.140625" style="47"/>
    <col min="15631" max="15634" width="8.7109375" style="47" bestFit="1" customWidth="1"/>
    <col min="15635" max="15635" width="8.5703125" style="47" customWidth="1"/>
    <col min="15636" max="15872" width="9.140625" style="47"/>
    <col min="15873" max="15873" width="5.7109375" style="47" customWidth="1"/>
    <col min="15874" max="15874" width="8" style="47" customWidth="1"/>
    <col min="15875" max="15875" width="9.140625" style="47"/>
    <col min="15876" max="15876" width="4.5703125" style="47" bestFit="1" customWidth="1"/>
    <col min="15877" max="15877" width="5.140625" style="47" bestFit="1" customWidth="1"/>
    <col min="15878" max="15878" width="2" style="47" bestFit="1" customWidth="1"/>
    <col min="15879" max="15879" width="29" style="47" customWidth="1"/>
    <col min="15880" max="15884" width="0" style="47" hidden="1" customWidth="1"/>
    <col min="15885" max="15885" width="8.7109375" style="47" bestFit="1" customWidth="1"/>
    <col min="15886" max="15886" width="9.140625" style="47"/>
    <col min="15887" max="15890" width="8.7109375" style="47" bestFit="1" customWidth="1"/>
    <col min="15891" max="15891" width="8.5703125" style="47" customWidth="1"/>
    <col min="15892" max="16128" width="9.140625" style="47"/>
    <col min="16129" max="16129" width="5.7109375" style="47" customWidth="1"/>
    <col min="16130" max="16130" width="8" style="47" customWidth="1"/>
    <col min="16131" max="16131" width="9.140625" style="47"/>
    <col min="16132" max="16132" width="4.5703125" style="47" bestFit="1" customWidth="1"/>
    <col min="16133" max="16133" width="5.140625" style="47" bestFit="1" customWidth="1"/>
    <col min="16134" max="16134" width="2" style="47" bestFit="1" customWidth="1"/>
    <col min="16135" max="16135" width="29" style="47" customWidth="1"/>
    <col min="16136" max="16140" width="0" style="47" hidden="1" customWidth="1"/>
    <col min="16141" max="16141" width="8.7109375" style="47" bestFit="1" customWidth="1"/>
    <col min="16142" max="16142" width="9.140625" style="47"/>
    <col min="16143" max="16146" width="8.7109375" style="47" bestFit="1" customWidth="1"/>
    <col min="16147" max="16147" width="8.5703125" style="47" customWidth="1"/>
    <col min="16148" max="16384" width="9.140625" style="47"/>
  </cols>
  <sheetData>
    <row r="1" spans="1:19" x14ac:dyDescent="0.2">
      <c r="A1" s="1"/>
      <c r="B1" s="2"/>
      <c r="C1" s="3"/>
      <c r="D1" s="3"/>
      <c r="E1" s="1"/>
      <c r="F1" s="1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</row>
    <row r="2" spans="1:19" x14ac:dyDescent="0.2">
      <c r="A2" s="3" t="s">
        <v>0</v>
      </c>
      <c r="B2" s="5" t="s">
        <v>1</v>
      </c>
      <c r="C2" s="3" t="s">
        <v>2</v>
      </c>
      <c r="D2" s="3"/>
      <c r="E2" s="1" t="s">
        <v>3</v>
      </c>
      <c r="F2" s="1"/>
      <c r="G2" s="49" t="s">
        <v>577</v>
      </c>
      <c r="H2" s="50"/>
      <c r="I2" s="51"/>
      <c r="J2" s="52"/>
      <c r="K2" s="50"/>
      <c r="L2" s="52"/>
      <c r="M2" s="71" t="s">
        <v>366</v>
      </c>
      <c r="N2" s="122" t="s">
        <v>578</v>
      </c>
      <c r="O2" s="72"/>
      <c r="P2" s="72"/>
      <c r="Q2" s="72"/>
      <c r="R2" s="73"/>
    </row>
    <row r="3" spans="1:19" x14ac:dyDescent="0.2">
      <c r="A3" s="1"/>
      <c r="B3" s="6"/>
      <c r="C3" s="3"/>
      <c r="D3" s="3"/>
      <c r="E3" s="1"/>
      <c r="F3" s="1"/>
      <c r="G3" s="53" t="s">
        <v>4</v>
      </c>
      <c r="H3" s="54">
        <v>40908</v>
      </c>
      <c r="I3" s="54">
        <v>41274</v>
      </c>
      <c r="J3" s="54">
        <v>41639</v>
      </c>
      <c r="K3" s="54">
        <v>42004</v>
      </c>
      <c r="L3" s="54">
        <v>42369</v>
      </c>
      <c r="M3" s="54">
        <v>42735</v>
      </c>
      <c r="N3" s="54">
        <v>43100</v>
      </c>
      <c r="O3" s="54">
        <v>43465</v>
      </c>
      <c r="P3" s="54">
        <v>43830</v>
      </c>
      <c r="Q3" s="54">
        <v>44196</v>
      </c>
      <c r="R3" s="54">
        <v>44561</v>
      </c>
      <c r="S3" s="54">
        <v>44926</v>
      </c>
    </row>
    <row r="4" spans="1:19" x14ac:dyDescent="0.2">
      <c r="A4" s="7"/>
      <c r="B4" s="2" t="s">
        <v>5</v>
      </c>
      <c r="C4" s="3">
        <v>1</v>
      </c>
      <c r="D4" s="3"/>
      <c r="E4" s="5"/>
      <c r="F4" s="7"/>
      <c r="G4" s="55" t="s">
        <v>6</v>
      </c>
      <c r="H4" s="56">
        <f t="shared" ref="H4:S4" si="0">H5+H10</f>
        <v>3565.337</v>
      </c>
      <c r="I4" s="56">
        <f t="shared" si="0"/>
        <v>3769.3260000000005</v>
      </c>
      <c r="J4" s="56">
        <f t="shared" si="0"/>
        <v>3769.5439999999999</v>
      </c>
      <c r="K4" s="56">
        <f t="shared" si="0"/>
        <v>4071.5149999999999</v>
      </c>
      <c r="L4" s="56">
        <f t="shared" si="0"/>
        <v>4008.7909999999997</v>
      </c>
      <c r="M4" s="56">
        <f t="shared" si="0"/>
        <v>4137.3410000000003</v>
      </c>
      <c r="N4" s="56">
        <f t="shared" si="0"/>
        <v>4513.7859999999991</v>
      </c>
      <c r="O4" s="56">
        <f t="shared" si="0"/>
        <v>4550</v>
      </c>
      <c r="P4" s="56">
        <f t="shared" si="0"/>
        <v>4571</v>
      </c>
      <c r="Q4" s="56">
        <f t="shared" si="0"/>
        <v>4576</v>
      </c>
      <c r="R4" s="56">
        <f t="shared" si="0"/>
        <v>4574</v>
      </c>
      <c r="S4" s="56">
        <f t="shared" si="0"/>
        <v>4596</v>
      </c>
    </row>
    <row r="5" spans="1:19" x14ac:dyDescent="0.2">
      <c r="A5" s="8"/>
      <c r="B5" s="2" t="s">
        <v>7</v>
      </c>
      <c r="C5" s="3">
        <v>10</v>
      </c>
      <c r="D5" s="3"/>
      <c r="E5" s="9"/>
      <c r="G5" s="57" t="s">
        <v>8</v>
      </c>
      <c r="H5" s="56">
        <f t="shared" ref="H5:R5" si="1">SUM(H6:H9)</f>
        <v>319.2</v>
      </c>
      <c r="I5" s="56">
        <f t="shared" si="1"/>
        <v>109.09399999999999</v>
      </c>
      <c r="J5" s="56">
        <f t="shared" si="1"/>
        <v>93.384</v>
      </c>
      <c r="K5" s="56">
        <f t="shared" si="1"/>
        <v>212.14100000000002</v>
      </c>
      <c r="L5" s="56">
        <f t="shared" si="1"/>
        <v>107.04599999999999</v>
      </c>
      <c r="M5" s="56">
        <f t="shared" si="1"/>
        <v>152.45400000000001</v>
      </c>
      <c r="N5" s="56">
        <f t="shared" si="1"/>
        <v>158.98500000000001</v>
      </c>
      <c r="O5" s="56">
        <f t="shared" si="1"/>
        <v>163</v>
      </c>
      <c r="P5" s="56">
        <f t="shared" si="1"/>
        <v>164</v>
      </c>
      <c r="Q5" s="56">
        <f t="shared" si="1"/>
        <v>179</v>
      </c>
      <c r="R5" s="56">
        <f t="shared" si="1"/>
        <v>162</v>
      </c>
      <c r="S5" s="56">
        <f>SUM(S6:S9)</f>
        <v>181</v>
      </c>
    </row>
    <row r="6" spans="1:19" ht="12" x14ac:dyDescent="0.2">
      <c r="A6" s="8"/>
      <c r="B6" s="2" t="s">
        <v>9</v>
      </c>
      <c r="C6" s="10" t="s">
        <v>10</v>
      </c>
      <c r="D6" s="10"/>
      <c r="E6" s="11" t="s">
        <v>11</v>
      </c>
      <c r="G6" s="57" t="s">
        <v>12</v>
      </c>
      <c r="H6" s="58">
        <v>256.60399999999998</v>
      </c>
      <c r="I6" s="58">
        <v>32.432000000000002</v>
      </c>
      <c r="J6" s="58">
        <v>12.24</v>
      </c>
      <c r="K6" s="58">
        <v>114.276</v>
      </c>
      <c r="L6" s="58">
        <v>19.794</v>
      </c>
      <c r="M6" s="58">
        <v>50.692</v>
      </c>
      <c r="N6" s="76">
        <v>16.814</v>
      </c>
      <c r="O6" s="76">
        <v>33</v>
      </c>
      <c r="P6" s="76">
        <v>31</v>
      </c>
      <c r="Q6" s="76">
        <v>39</v>
      </c>
      <c r="R6" s="76">
        <v>40</v>
      </c>
      <c r="S6" s="58">
        <v>44</v>
      </c>
    </row>
    <row r="7" spans="1:19" ht="12" x14ac:dyDescent="0.2">
      <c r="A7" s="8"/>
      <c r="B7" s="2" t="s">
        <v>13</v>
      </c>
      <c r="C7" s="10" t="s">
        <v>14</v>
      </c>
      <c r="D7" s="10"/>
      <c r="E7" s="11" t="s">
        <v>11</v>
      </c>
      <c r="G7" s="57" t="s">
        <v>15</v>
      </c>
      <c r="H7" s="58">
        <v>24.736999999999998</v>
      </c>
      <c r="I7" s="58">
        <v>15.909000000000001</v>
      </c>
      <c r="J7" s="58">
        <v>27.055</v>
      </c>
      <c r="K7" s="58">
        <v>45.545999999999999</v>
      </c>
      <c r="L7" s="58">
        <v>37.238999999999997</v>
      </c>
      <c r="M7" s="58">
        <v>39.988999999999997</v>
      </c>
      <c r="N7" s="76">
        <v>65.466999999999999</v>
      </c>
      <c r="O7" s="76">
        <v>57</v>
      </c>
      <c r="P7" s="76">
        <v>62</v>
      </c>
      <c r="Q7" s="76">
        <v>65</v>
      </c>
      <c r="R7" s="76">
        <v>60</v>
      </c>
      <c r="S7" s="58">
        <v>63</v>
      </c>
    </row>
    <row r="8" spans="1:19" ht="12" x14ac:dyDescent="0.2">
      <c r="A8" s="8"/>
      <c r="B8" s="2" t="s">
        <v>16</v>
      </c>
      <c r="C8" s="10" t="s">
        <v>17</v>
      </c>
      <c r="D8" s="10"/>
      <c r="E8" s="11" t="s">
        <v>11</v>
      </c>
      <c r="G8" s="57" t="s">
        <v>18</v>
      </c>
      <c r="H8" s="58">
        <v>0</v>
      </c>
      <c r="I8" s="58">
        <v>0</v>
      </c>
      <c r="J8" s="58">
        <v>0</v>
      </c>
      <c r="K8" s="58">
        <v>0</v>
      </c>
      <c r="L8" s="58">
        <v>0</v>
      </c>
      <c r="M8" s="58">
        <v>0</v>
      </c>
      <c r="N8" s="76">
        <v>0</v>
      </c>
      <c r="O8" s="76">
        <v>0</v>
      </c>
      <c r="P8" s="76">
        <v>0</v>
      </c>
      <c r="Q8" s="76">
        <v>0</v>
      </c>
      <c r="R8" s="76">
        <v>0</v>
      </c>
      <c r="S8" s="58">
        <v>0</v>
      </c>
    </row>
    <row r="9" spans="1:19" x14ac:dyDescent="0.2">
      <c r="A9" s="8"/>
      <c r="B9" s="2" t="s">
        <v>19</v>
      </c>
      <c r="C9" s="10">
        <v>108</v>
      </c>
      <c r="D9" s="10"/>
      <c r="E9" s="12"/>
      <c r="G9" s="57" t="s">
        <v>20</v>
      </c>
      <c r="H9" s="58">
        <v>37.859000000000002</v>
      </c>
      <c r="I9" s="58">
        <v>60.753</v>
      </c>
      <c r="J9" s="58">
        <v>54.088999999999999</v>
      </c>
      <c r="K9" s="58">
        <v>52.319000000000003</v>
      </c>
      <c r="L9" s="58">
        <v>50.012999999999998</v>
      </c>
      <c r="M9" s="58">
        <v>61.773000000000003</v>
      </c>
      <c r="N9" s="76">
        <v>76.703999999999994</v>
      </c>
      <c r="O9" s="76">
        <v>73</v>
      </c>
      <c r="P9" s="76">
        <v>71</v>
      </c>
      <c r="Q9" s="76">
        <v>75</v>
      </c>
      <c r="R9" s="76">
        <v>62</v>
      </c>
      <c r="S9" s="58">
        <v>74</v>
      </c>
    </row>
    <row r="10" spans="1:19" x14ac:dyDescent="0.2">
      <c r="A10" s="13"/>
      <c r="B10" s="2" t="s">
        <v>21</v>
      </c>
      <c r="C10" s="14">
        <v>15</v>
      </c>
      <c r="D10" s="14"/>
      <c r="E10" s="12"/>
      <c r="F10" s="13"/>
      <c r="G10" s="57" t="s">
        <v>22</v>
      </c>
      <c r="H10" s="56">
        <f t="shared" ref="H10:S10" si="2">SUM(H11:H16)</f>
        <v>3246.1370000000002</v>
      </c>
      <c r="I10" s="56">
        <f t="shared" si="2"/>
        <v>3660.2320000000004</v>
      </c>
      <c r="J10" s="56">
        <f t="shared" si="2"/>
        <v>3676.16</v>
      </c>
      <c r="K10" s="56">
        <f t="shared" si="2"/>
        <v>3859.3739999999998</v>
      </c>
      <c r="L10" s="56">
        <f t="shared" si="2"/>
        <v>3901.7449999999999</v>
      </c>
      <c r="M10" s="56">
        <f t="shared" si="2"/>
        <v>3984.8870000000002</v>
      </c>
      <c r="N10" s="77">
        <f t="shared" si="2"/>
        <v>4354.8009999999995</v>
      </c>
      <c r="O10" s="77">
        <f>SUM(O11:O16)</f>
        <v>4387</v>
      </c>
      <c r="P10" s="77">
        <f t="shared" si="2"/>
        <v>4407</v>
      </c>
      <c r="Q10" s="77">
        <f t="shared" si="2"/>
        <v>4397</v>
      </c>
      <c r="R10" s="77">
        <f t="shared" si="2"/>
        <v>4412</v>
      </c>
      <c r="S10" s="56">
        <f t="shared" si="2"/>
        <v>4415</v>
      </c>
    </row>
    <row r="11" spans="1:19" ht="12" x14ac:dyDescent="0.2">
      <c r="A11" s="13"/>
      <c r="B11" s="2" t="s">
        <v>23</v>
      </c>
      <c r="C11" s="14">
        <v>150</v>
      </c>
      <c r="D11" s="14"/>
      <c r="E11" s="11" t="s">
        <v>11</v>
      </c>
      <c r="F11" s="13"/>
      <c r="G11" s="57" t="s">
        <v>24</v>
      </c>
      <c r="H11" s="58">
        <v>0</v>
      </c>
      <c r="I11" s="58">
        <v>0</v>
      </c>
      <c r="J11" s="58">
        <v>0</v>
      </c>
      <c r="K11" s="58">
        <v>0</v>
      </c>
      <c r="L11" s="58">
        <v>0</v>
      </c>
      <c r="M11" s="58">
        <v>0</v>
      </c>
      <c r="N11" s="76">
        <v>0</v>
      </c>
      <c r="O11" s="76">
        <v>0</v>
      </c>
      <c r="P11" s="76">
        <v>0</v>
      </c>
      <c r="Q11" s="76">
        <v>0</v>
      </c>
      <c r="R11" s="76">
        <v>0</v>
      </c>
      <c r="S11" s="58">
        <v>0</v>
      </c>
    </row>
    <row r="12" spans="1:19" ht="12" x14ac:dyDescent="0.2">
      <c r="A12" s="13"/>
      <c r="B12" s="2" t="s">
        <v>25</v>
      </c>
      <c r="C12" s="14">
        <v>151</v>
      </c>
      <c r="D12" s="14"/>
      <c r="E12" s="11" t="s">
        <v>11</v>
      </c>
      <c r="F12" s="13"/>
      <c r="G12" s="57" t="s">
        <v>26</v>
      </c>
      <c r="H12" s="58">
        <v>0</v>
      </c>
      <c r="I12" s="58">
        <v>0</v>
      </c>
      <c r="J12" s="58">
        <v>0</v>
      </c>
      <c r="K12" s="58">
        <v>0</v>
      </c>
      <c r="L12" s="58">
        <v>0</v>
      </c>
      <c r="M12" s="58">
        <v>0</v>
      </c>
      <c r="N12" s="76">
        <v>0</v>
      </c>
      <c r="O12" s="76">
        <v>0</v>
      </c>
      <c r="P12" s="76">
        <v>0</v>
      </c>
      <c r="Q12" s="76">
        <v>0</v>
      </c>
      <c r="R12" s="76">
        <v>0</v>
      </c>
      <c r="S12" s="58">
        <v>0</v>
      </c>
    </row>
    <row r="13" spans="1:19" ht="12" x14ac:dyDescent="0.2">
      <c r="A13" s="8"/>
      <c r="B13" s="2" t="s">
        <v>27</v>
      </c>
      <c r="C13" s="10" t="s">
        <v>28</v>
      </c>
      <c r="D13" s="10"/>
      <c r="E13" s="11" t="s">
        <v>11</v>
      </c>
      <c r="G13" s="57" t="s">
        <v>29</v>
      </c>
      <c r="H13" s="58">
        <v>0</v>
      </c>
      <c r="I13" s="58">
        <v>0</v>
      </c>
      <c r="J13" s="58">
        <v>0</v>
      </c>
      <c r="K13" s="58">
        <v>0</v>
      </c>
      <c r="L13" s="58">
        <v>0</v>
      </c>
      <c r="M13" s="58">
        <v>0</v>
      </c>
      <c r="N13" s="76">
        <v>0</v>
      </c>
      <c r="O13" s="76">
        <v>0</v>
      </c>
      <c r="P13" s="76">
        <v>0</v>
      </c>
      <c r="Q13" s="76">
        <v>0</v>
      </c>
      <c r="R13" s="76">
        <v>0</v>
      </c>
      <c r="S13" s="58">
        <v>0</v>
      </c>
    </row>
    <row r="14" spans="1:19" ht="12" x14ac:dyDescent="0.2">
      <c r="A14" s="8"/>
      <c r="B14" s="2" t="s">
        <v>30</v>
      </c>
      <c r="C14" s="10">
        <v>154</v>
      </c>
      <c r="D14" s="10"/>
      <c r="E14" s="11" t="s">
        <v>11</v>
      </c>
      <c r="G14" s="57" t="s">
        <v>31</v>
      </c>
      <c r="H14" s="58">
        <v>1.55</v>
      </c>
      <c r="I14" s="58">
        <v>1.512</v>
      </c>
      <c r="J14" s="58">
        <v>1.4730000000000001</v>
      </c>
      <c r="K14" s="58">
        <v>1.4350000000000001</v>
      </c>
      <c r="L14" s="58">
        <v>1.3959999999999999</v>
      </c>
      <c r="M14" s="58">
        <v>1.3580000000000001</v>
      </c>
      <c r="N14" s="76">
        <v>1.32</v>
      </c>
      <c r="O14" s="76">
        <v>1</v>
      </c>
      <c r="P14" s="76">
        <v>1</v>
      </c>
      <c r="Q14" s="76">
        <v>1</v>
      </c>
      <c r="R14" s="76">
        <v>1</v>
      </c>
      <c r="S14" s="58">
        <v>1</v>
      </c>
    </row>
    <row r="15" spans="1:19" ht="12" x14ac:dyDescent="0.2">
      <c r="A15" s="8"/>
      <c r="B15" s="2" t="s">
        <v>32</v>
      </c>
      <c r="C15" s="10" t="s">
        <v>33</v>
      </c>
      <c r="D15" s="10"/>
      <c r="E15" s="11" t="s">
        <v>11</v>
      </c>
      <c r="G15" s="57" t="s">
        <v>34</v>
      </c>
      <c r="H15" s="58">
        <v>3242.0309999999999</v>
      </c>
      <c r="I15" s="58">
        <v>3654.1640000000002</v>
      </c>
      <c r="J15" s="58">
        <v>3668.931</v>
      </c>
      <c r="K15" s="58">
        <v>3850.8829999999998</v>
      </c>
      <c r="L15" s="58">
        <v>3894.5709999999999</v>
      </c>
      <c r="M15" s="58">
        <v>3977.2089999999998</v>
      </c>
      <c r="N15" s="76">
        <v>4347.1610000000001</v>
      </c>
      <c r="O15" s="76">
        <v>4380</v>
      </c>
      <c r="P15" s="76">
        <v>4400</v>
      </c>
      <c r="Q15" s="76">
        <v>4390</v>
      </c>
      <c r="R15" s="76">
        <v>4405</v>
      </c>
      <c r="S15" s="58">
        <v>4408</v>
      </c>
    </row>
    <row r="16" spans="1:19" ht="12" x14ac:dyDescent="0.2">
      <c r="A16" s="8"/>
      <c r="B16" s="2" t="s">
        <v>35</v>
      </c>
      <c r="C16" s="10">
        <v>157</v>
      </c>
      <c r="D16" s="10"/>
      <c r="E16" s="11" t="s">
        <v>11</v>
      </c>
      <c r="G16" s="57" t="s">
        <v>36</v>
      </c>
      <c r="H16" s="58">
        <v>2.556</v>
      </c>
      <c r="I16" s="58">
        <v>4.556</v>
      </c>
      <c r="J16" s="58">
        <v>5.7560000000000002</v>
      </c>
      <c r="K16" s="58">
        <v>7.056</v>
      </c>
      <c r="L16" s="58">
        <v>5.7779999999999996</v>
      </c>
      <c r="M16" s="58">
        <v>6.32</v>
      </c>
      <c r="N16" s="76">
        <v>6.32</v>
      </c>
      <c r="O16" s="76">
        <v>6</v>
      </c>
      <c r="P16" s="76">
        <v>6</v>
      </c>
      <c r="Q16" s="76">
        <v>6</v>
      </c>
      <c r="R16" s="76">
        <v>6</v>
      </c>
      <c r="S16" s="58">
        <v>6</v>
      </c>
    </row>
    <row r="17" spans="1:19" ht="12" x14ac:dyDescent="0.2">
      <c r="A17" s="15"/>
      <c r="B17" s="2" t="s">
        <v>37</v>
      </c>
      <c r="C17" s="78" t="s">
        <v>38</v>
      </c>
      <c r="D17" s="15"/>
      <c r="E17" s="11" t="s">
        <v>11</v>
      </c>
      <c r="F17" s="16"/>
      <c r="G17" s="59" t="s">
        <v>39</v>
      </c>
      <c r="H17" s="60">
        <v>0</v>
      </c>
      <c r="I17" s="60">
        <v>0</v>
      </c>
      <c r="J17" s="60">
        <v>0</v>
      </c>
      <c r="K17" s="60">
        <v>0</v>
      </c>
      <c r="L17" s="60">
        <v>0</v>
      </c>
      <c r="M17" s="60">
        <v>0</v>
      </c>
      <c r="N17" s="80">
        <v>0</v>
      </c>
      <c r="O17" s="80">
        <v>0</v>
      </c>
      <c r="P17" s="80">
        <v>0</v>
      </c>
      <c r="Q17" s="80">
        <v>0</v>
      </c>
      <c r="R17" s="80">
        <v>0</v>
      </c>
      <c r="S17" s="60">
        <v>0</v>
      </c>
    </row>
    <row r="18" spans="1:19" x14ac:dyDescent="0.2">
      <c r="A18" s="8"/>
      <c r="B18" s="2" t="s">
        <v>40</v>
      </c>
      <c r="C18" s="10">
        <v>2</v>
      </c>
      <c r="D18" s="10"/>
      <c r="E18" s="12"/>
      <c r="G18" s="57" t="s">
        <v>41</v>
      </c>
      <c r="H18" s="56">
        <f t="shared" ref="H18:S18" si="3">H19+H27</f>
        <v>3565.3379999999997</v>
      </c>
      <c r="I18" s="56">
        <f t="shared" si="3"/>
        <v>3769.326</v>
      </c>
      <c r="J18" s="56">
        <f t="shared" si="3"/>
        <v>3769.5450000000001</v>
      </c>
      <c r="K18" s="56">
        <f t="shared" si="3"/>
        <v>4071.5160000000001</v>
      </c>
      <c r="L18" s="56">
        <f t="shared" si="3"/>
        <v>4008.7919999999999</v>
      </c>
      <c r="M18" s="56">
        <f t="shared" si="3"/>
        <v>4137.3420000000006</v>
      </c>
      <c r="N18" s="77">
        <f t="shared" si="3"/>
        <v>4513.7889999999998</v>
      </c>
      <c r="O18" s="77">
        <f t="shared" si="3"/>
        <v>4549.6610000000001</v>
      </c>
      <c r="P18" s="77">
        <f t="shared" si="3"/>
        <v>4570.6610000000001</v>
      </c>
      <c r="Q18" s="77">
        <f t="shared" si="3"/>
        <v>4575.6610000000001</v>
      </c>
      <c r="R18" s="77">
        <f t="shared" si="3"/>
        <v>4573.6610000000001</v>
      </c>
      <c r="S18" s="56">
        <f t="shared" si="3"/>
        <v>4595.6610000000001</v>
      </c>
    </row>
    <row r="19" spans="1:19" x14ac:dyDescent="0.2">
      <c r="A19" s="8"/>
      <c r="B19" s="2" t="s">
        <v>42</v>
      </c>
      <c r="C19" s="10" t="s">
        <v>43</v>
      </c>
      <c r="D19" s="10"/>
      <c r="E19" s="12"/>
      <c r="G19" s="57" t="s">
        <v>44</v>
      </c>
      <c r="H19" s="56">
        <f t="shared" ref="H19:S19" si="4">SUM(H21:H26)</f>
        <v>898.50399999999991</v>
      </c>
      <c r="I19" s="56">
        <f t="shared" si="4"/>
        <v>786.36500000000001</v>
      </c>
      <c r="J19" s="56">
        <f t="shared" si="4"/>
        <v>681.64400000000001</v>
      </c>
      <c r="K19" s="56">
        <f t="shared" si="4"/>
        <v>651.82799999999997</v>
      </c>
      <c r="L19" s="56">
        <f t="shared" si="4"/>
        <v>446.08199999999999</v>
      </c>
      <c r="M19" s="56">
        <f t="shared" si="4"/>
        <v>434.19600000000003</v>
      </c>
      <c r="N19" s="77">
        <f t="shared" si="4"/>
        <v>566.12799999999993</v>
      </c>
      <c r="O19" s="77">
        <f t="shared" si="4"/>
        <v>468</v>
      </c>
      <c r="P19" s="77">
        <f t="shared" si="4"/>
        <v>374</v>
      </c>
      <c r="Q19" s="77">
        <f t="shared" si="4"/>
        <v>271</v>
      </c>
      <c r="R19" s="77">
        <f t="shared" si="4"/>
        <v>175</v>
      </c>
      <c r="S19" s="56">
        <f t="shared" si="4"/>
        <v>102</v>
      </c>
    </row>
    <row r="20" spans="1:19" ht="12" x14ac:dyDescent="0.2">
      <c r="A20" s="17"/>
      <c r="B20" s="2" t="s">
        <v>45</v>
      </c>
      <c r="C20" s="78" t="s">
        <v>46</v>
      </c>
      <c r="D20" s="15"/>
      <c r="E20" s="11" t="s">
        <v>11</v>
      </c>
      <c r="F20" s="17"/>
      <c r="G20" s="59" t="s">
        <v>47</v>
      </c>
      <c r="H20" s="61">
        <v>420.19099999999997</v>
      </c>
      <c r="I20" s="61">
        <v>247.57599999999999</v>
      </c>
      <c r="J20" s="61">
        <v>262.45100000000002</v>
      </c>
      <c r="K20" s="61">
        <v>323.19799999999998</v>
      </c>
      <c r="L20" s="61">
        <v>167.37100000000001</v>
      </c>
      <c r="M20" s="61">
        <v>205.40299999999999</v>
      </c>
      <c r="N20" s="82">
        <v>387.25400000000002</v>
      </c>
      <c r="O20" s="82">
        <v>339</v>
      </c>
      <c r="P20" s="82">
        <v>295</v>
      </c>
      <c r="Q20" s="82">
        <v>242</v>
      </c>
      <c r="R20" s="82">
        <v>196</v>
      </c>
      <c r="S20" s="61">
        <v>102</v>
      </c>
    </row>
    <row r="21" spans="1:19" ht="12" x14ac:dyDescent="0.2">
      <c r="A21" s="8"/>
      <c r="B21" s="2" t="s">
        <v>48</v>
      </c>
      <c r="C21" s="18" t="s">
        <v>49</v>
      </c>
      <c r="D21" s="18"/>
      <c r="E21" s="11" t="s">
        <v>11</v>
      </c>
      <c r="G21" s="57" t="s">
        <v>50</v>
      </c>
      <c r="H21" s="58">
        <f>35.82+34.524+299.929</f>
        <v>370.27299999999997</v>
      </c>
      <c r="I21" s="58">
        <f>38.581+43.406+45.993</f>
        <v>127.97999999999999</v>
      </c>
      <c r="J21" s="58">
        <f>60.252+32.972+49.631</f>
        <v>142.85500000000002</v>
      </c>
      <c r="K21" s="58">
        <f>41.181+37.386+154.068</f>
        <v>232.63500000000002</v>
      </c>
      <c r="L21" s="58">
        <f>21.765+36.438+59.25</f>
        <v>117.453</v>
      </c>
      <c r="M21" s="58">
        <f>33.901+34.818+86.766</f>
        <v>155.48500000000001</v>
      </c>
      <c r="N21" s="76">
        <f>180.352+36.725+120.258</f>
        <v>337.33499999999998</v>
      </c>
      <c r="O21" s="76">
        <v>289</v>
      </c>
      <c r="P21" s="76">
        <v>245</v>
      </c>
      <c r="Q21" s="76">
        <v>192</v>
      </c>
      <c r="R21" s="76">
        <v>146</v>
      </c>
      <c r="S21" s="58">
        <v>102</v>
      </c>
    </row>
    <row r="22" spans="1:19" ht="12" x14ac:dyDescent="0.2">
      <c r="A22" s="8"/>
      <c r="B22" s="2" t="s">
        <v>51</v>
      </c>
      <c r="C22" s="10" t="s">
        <v>52</v>
      </c>
      <c r="D22" s="10"/>
      <c r="E22" s="11" t="s">
        <v>11</v>
      </c>
      <c r="G22" s="57" t="s">
        <v>53</v>
      </c>
      <c r="H22" s="58">
        <v>0</v>
      </c>
      <c r="I22" s="58">
        <v>0</v>
      </c>
      <c r="J22" s="58">
        <v>0</v>
      </c>
      <c r="K22" s="58">
        <v>0</v>
      </c>
      <c r="L22" s="58">
        <v>0</v>
      </c>
      <c r="M22" s="58">
        <v>0</v>
      </c>
      <c r="N22" s="76">
        <v>0</v>
      </c>
      <c r="O22" s="76">
        <v>0</v>
      </c>
      <c r="P22" s="76">
        <v>0</v>
      </c>
      <c r="Q22" s="76">
        <v>0</v>
      </c>
      <c r="R22" s="76">
        <v>0</v>
      </c>
      <c r="S22" s="58">
        <v>0</v>
      </c>
    </row>
    <row r="23" spans="1:19" ht="12" x14ac:dyDescent="0.2">
      <c r="A23" s="8"/>
      <c r="B23" s="2" t="s">
        <v>54</v>
      </c>
      <c r="C23" s="10">
        <v>257</v>
      </c>
      <c r="D23" s="10"/>
      <c r="E23" s="11" t="s">
        <v>11</v>
      </c>
      <c r="G23" s="57" t="s">
        <v>55</v>
      </c>
      <c r="H23" s="58">
        <v>0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76">
        <v>0</v>
      </c>
      <c r="O23" s="76">
        <v>0</v>
      </c>
      <c r="P23" s="76">
        <v>0</v>
      </c>
      <c r="Q23" s="76">
        <v>0</v>
      </c>
      <c r="R23" s="76">
        <v>0</v>
      </c>
      <c r="S23" s="58">
        <v>0</v>
      </c>
    </row>
    <row r="24" spans="1:19" ht="12" x14ac:dyDescent="0.2">
      <c r="A24" s="19"/>
      <c r="B24" s="2" t="s">
        <v>56</v>
      </c>
      <c r="C24" s="10" t="s">
        <v>57</v>
      </c>
      <c r="D24" s="10"/>
      <c r="E24" s="11" t="s">
        <v>11</v>
      </c>
      <c r="F24" s="19"/>
      <c r="G24" s="57" t="s">
        <v>58</v>
      </c>
      <c r="H24" s="58">
        <f>49.918+478.313</f>
        <v>528.23099999999999</v>
      </c>
      <c r="I24" s="58">
        <f>119.596+538.789</f>
        <v>658.38499999999999</v>
      </c>
      <c r="J24" s="58">
        <f>119.596+419.193</f>
        <v>538.78899999999999</v>
      </c>
      <c r="K24" s="58">
        <f>90.564+328.629</f>
        <v>419.19299999999998</v>
      </c>
      <c r="L24" s="58">
        <f>49.918+278.711</f>
        <v>328.62900000000002</v>
      </c>
      <c r="M24" s="58">
        <v>278.71100000000001</v>
      </c>
      <c r="N24" s="76">
        <v>228.79300000000001</v>
      </c>
      <c r="O24" s="76">
        <v>179</v>
      </c>
      <c r="P24" s="76">
        <v>129</v>
      </c>
      <c r="Q24" s="76">
        <v>79</v>
      </c>
      <c r="R24" s="76">
        <v>29</v>
      </c>
      <c r="S24" s="58">
        <v>0</v>
      </c>
    </row>
    <row r="25" spans="1:19" ht="12" x14ac:dyDescent="0.2">
      <c r="A25" s="19"/>
      <c r="B25" s="2" t="s">
        <v>59</v>
      </c>
      <c r="C25" s="10" t="s">
        <v>60</v>
      </c>
      <c r="D25" s="10"/>
      <c r="E25" s="11" t="s">
        <v>11</v>
      </c>
      <c r="F25" s="19"/>
      <c r="G25" s="57" t="s">
        <v>61</v>
      </c>
      <c r="H25" s="58">
        <v>0</v>
      </c>
      <c r="I25" s="58">
        <v>0</v>
      </c>
      <c r="J25" s="58">
        <v>0</v>
      </c>
      <c r="K25" s="58">
        <v>0</v>
      </c>
      <c r="L25" s="58">
        <v>0</v>
      </c>
      <c r="M25" s="58">
        <v>0</v>
      </c>
      <c r="N25" s="76">
        <v>0</v>
      </c>
      <c r="O25" s="76">
        <v>0</v>
      </c>
      <c r="P25" s="76">
        <v>0</v>
      </c>
      <c r="Q25" s="76">
        <v>0</v>
      </c>
      <c r="R25" s="76">
        <v>0</v>
      </c>
      <c r="S25" s="58">
        <v>0</v>
      </c>
    </row>
    <row r="26" spans="1:19" ht="12" x14ac:dyDescent="0.2">
      <c r="A26" s="8"/>
      <c r="B26" s="2" t="s">
        <v>62</v>
      </c>
      <c r="C26" s="10">
        <v>28</v>
      </c>
      <c r="D26" s="10"/>
      <c r="E26" s="11" t="s">
        <v>11</v>
      </c>
      <c r="G26" s="57" t="s">
        <v>63</v>
      </c>
      <c r="H26" s="58">
        <v>0</v>
      </c>
      <c r="I26" s="58">
        <v>0</v>
      </c>
      <c r="J26" s="58">
        <v>0</v>
      </c>
      <c r="K26" s="58">
        <v>0</v>
      </c>
      <c r="L26" s="58">
        <v>0</v>
      </c>
      <c r="M26" s="58">
        <v>0</v>
      </c>
      <c r="N26" s="76">
        <v>0</v>
      </c>
      <c r="O26" s="76">
        <v>0</v>
      </c>
      <c r="P26" s="76">
        <v>0</v>
      </c>
      <c r="Q26" s="76">
        <v>0</v>
      </c>
      <c r="R26" s="76">
        <v>0</v>
      </c>
      <c r="S26" s="58">
        <v>0</v>
      </c>
    </row>
    <row r="27" spans="1:19" x14ac:dyDescent="0.2">
      <c r="A27" s="8"/>
      <c r="B27" s="2" t="s">
        <v>64</v>
      </c>
      <c r="C27" s="10">
        <v>29</v>
      </c>
      <c r="D27" s="10"/>
      <c r="E27" s="12"/>
      <c r="G27" s="57" t="s">
        <v>65</v>
      </c>
      <c r="H27" s="56">
        <f t="shared" ref="H27:M27" si="5">SUM(H28:H30)</f>
        <v>2666.8339999999998</v>
      </c>
      <c r="I27" s="56">
        <f t="shared" si="5"/>
        <v>2982.9609999999998</v>
      </c>
      <c r="J27" s="56">
        <f t="shared" si="5"/>
        <v>3087.9010000000003</v>
      </c>
      <c r="K27" s="56">
        <f t="shared" si="5"/>
        <v>3419.6880000000001</v>
      </c>
      <c r="L27" s="56">
        <f t="shared" si="5"/>
        <v>3562.71</v>
      </c>
      <c r="M27" s="56">
        <f t="shared" si="5"/>
        <v>3703.1460000000002</v>
      </c>
      <c r="N27" s="77">
        <f t="shared" ref="N27:S27" si="6">SUM(N28:N30)</f>
        <v>3947.6610000000001</v>
      </c>
      <c r="O27" s="77">
        <f t="shared" si="6"/>
        <v>4081.6610000000001</v>
      </c>
      <c r="P27" s="77">
        <f t="shared" si="6"/>
        <v>4196.6610000000001</v>
      </c>
      <c r="Q27" s="77">
        <f t="shared" si="6"/>
        <v>4304.6610000000001</v>
      </c>
      <c r="R27" s="77">
        <f t="shared" si="6"/>
        <v>4398.6610000000001</v>
      </c>
      <c r="S27" s="56">
        <f t="shared" si="6"/>
        <v>4493.6610000000001</v>
      </c>
    </row>
    <row r="28" spans="1:19" ht="12" x14ac:dyDescent="0.2">
      <c r="A28" s="8"/>
      <c r="B28" s="2" t="s">
        <v>66</v>
      </c>
      <c r="C28" s="8" t="s">
        <v>67</v>
      </c>
      <c r="D28" s="8"/>
      <c r="E28" s="11" t="s">
        <v>11</v>
      </c>
      <c r="G28" s="57" t="s">
        <v>68</v>
      </c>
      <c r="H28" s="58">
        <v>621.83299999999997</v>
      </c>
      <c r="I28" s="58">
        <v>621.83299999999997</v>
      </c>
      <c r="J28" s="58">
        <v>621.83299999999997</v>
      </c>
      <c r="K28" s="58">
        <v>621.83299999999997</v>
      </c>
      <c r="L28" s="58">
        <v>621.83299999999997</v>
      </c>
      <c r="M28" s="58">
        <v>621.83299999999997</v>
      </c>
      <c r="N28" s="58">
        <v>621.83299999999997</v>
      </c>
      <c r="O28" s="58">
        <v>621.83299999999997</v>
      </c>
      <c r="P28" s="58">
        <v>621.83299999999997</v>
      </c>
      <c r="Q28" s="58">
        <v>621.83299999999997</v>
      </c>
      <c r="R28" s="58">
        <v>621.83299999999997</v>
      </c>
      <c r="S28" s="58">
        <v>621.83299999999997</v>
      </c>
    </row>
    <row r="29" spans="1:19" ht="12" x14ac:dyDescent="0.2">
      <c r="A29" s="8"/>
      <c r="B29" s="2" t="s">
        <v>69</v>
      </c>
      <c r="C29" s="10">
        <v>298</v>
      </c>
      <c r="D29" s="10"/>
      <c r="E29" s="11" t="s">
        <v>11</v>
      </c>
      <c r="G29" s="57" t="s">
        <v>70</v>
      </c>
      <c r="H29" s="58">
        <v>1906.2449999999999</v>
      </c>
      <c r="I29" s="58">
        <f>H29+H30</f>
        <v>2045.001</v>
      </c>
      <c r="J29" s="58">
        <f>I29+I30</f>
        <v>2361.1280000000002</v>
      </c>
      <c r="K29" s="58">
        <f>J29+J30</f>
        <v>2466.0680000000002</v>
      </c>
      <c r="L29" s="58">
        <f>K29+K30</f>
        <v>2797.855</v>
      </c>
      <c r="M29" s="58">
        <f>L29+L30</f>
        <v>2940.877</v>
      </c>
      <c r="N29" s="58">
        <f t="shared" ref="N29:S29" si="7">M29+M30</f>
        <v>3081.3130000000001</v>
      </c>
      <c r="O29" s="58">
        <f t="shared" si="7"/>
        <v>3325.828</v>
      </c>
      <c r="P29" s="58">
        <f t="shared" si="7"/>
        <v>3459.828</v>
      </c>
      <c r="Q29" s="58">
        <f t="shared" si="7"/>
        <v>3574.828</v>
      </c>
      <c r="R29" s="58">
        <f t="shared" si="7"/>
        <v>3682.828</v>
      </c>
      <c r="S29" s="58">
        <f t="shared" si="7"/>
        <v>3776.828</v>
      </c>
    </row>
    <row r="30" spans="1:19" ht="12" x14ac:dyDescent="0.2">
      <c r="A30" s="8"/>
      <c r="B30" s="2" t="s">
        <v>71</v>
      </c>
      <c r="C30" s="10">
        <v>299</v>
      </c>
      <c r="D30" s="10"/>
      <c r="E30" s="11" t="s">
        <v>72</v>
      </c>
      <c r="G30" s="57" t="s">
        <v>73</v>
      </c>
      <c r="H30" s="58">
        <v>138.756</v>
      </c>
      <c r="I30" s="58">
        <v>316.12700000000001</v>
      </c>
      <c r="J30" s="58">
        <v>104.94</v>
      </c>
      <c r="K30" s="58">
        <v>331.78699999999998</v>
      </c>
      <c r="L30" s="58">
        <v>143.02199999999999</v>
      </c>
      <c r="M30" s="58">
        <v>140.43600000000001</v>
      </c>
      <c r="N30" s="76">
        <v>244.51499999999999</v>
      </c>
      <c r="O30" s="76">
        <v>134</v>
      </c>
      <c r="P30" s="76">
        <v>115</v>
      </c>
      <c r="Q30" s="76">
        <v>108</v>
      </c>
      <c r="R30" s="76">
        <v>94</v>
      </c>
      <c r="S30" s="58">
        <v>95</v>
      </c>
    </row>
    <row r="31" spans="1:19" x14ac:dyDescent="0.2">
      <c r="A31" s="20"/>
      <c r="B31" s="2" t="s">
        <v>368</v>
      </c>
      <c r="C31" s="83" t="s">
        <v>369</v>
      </c>
      <c r="D31" s="21"/>
      <c r="E31" s="22"/>
      <c r="F31" s="20"/>
      <c r="G31" s="62" t="s">
        <v>74</v>
      </c>
      <c r="H31" s="63">
        <f t="shared" ref="H31:S31" si="8">H4-H18</f>
        <v>-9.9999999974897946E-4</v>
      </c>
      <c r="I31" s="63">
        <f t="shared" si="8"/>
        <v>0</v>
      </c>
      <c r="J31" s="63">
        <f t="shared" si="8"/>
        <v>-1.0000000002037268E-3</v>
      </c>
      <c r="K31" s="63">
        <f t="shared" si="8"/>
        <v>-1.0000000002037268E-3</v>
      </c>
      <c r="L31" s="63">
        <f t="shared" si="8"/>
        <v>-1.0000000002037268E-3</v>
      </c>
      <c r="M31" s="63">
        <f t="shared" si="8"/>
        <v>-1.0000000002037268E-3</v>
      </c>
      <c r="N31" s="85">
        <f t="shared" si="8"/>
        <v>-3.0000000006111804E-3</v>
      </c>
      <c r="O31" s="85">
        <f t="shared" si="8"/>
        <v>0.33899999999994179</v>
      </c>
      <c r="P31" s="85">
        <f t="shared" si="8"/>
        <v>0.33899999999994179</v>
      </c>
      <c r="Q31" s="85">
        <f t="shared" si="8"/>
        <v>0.33899999999994179</v>
      </c>
      <c r="R31" s="85">
        <f t="shared" si="8"/>
        <v>0.33899999999994179</v>
      </c>
      <c r="S31" s="63">
        <f t="shared" si="8"/>
        <v>0.33899999999994179</v>
      </c>
    </row>
    <row r="32" spans="1:19" x14ac:dyDescent="0.2">
      <c r="A32" s="8"/>
      <c r="B32" s="2"/>
      <c r="C32" s="10"/>
      <c r="D32" s="10"/>
      <c r="E32" s="9"/>
      <c r="G32" s="53" t="s">
        <v>75</v>
      </c>
      <c r="H32" s="64">
        <v>2011</v>
      </c>
      <c r="I32" s="64">
        <f t="shared" ref="I32:S32" si="9">H32+1</f>
        <v>2012</v>
      </c>
      <c r="J32" s="64">
        <f t="shared" si="9"/>
        <v>2013</v>
      </c>
      <c r="K32" s="64">
        <f t="shared" si="9"/>
        <v>2014</v>
      </c>
      <c r="L32" s="64">
        <f t="shared" si="9"/>
        <v>2015</v>
      </c>
      <c r="M32" s="64">
        <f t="shared" si="9"/>
        <v>2016</v>
      </c>
      <c r="N32" s="87">
        <f t="shared" si="9"/>
        <v>2017</v>
      </c>
      <c r="O32" s="87">
        <f t="shared" si="9"/>
        <v>2018</v>
      </c>
      <c r="P32" s="87">
        <f t="shared" si="9"/>
        <v>2019</v>
      </c>
      <c r="Q32" s="87">
        <f t="shared" si="9"/>
        <v>2020</v>
      </c>
      <c r="R32" s="87">
        <f t="shared" si="9"/>
        <v>2021</v>
      </c>
      <c r="S32" s="64">
        <f t="shared" si="9"/>
        <v>2022</v>
      </c>
    </row>
    <row r="33" spans="1:19" x14ac:dyDescent="0.2">
      <c r="A33" s="8"/>
      <c r="B33" s="2" t="s">
        <v>76</v>
      </c>
      <c r="C33" s="10">
        <v>3</v>
      </c>
      <c r="D33" s="10"/>
      <c r="E33" s="9"/>
      <c r="G33" s="55" t="s">
        <v>77</v>
      </c>
      <c r="H33" s="56">
        <f t="shared" ref="H33:S33" si="10">SUM(H34:H37)</f>
        <v>1568.0830000000001</v>
      </c>
      <c r="I33" s="56">
        <f t="shared" si="10"/>
        <v>2252.723</v>
      </c>
      <c r="J33" s="56">
        <f t="shared" si="10"/>
        <v>1809.595</v>
      </c>
      <c r="K33" s="56">
        <f t="shared" si="10"/>
        <v>2203.9340000000002</v>
      </c>
      <c r="L33" s="56">
        <f t="shared" si="10"/>
        <v>2160.2270000000003</v>
      </c>
      <c r="M33" s="56">
        <f t="shared" si="10"/>
        <v>2137.3130000000001</v>
      </c>
      <c r="N33" s="77">
        <f t="shared" si="10"/>
        <v>2651.895</v>
      </c>
      <c r="O33" s="77">
        <f t="shared" si="10"/>
        <v>2470</v>
      </c>
      <c r="P33" s="77">
        <f t="shared" si="10"/>
        <v>2647</v>
      </c>
      <c r="Q33" s="77">
        <f t="shared" si="10"/>
        <v>2709</v>
      </c>
      <c r="R33" s="77">
        <f t="shared" si="10"/>
        <v>2733</v>
      </c>
      <c r="S33" s="56">
        <f t="shared" si="10"/>
        <v>2770</v>
      </c>
    </row>
    <row r="34" spans="1:19" ht="12" x14ac:dyDescent="0.2">
      <c r="A34" s="8"/>
      <c r="B34" s="2" t="s">
        <v>78</v>
      </c>
      <c r="C34" s="10">
        <v>30</v>
      </c>
      <c r="D34" s="10"/>
      <c r="E34" s="11" t="s">
        <v>11</v>
      </c>
      <c r="G34" s="57" t="s">
        <v>79</v>
      </c>
      <c r="H34" s="58">
        <v>0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76">
        <v>0</v>
      </c>
      <c r="O34" s="76">
        <v>0</v>
      </c>
      <c r="P34" s="76">
        <v>0</v>
      </c>
      <c r="Q34" s="76">
        <v>0</v>
      </c>
      <c r="R34" s="76">
        <v>0</v>
      </c>
      <c r="S34" s="58">
        <v>0</v>
      </c>
    </row>
    <row r="35" spans="1:19" ht="12" x14ac:dyDescent="0.2">
      <c r="A35" s="8"/>
      <c r="B35" s="2" t="s">
        <v>80</v>
      </c>
      <c r="C35" s="10">
        <v>32</v>
      </c>
      <c r="D35" s="10"/>
      <c r="E35" s="11" t="s">
        <v>11</v>
      </c>
      <c r="G35" s="57" t="s">
        <v>81</v>
      </c>
      <c r="H35" s="58">
        <v>805.82100000000003</v>
      </c>
      <c r="I35" s="58">
        <v>942.76400000000001</v>
      </c>
      <c r="J35" s="58">
        <v>1040.5740000000001</v>
      </c>
      <c r="K35" s="58">
        <v>1162.5129999999999</v>
      </c>
      <c r="L35" s="58">
        <v>1198.8630000000001</v>
      </c>
      <c r="M35" s="58">
        <v>1131.461</v>
      </c>
      <c r="N35" s="76">
        <v>1317.7059999999999</v>
      </c>
      <c r="O35" s="76">
        <v>1439</v>
      </c>
      <c r="P35" s="76">
        <v>1440</v>
      </c>
      <c r="Q35" s="76">
        <v>1449</v>
      </c>
      <c r="R35" s="76">
        <v>1460</v>
      </c>
      <c r="S35" s="58">
        <v>1470</v>
      </c>
    </row>
    <row r="36" spans="1:19" ht="12" x14ac:dyDescent="0.2">
      <c r="A36" s="13"/>
      <c r="B36" s="2" t="s">
        <v>82</v>
      </c>
      <c r="C36" s="10">
        <v>35</v>
      </c>
      <c r="D36" s="10"/>
      <c r="E36" s="11" t="s">
        <v>11</v>
      </c>
      <c r="F36" s="13"/>
      <c r="G36" s="57" t="s">
        <v>83</v>
      </c>
      <c r="H36" s="58">
        <v>762.26199999999994</v>
      </c>
      <c r="I36" s="58">
        <v>1308.482</v>
      </c>
      <c r="J36" s="58">
        <v>762.22299999999996</v>
      </c>
      <c r="K36" s="58">
        <v>1036.8489999999999</v>
      </c>
      <c r="L36" s="58">
        <v>962.38400000000001</v>
      </c>
      <c r="M36" s="58">
        <v>1003.222</v>
      </c>
      <c r="N36" s="76">
        <v>1312.673</v>
      </c>
      <c r="O36" s="76">
        <v>1023</v>
      </c>
      <c r="P36" s="76">
        <v>1203</v>
      </c>
      <c r="Q36" s="76">
        <v>1257</v>
      </c>
      <c r="R36" s="76">
        <v>1270</v>
      </c>
      <c r="S36" s="58">
        <v>1298</v>
      </c>
    </row>
    <row r="37" spans="1:19" ht="12" x14ac:dyDescent="0.2">
      <c r="A37" s="8"/>
      <c r="B37" s="2" t="s">
        <v>84</v>
      </c>
      <c r="C37" s="10">
        <v>38</v>
      </c>
      <c r="D37" s="10"/>
      <c r="E37" s="11" t="s">
        <v>72</v>
      </c>
      <c r="G37" s="57" t="s">
        <v>85</v>
      </c>
      <c r="H37" s="58">
        <v>0</v>
      </c>
      <c r="I37" s="58">
        <v>1.4770000000000001</v>
      </c>
      <c r="J37" s="58">
        <v>6.798</v>
      </c>
      <c r="K37" s="58">
        <v>4.5720000000000001</v>
      </c>
      <c r="L37" s="58">
        <v>-1.02</v>
      </c>
      <c r="M37" s="58">
        <v>2.63</v>
      </c>
      <c r="N37" s="76">
        <v>21.515999999999998</v>
      </c>
      <c r="O37" s="76">
        <v>8</v>
      </c>
      <c r="P37" s="76">
        <v>4</v>
      </c>
      <c r="Q37" s="76">
        <v>3</v>
      </c>
      <c r="R37" s="76">
        <v>3</v>
      </c>
      <c r="S37" s="58">
        <v>2</v>
      </c>
    </row>
    <row r="38" spans="1:19" x14ac:dyDescent="0.2">
      <c r="A38" s="8"/>
      <c r="B38" s="2" t="s">
        <v>86</v>
      </c>
      <c r="C38" s="10">
        <v>4</v>
      </c>
      <c r="D38" s="10"/>
      <c r="E38" s="23"/>
      <c r="G38" s="57" t="s">
        <v>87</v>
      </c>
      <c r="H38" s="56">
        <f t="shared" ref="H38:S38" si="11">H39+H40</f>
        <v>-0.1</v>
      </c>
      <c r="I38" s="56">
        <f t="shared" si="11"/>
        <v>0</v>
      </c>
      <c r="J38" s="56">
        <f t="shared" si="11"/>
        <v>-0.1</v>
      </c>
      <c r="K38" s="56">
        <f t="shared" si="11"/>
        <v>-0.1</v>
      </c>
      <c r="L38" s="56">
        <f t="shared" si="11"/>
        <v>-0.1</v>
      </c>
      <c r="M38" s="56">
        <f t="shared" si="11"/>
        <v>0</v>
      </c>
      <c r="N38" s="77">
        <f t="shared" si="11"/>
        <v>0.1</v>
      </c>
      <c r="O38" s="77">
        <f t="shared" si="11"/>
        <v>0</v>
      </c>
      <c r="P38" s="77">
        <f t="shared" si="11"/>
        <v>0</v>
      </c>
      <c r="Q38" s="77">
        <f t="shared" si="11"/>
        <v>0</v>
      </c>
      <c r="R38" s="77">
        <f t="shared" si="11"/>
        <v>0</v>
      </c>
      <c r="S38" s="56">
        <f t="shared" si="11"/>
        <v>0</v>
      </c>
    </row>
    <row r="39" spans="1:19" ht="12" x14ac:dyDescent="0.2">
      <c r="A39" s="8"/>
      <c r="B39" s="2" t="s">
        <v>88</v>
      </c>
      <c r="C39" s="10">
        <v>41</v>
      </c>
      <c r="D39" s="10"/>
      <c r="E39" s="11" t="s">
        <v>89</v>
      </c>
      <c r="G39" s="57" t="s">
        <v>90</v>
      </c>
      <c r="H39" s="58">
        <v>0</v>
      </c>
      <c r="I39" s="58">
        <v>0</v>
      </c>
      <c r="J39" s="58">
        <v>0</v>
      </c>
      <c r="K39" s="58">
        <v>0</v>
      </c>
      <c r="L39" s="58">
        <v>0</v>
      </c>
      <c r="M39" s="58">
        <v>0</v>
      </c>
      <c r="N39" s="76">
        <v>0</v>
      </c>
      <c r="O39" s="76">
        <v>0</v>
      </c>
      <c r="P39" s="76">
        <v>0</v>
      </c>
      <c r="Q39" s="76">
        <v>0</v>
      </c>
      <c r="R39" s="76">
        <v>0</v>
      </c>
      <c r="S39" s="58">
        <v>0</v>
      </c>
    </row>
    <row r="40" spans="1:19" ht="12" x14ac:dyDescent="0.2">
      <c r="A40" s="8"/>
      <c r="B40" s="2" t="s">
        <v>91</v>
      </c>
      <c r="C40" s="10">
        <v>45</v>
      </c>
      <c r="D40" s="10"/>
      <c r="E40" s="11" t="s">
        <v>89</v>
      </c>
      <c r="G40" s="57" t="s">
        <v>92</v>
      </c>
      <c r="H40" s="58">
        <v>-0.1</v>
      </c>
      <c r="I40" s="58">
        <v>0</v>
      </c>
      <c r="J40" s="58">
        <v>-0.1</v>
      </c>
      <c r="K40" s="58">
        <v>-0.1</v>
      </c>
      <c r="L40" s="58">
        <v>-0.1</v>
      </c>
      <c r="M40" s="58">
        <v>0</v>
      </c>
      <c r="N40" s="76">
        <v>0.1</v>
      </c>
      <c r="O40" s="76">
        <v>0</v>
      </c>
      <c r="P40" s="76">
        <v>0</v>
      </c>
      <c r="Q40" s="76">
        <v>0</v>
      </c>
      <c r="R40" s="76">
        <v>0</v>
      </c>
      <c r="S40" s="58">
        <v>0</v>
      </c>
    </row>
    <row r="41" spans="1:19" x14ac:dyDescent="0.2">
      <c r="A41" s="13"/>
      <c r="B41" s="2" t="s">
        <v>93</v>
      </c>
      <c r="C41" s="10" t="s">
        <v>94</v>
      </c>
      <c r="D41" s="10"/>
      <c r="E41" s="23"/>
      <c r="F41" s="13"/>
      <c r="G41" s="57" t="s">
        <v>95</v>
      </c>
      <c r="H41" s="56">
        <f t="shared" ref="H41:S41" si="12">SUM(H42:H45)</f>
        <v>-1412.5989999999999</v>
      </c>
      <c r="I41" s="56">
        <f t="shared" si="12"/>
        <v>-1925.5840000000003</v>
      </c>
      <c r="J41" s="56">
        <f t="shared" si="12"/>
        <v>-1696.5820000000001</v>
      </c>
      <c r="K41" s="56">
        <f t="shared" si="12"/>
        <v>-1866.3659999999998</v>
      </c>
      <c r="L41" s="56">
        <f t="shared" si="12"/>
        <v>-2014.1849999999999</v>
      </c>
      <c r="M41" s="56">
        <f t="shared" si="12"/>
        <v>-1995.1309999999999</v>
      </c>
      <c r="N41" s="77">
        <f t="shared" si="12"/>
        <v>-2406.36</v>
      </c>
      <c r="O41" s="77">
        <f t="shared" si="12"/>
        <v>-2335</v>
      </c>
      <c r="P41" s="77">
        <f t="shared" si="12"/>
        <v>-2531</v>
      </c>
      <c r="Q41" s="77">
        <f t="shared" si="12"/>
        <v>-2600</v>
      </c>
      <c r="R41" s="77">
        <f t="shared" si="12"/>
        <v>-2638</v>
      </c>
      <c r="S41" s="56">
        <f t="shared" si="12"/>
        <v>-2675</v>
      </c>
    </row>
    <row r="42" spans="1:19" ht="12" x14ac:dyDescent="0.2">
      <c r="A42" s="8"/>
      <c r="B42" s="2" t="s">
        <v>96</v>
      </c>
      <c r="C42" s="10">
        <v>50</v>
      </c>
      <c r="D42" s="10"/>
      <c r="E42" s="11" t="s">
        <v>89</v>
      </c>
      <c r="G42" s="57" t="s">
        <v>97</v>
      </c>
      <c r="H42" s="58">
        <v>-705.024</v>
      </c>
      <c r="I42" s="58">
        <v>-851.67700000000002</v>
      </c>
      <c r="J42" s="58">
        <v>-861.22799999999995</v>
      </c>
      <c r="K42" s="58">
        <v>-1001.116</v>
      </c>
      <c r="L42" s="58">
        <v>-1059.415</v>
      </c>
      <c r="M42" s="58">
        <v>-1041.4349999999999</v>
      </c>
      <c r="N42" s="76">
        <v>-1102.6310000000001</v>
      </c>
      <c r="O42" s="76">
        <v>-1157</v>
      </c>
      <c r="P42" s="76">
        <v>-1200</v>
      </c>
      <c r="Q42" s="76">
        <v>-1247</v>
      </c>
      <c r="R42" s="76">
        <v>-1290</v>
      </c>
      <c r="S42" s="58">
        <v>-1324</v>
      </c>
    </row>
    <row r="43" spans="1:19" ht="12" x14ac:dyDescent="0.2">
      <c r="A43" s="8"/>
      <c r="B43" s="2" t="s">
        <v>98</v>
      </c>
      <c r="C43" s="10">
        <v>55</v>
      </c>
      <c r="D43" s="10"/>
      <c r="E43" s="11" t="s">
        <v>89</v>
      </c>
      <c r="G43" s="57" t="s">
        <v>99</v>
      </c>
      <c r="H43" s="58">
        <v>-604.25699999999995</v>
      </c>
      <c r="I43" s="58">
        <v>-966.56500000000005</v>
      </c>
      <c r="J43" s="58">
        <v>-722.61800000000005</v>
      </c>
      <c r="K43" s="58">
        <v>-771.96400000000006</v>
      </c>
      <c r="L43" s="58">
        <v>-856.26099999999997</v>
      </c>
      <c r="M43" s="58">
        <v>-826.94399999999996</v>
      </c>
      <c r="N43" s="76">
        <v>-1201.702</v>
      </c>
      <c r="O43" s="76">
        <v>-1077</v>
      </c>
      <c r="P43" s="76">
        <v>-1215</v>
      </c>
      <c r="Q43" s="76">
        <v>-1240</v>
      </c>
      <c r="R43" s="76">
        <v>-1236</v>
      </c>
      <c r="S43" s="58">
        <v>-1240</v>
      </c>
    </row>
    <row r="44" spans="1:19" ht="12" x14ac:dyDescent="0.2">
      <c r="A44" s="13"/>
      <c r="B44" s="2" t="s">
        <v>100</v>
      </c>
      <c r="C44" s="10">
        <v>60</v>
      </c>
      <c r="D44" s="10"/>
      <c r="E44" s="11" t="s">
        <v>89</v>
      </c>
      <c r="F44" s="13"/>
      <c r="G44" s="57" t="s">
        <v>101</v>
      </c>
      <c r="H44" s="58">
        <v>-1.8919999999999999</v>
      </c>
      <c r="I44" s="58">
        <v>-1.4379999999999999</v>
      </c>
      <c r="J44" s="58">
        <v>-1.778</v>
      </c>
      <c r="K44" s="58">
        <v>-2.177</v>
      </c>
      <c r="L44" s="58">
        <v>-1.609</v>
      </c>
      <c r="M44" s="58">
        <v>-22.375</v>
      </c>
      <c r="N44" s="76">
        <v>-1.36</v>
      </c>
      <c r="O44" s="76">
        <v>-1</v>
      </c>
      <c r="P44" s="76">
        <v>-1</v>
      </c>
      <c r="Q44" s="76">
        <v>-1</v>
      </c>
      <c r="R44" s="76">
        <v>-2</v>
      </c>
      <c r="S44" s="58">
        <v>-2</v>
      </c>
    </row>
    <row r="45" spans="1:19" ht="12" x14ac:dyDescent="0.2">
      <c r="A45" s="8"/>
      <c r="B45" s="2" t="s">
        <v>102</v>
      </c>
      <c r="C45" s="10">
        <v>61</v>
      </c>
      <c r="D45" s="10"/>
      <c r="E45" s="11" t="s">
        <v>89</v>
      </c>
      <c r="G45" s="57" t="s">
        <v>103</v>
      </c>
      <c r="H45" s="58">
        <v>-101.426</v>
      </c>
      <c r="I45" s="58">
        <v>-105.904</v>
      </c>
      <c r="J45" s="58">
        <v>-110.958</v>
      </c>
      <c r="K45" s="58">
        <v>-91.108999999999995</v>
      </c>
      <c r="L45" s="58">
        <v>-96.9</v>
      </c>
      <c r="M45" s="58">
        <v>-104.377</v>
      </c>
      <c r="N45" s="76">
        <v>-100.667</v>
      </c>
      <c r="O45" s="76">
        <v>-100</v>
      </c>
      <c r="P45" s="76">
        <v>-115</v>
      </c>
      <c r="Q45" s="76">
        <v>-112</v>
      </c>
      <c r="R45" s="76">
        <v>-110</v>
      </c>
      <c r="S45" s="58">
        <v>-109</v>
      </c>
    </row>
    <row r="46" spans="1:19" x14ac:dyDescent="0.2">
      <c r="A46" s="8"/>
      <c r="B46" s="2" t="s">
        <v>104</v>
      </c>
      <c r="C46" s="10"/>
      <c r="D46" s="10"/>
      <c r="E46" s="9"/>
      <c r="G46" s="57" t="s">
        <v>105</v>
      </c>
      <c r="H46" s="56">
        <f t="shared" ref="H46:S46" si="13">H33+H38+H41</f>
        <v>155.38400000000024</v>
      </c>
      <c r="I46" s="56">
        <f t="shared" si="13"/>
        <v>327.13899999999967</v>
      </c>
      <c r="J46" s="56">
        <f t="shared" si="13"/>
        <v>112.91300000000001</v>
      </c>
      <c r="K46" s="56">
        <f t="shared" si="13"/>
        <v>337.46800000000053</v>
      </c>
      <c r="L46" s="56">
        <f t="shared" si="13"/>
        <v>145.94200000000046</v>
      </c>
      <c r="M46" s="56">
        <f t="shared" si="13"/>
        <v>142.18200000000024</v>
      </c>
      <c r="N46" s="77">
        <f t="shared" si="13"/>
        <v>245.63499999999976</v>
      </c>
      <c r="O46" s="77">
        <f t="shared" si="13"/>
        <v>135</v>
      </c>
      <c r="P46" s="77">
        <f t="shared" si="13"/>
        <v>116</v>
      </c>
      <c r="Q46" s="77">
        <f t="shared" si="13"/>
        <v>109</v>
      </c>
      <c r="R46" s="77">
        <f t="shared" si="13"/>
        <v>95</v>
      </c>
      <c r="S46" s="56">
        <f t="shared" si="13"/>
        <v>95</v>
      </c>
    </row>
    <row r="47" spans="1:19" ht="12" x14ac:dyDescent="0.2">
      <c r="A47" s="8"/>
      <c r="B47" s="2" t="s">
        <v>106</v>
      </c>
      <c r="C47" s="10">
        <v>65</v>
      </c>
      <c r="D47" s="10"/>
      <c r="E47" s="11" t="s">
        <v>72</v>
      </c>
      <c r="G47" s="57" t="s">
        <v>107</v>
      </c>
      <c r="H47" s="58">
        <v>-16.628</v>
      </c>
      <c r="I47" s="58">
        <v>-11.013999999999999</v>
      </c>
      <c r="J47" s="58">
        <v>-7.9729999999999999</v>
      </c>
      <c r="K47" s="58">
        <v>-5.68</v>
      </c>
      <c r="L47" s="58">
        <v>-2.92</v>
      </c>
      <c r="M47" s="58">
        <v>-1.7450000000000001</v>
      </c>
      <c r="N47" s="58">
        <v>-0.92</v>
      </c>
      <c r="O47" s="58">
        <v>-1</v>
      </c>
      <c r="P47" s="58">
        <v>-1</v>
      </c>
      <c r="Q47" s="58">
        <v>-1</v>
      </c>
      <c r="R47" s="58">
        <v>-1</v>
      </c>
      <c r="S47" s="58">
        <v>0</v>
      </c>
    </row>
    <row r="48" spans="1:19" x14ac:dyDescent="0.2">
      <c r="A48" s="8"/>
      <c r="B48" s="2" t="s">
        <v>108</v>
      </c>
      <c r="C48" s="10"/>
      <c r="D48" s="10"/>
      <c r="E48" s="9"/>
      <c r="G48" s="57" t="s">
        <v>109</v>
      </c>
      <c r="H48" s="56">
        <f t="shared" ref="H48:S48" si="14">H46+H47</f>
        <v>138.75600000000026</v>
      </c>
      <c r="I48" s="56">
        <f t="shared" si="14"/>
        <v>316.12499999999966</v>
      </c>
      <c r="J48" s="56">
        <f t="shared" si="14"/>
        <v>104.94000000000001</v>
      </c>
      <c r="K48" s="56">
        <f t="shared" si="14"/>
        <v>331.78800000000052</v>
      </c>
      <c r="L48" s="56">
        <f t="shared" si="14"/>
        <v>143.02200000000047</v>
      </c>
      <c r="M48" s="56">
        <f t="shared" si="14"/>
        <v>140.43700000000024</v>
      </c>
      <c r="N48" s="77">
        <f t="shared" si="14"/>
        <v>244.71499999999978</v>
      </c>
      <c r="O48" s="77">
        <f t="shared" si="14"/>
        <v>134</v>
      </c>
      <c r="P48" s="77">
        <f t="shared" si="14"/>
        <v>115</v>
      </c>
      <c r="Q48" s="77">
        <f t="shared" si="14"/>
        <v>108</v>
      </c>
      <c r="R48" s="77">
        <f t="shared" si="14"/>
        <v>94</v>
      </c>
      <c r="S48" s="56">
        <f t="shared" si="14"/>
        <v>95</v>
      </c>
    </row>
    <row r="49" spans="1:19" ht="12" x14ac:dyDescent="0.2">
      <c r="A49" s="8"/>
      <c r="B49" s="2" t="s">
        <v>110</v>
      </c>
      <c r="C49" s="10">
        <v>68</v>
      </c>
      <c r="D49" s="10"/>
      <c r="E49" s="11" t="s">
        <v>89</v>
      </c>
      <c r="G49" s="57" t="s">
        <v>111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76">
        <v>0</v>
      </c>
      <c r="O49" s="76">
        <v>0</v>
      </c>
      <c r="P49" s="76">
        <v>0</v>
      </c>
      <c r="Q49" s="76">
        <v>0</v>
      </c>
      <c r="R49" s="76">
        <v>0</v>
      </c>
      <c r="S49" s="58">
        <v>0</v>
      </c>
    </row>
    <row r="50" spans="1:19" ht="12" x14ac:dyDescent="0.2">
      <c r="A50" s="8"/>
      <c r="B50" s="2" t="s">
        <v>112</v>
      </c>
      <c r="C50" s="10">
        <v>69</v>
      </c>
      <c r="D50" s="10"/>
      <c r="E50" s="11" t="s">
        <v>11</v>
      </c>
      <c r="G50" s="57" t="s">
        <v>113</v>
      </c>
      <c r="H50" s="58">
        <v>0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76">
        <v>0</v>
      </c>
      <c r="O50" s="76">
        <v>0</v>
      </c>
      <c r="P50" s="76">
        <v>0</v>
      </c>
      <c r="Q50" s="76">
        <v>0</v>
      </c>
      <c r="R50" s="76">
        <v>0</v>
      </c>
      <c r="S50" s="58">
        <v>0</v>
      </c>
    </row>
    <row r="51" spans="1:19" x14ac:dyDescent="0.2">
      <c r="A51" s="8"/>
      <c r="B51" s="2" t="s">
        <v>114</v>
      </c>
      <c r="C51" s="10"/>
      <c r="D51" s="10"/>
      <c r="E51" s="9"/>
      <c r="G51" s="57" t="s">
        <v>115</v>
      </c>
      <c r="H51" s="56">
        <f t="shared" ref="H51:S51" si="15">H48+H49+H50</f>
        <v>138.75600000000026</v>
      </c>
      <c r="I51" s="56">
        <f t="shared" si="15"/>
        <v>316.12499999999966</v>
      </c>
      <c r="J51" s="56">
        <f t="shared" si="15"/>
        <v>104.94000000000001</v>
      </c>
      <c r="K51" s="56">
        <f t="shared" si="15"/>
        <v>331.78800000000052</v>
      </c>
      <c r="L51" s="56">
        <f t="shared" si="15"/>
        <v>143.02200000000047</v>
      </c>
      <c r="M51" s="56">
        <f t="shared" si="15"/>
        <v>140.43700000000024</v>
      </c>
      <c r="N51" s="56">
        <f t="shared" si="15"/>
        <v>244.71499999999978</v>
      </c>
      <c r="O51" s="56">
        <f t="shared" si="15"/>
        <v>134</v>
      </c>
      <c r="P51" s="56">
        <f t="shared" si="15"/>
        <v>115</v>
      </c>
      <c r="Q51" s="56">
        <f t="shared" si="15"/>
        <v>108</v>
      </c>
      <c r="R51" s="56">
        <f t="shared" si="15"/>
        <v>94</v>
      </c>
      <c r="S51" s="56">
        <f t="shared" si="15"/>
        <v>95</v>
      </c>
    </row>
    <row r="52" spans="1:19" x14ac:dyDescent="0.2">
      <c r="A52" s="24"/>
      <c r="B52" s="2" t="s">
        <v>370</v>
      </c>
      <c r="C52" s="83" t="s">
        <v>371</v>
      </c>
      <c r="D52" s="25"/>
      <c r="E52" s="26"/>
      <c r="F52" s="24"/>
      <c r="G52" s="62" t="s">
        <v>116</v>
      </c>
      <c r="H52" s="63">
        <f t="shared" ref="H52:S52" si="16">H30-H51</f>
        <v>-2.5579538487363607E-13</v>
      </c>
      <c r="I52" s="63">
        <f t="shared" si="16"/>
        <v>2.0000000003506102E-3</v>
      </c>
      <c r="J52" s="63">
        <f t="shared" si="16"/>
        <v>0</v>
      </c>
      <c r="K52" s="63">
        <f t="shared" si="16"/>
        <v>-1.0000000005447873E-3</v>
      </c>
      <c r="L52" s="63">
        <f t="shared" si="16"/>
        <v>-4.8316906031686813E-13</v>
      </c>
      <c r="M52" s="63">
        <f t="shared" si="16"/>
        <v>-1.0000000002321485E-3</v>
      </c>
      <c r="N52" s="85">
        <f t="shared" si="16"/>
        <v>-0.19999999999978968</v>
      </c>
      <c r="O52" s="85">
        <f t="shared" si="16"/>
        <v>0</v>
      </c>
      <c r="P52" s="85">
        <f t="shared" si="16"/>
        <v>0</v>
      </c>
      <c r="Q52" s="85">
        <f t="shared" si="16"/>
        <v>0</v>
      </c>
      <c r="R52" s="85">
        <f t="shared" si="16"/>
        <v>0</v>
      </c>
      <c r="S52" s="63">
        <f t="shared" si="16"/>
        <v>0</v>
      </c>
    </row>
    <row r="53" spans="1:19" x14ac:dyDescent="0.2">
      <c r="A53" s="8"/>
      <c r="B53" s="2"/>
      <c r="C53" s="10"/>
      <c r="D53" s="10"/>
      <c r="E53" s="9"/>
      <c r="G53" s="65" t="s">
        <v>117</v>
      </c>
      <c r="H53" s="48"/>
      <c r="I53" s="48"/>
      <c r="J53" s="48"/>
      <c r="K53" s="48"/>
      <c r="L53" s="48"/>
      <c r="M53" s="48"/>
      <c r="N53" s="4"/>
      <c r="O53" s="4"/>
      <c r="P53" s="4"/>
      <c r="Q53" s="4"/>
      <c r="R53" s="4"/>
      <c r="S53" s="48"/>
    </row>
    <row r="54" spans="1:19" ht="12" x14ac:dyDescent="0.2">
      <c r="A54" s="8"/>
      <c r="B54" s="2"/>
      <c r="C54" s="10">
        <v>90</v>
      </c>
      <c r="D54" s="10"/>
      <c r="E54" s="11" t="s">
        <v>11</v>
      </c>
      <c r="G54" s="65" t="s">
        <v>118</v>
      </c>
      <c r="H54" s="58">
        <v>48</v>
      </c>
      <c r="I54" s="58">
        <v>61</v>
      </c>
      <c r="J54" s="58">
        <v>67</v>
      </c>
      <c r="K54" s="58">
        <v>71</v>
      </c>
      <c r="L54" s="58">
        <v>76</v>
      </c>
      <c r="M54" s="58">
        <v>77</v>
      </c>
      <c r="N54" s="76">
        <v>77</v>
      </c>
      <c r="O54" s="76">
        <v>78</v>
      </c>
      <c r="P54" s="76">
        <v>77</v>
      </c>
      <c r="Q54" s="76">
        <v>79</v>
      </c>
      <c r="R54" s="76">
        <v>80</v>
      </c>
      <c r="S54" s="58">
        <v>78</v>
      </c>
    </row>
    <row r="55" spans="1:19" ht="12" x14ac:dyDescent="0.2">
      <c r="A55" s="8"/>
      <c r="B55" s="2"/>
      <c r="C55" s="10"/>
      <c r="D55" s="10"/>
      <c r="E55" s="11" t="s">
        <v>11</v>
      </c>
      <c r="G55" s="65" t="s">
        <v>119</v>
      </c>
      <c r="H55" s="58"/>
      <c r="I55" s="58"/>
      <c r="J55" s="58"/>
      <c r="K55" s="58"/>
      <c r="L55" s="66"/>
      <c r="M55" s="66"/>
      <c r="N55" s="88"/>
      <c r="O55" s="88"/>
      <c r="P55" s="88"/>
      <c r="Q55" s="88"/>
      <c r="R55" s="88"/>
      <c r="S55" s="66"/>
    </row>
    <row r="56" spans="1:19" x14ac:dyDescent="0.2">
      <c r="A56" s="8"/>
      <c r="B56" s="2"/>
      <c r="C56" s="10"/>
      <c r="D56" s="10"/>
      <c r="E56" s="9"/>
      <c r="G56" s="67"/>
      <c r="H56" s="48"/>
      <c r="I56" s="48"/>
      <c r="J56" s="48"/>
      <c r="K56" s="48"/>
      <c r="L56" s="48"/>
      <c r="M56" s="48"/>
      <c r="N56" s="4"/>
      <c r="O56" s="4"/>
      <c r="P56" s="4"/>
      <c r="Q56" s="4"/>
      <c r="R56" s="4"/>
      <c r="S56" s="48"/>
    </row>
    <row r="57" spans="1:19" x14ac:dyDescent="0.2">
      <c r="A57" s="8"/>
      <c r="B57" s="2"/>
      <c r="C57" s="10"/>
      <c r="D57" s="29" t="s">
        <v>120</v>
      </c>
      <c r="E57" s="30" t="s">
        <v>3</v>
      </c>
      <c r="F57" s="9"/>
      <c r="G57" s="53" t="s">
        <v>121</v>
      </c>
      <c r="H57" s="64">
        <f t="shared" ref="H57:S57" si="17">H32</f>
        <v>2011</v>
      </c>
      <c r="I57" s="64">
        <f t="shared" si="17"/>
        <v>2012</v>
      </c>
      <c r="J57" s="64">
        <f t="shared" si="17"/>
        <v>2013</v>
      </c>
      <c r="K57" s="64">
        <f t="shared" si="17"/>
        <v>2014</v>
      </c>
      <c r="L57" s="64">
        <f t="shared" si="17"/>
        <v>2015</v>
      </c>
      <c r="M57" s="64">
        <f t="shared" si="17"/>
        <v>2016</v>
      </c>
      <c r="N57" s="87">
        <f t="shared" si="17"/>
        <v>2017</v>
      </c>
      <c r="O57" s="87">
        <f t="shared" si="17"/>
        <v>2018</v>
      </c>
      <c r="P57" s="87">
        <f t="shared" si="17"/>
        <v>2019</v>
      </c>
      <c r="Q57" s="87">
        <f t="shared" si="17"/>
        <v>2020</v>
      </c>
      <c r="R57" s="87">
        <f t="shared" si="17"/>
        <v>2021</v>
      </c>
      <c r="S57" s="64">
        <f t="shared" si="17"/>
        <v>2022</v>
      </c>
    </row>
    <row r="58" spans="1:19" ht="12" x14ac:dyDescent="0.2">
      <c r="A58" s="8"/>
      <c r="B58" s="31" t="s">
        <v>122</v>
      </c>
      <c r="C58" s="8" t="s">
        <v>123</v>
      </c>
      <c r="D58" s="32" t="s">
        <v>124</v>
      </c>
      <c r="E58" s="11" t="s">
        <v>89</v>
      </c>
      <c r="F58" s="12"/>
      <c r="G58" s="55" t="s">
        <v>125</v>
      </c>
      <c r="H58" s="58">
        <v>-20.667999999999999</v>
      </c>
      <c r="I58" s="58">
        <v>-519.99800000000005</v>
      </c>
      <c r="J58" s="58">
        <v>-127.661</v>
      </c>
      <c r="K58" s="58">
        <v>-275.52300000000002</v>
      </c>
      <c r="L58" s="58">
        <v>-19.899999999999999</v>
      </c>
      <c r="M58" s="58">
        <v>-186.977</v>
      </c>
      <c r="N58" s="76">
        <v>-470.58100000000002</v>
      </c>
      <c r="O58" s="76">
        <v>-133</v>
      </c>
      <c r="P58" s="76">
        <v>-135</v>
      </c>
      <c r="Q58" s="76">
        <v>-102</v>
      </c>
      <c r="R58" s="76">
        <v>-125</v>
      </c>
      <c r="S58" s="58">
        <v>-112</v>
      </c>
    </row>
    <row r="59" spans="1:19" ht="12" x14ac:dyDescent="0.2">
      <c r="A59" s="8"/>
      <c r="B59" s="31" t="s">
        <v>126</v>
      </c>
      <c r="C59" s="33" t="s">
        <v>127</v>
      </c>
      <c r="D59" s="32" t="s">
        <v>128</v>
      </c>
      <c r="E59" s="11" t="s">
        <v>11</v>
      </c>
      <c r="F59" s="12"/>
      <c r="G59" s="68" t="s">
        <v>129</v>
      </c>
      <c r="H59" s="58">
        <v>0</v>
      </c>
      <c r="I59" s="58">
        <v>0</v>
      </c>
      <c r="J59" s="58">
        <v>0.41699999999999998</v>
      </c>
      <c r="K59" s="58">
        <v>3.4969999999999999</v>
      </c>
      <c r="L59" s="58">
        <v>0.25800000000000001</v>
      </c>
      <c r="M59" s="58">
        <v>0</v>
      </c>
      <c r="N59" s="76">
        <v>0</v>
      </c>
      <c r="O59" s="76">
        <v>0</v>
      </c>
      <c r="P59" s="76">
        <v>0</v>
      </c>
      <c r="Q59" s="76">
        <v>0</v>
      </c>
      <c r="R59" s="76">
        <v>0</v>
      </c>
      <c r="S59" s="58">
        <v>0</v>
      </c>
    </row>
    <row r="60" spans="1:19" ht="12" x14ac:dyDescent="0.2">
      <c r="A60" s="8"/>
      <c r="B60" s="31" t="s">
        <v>130</v>
      </c>
      <c r="C60" s="34" t="s">
        <v>372</v>
      </c>
      <c r="D60" s="32" t="s">
        <v>131</v>
      </c>
      <c r="E60" s="11" t="s">
        <v>11</v>
      </c>
      <c r="F60" s="12"/>
      <c r="G60" s="57" t="s">
        <v>132</v>
      </c>
      <c r="H60" s="58">
        <v>73.417000000000002</v>
      </c>
      <c r="I60" s="58">
        <v>300.827</v>
      </c>
      <c r="J60" s="58">
        <v>16</v>
      </c>
      <c r="K60" s="58">
        <v>363.01</v>
      </c>
      <c r="L60" s="58">
        <v>-103</v>
      </c>
      <c r="M60" s="58">
        <v>195.846</v>
      </c>
      <c r="N60" s="76">
        <v>448.08499999999998</v>
      </c>
      <c r="O60" s="76">
        <v>75</v>
      </c>
      <c r="P60" s="76">
        <v>100</v>
      </c>
      <c r="Q60" s="76">
        <v>85</v>
      </c>
      <c r="R60" s="76">
        <v>70</v>
      </c>
      <c r="S60" s="58">
        <v>60</v>
      </c>
    </row>
    <row r="61" spans="1:19" ht="12" x14ac:dyDescent="0.2">
      <c r="A61" s="8"/>
      <c r="B61" s="31" t="s">
        <v>133</v>
      </c>
      <c r="C61" s="34" t="s">
        <v>134</v>
      </c>
      <c r="D61" s="34" t="s">
        <v>135</v>
      </c>
      <c r="E61" s="11" t="s">
        <v>89</v>
      </c>
      <c r="F61" s="12"/>
      <c r="G61" s="57" t="s">
        <v>136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76">
        <v>0</v>
      </c>
      <c r="O61" s="76">
        <v>0</v>
      </c>
      <c r="P61" s="76">
        <v>0</v>
      </c>
      <c r="Q61" s="76">
        <v>0</v>
      </c>
      <c r="R61" s="76">
        <v>0</v>
      </c>
      <c r="S61" s="58">
        <v>0</v>
      </c>
    </row>
    <row r="62" spans="1:19" ht="12" x14ac:dyDescent="0.2">
      <c r="A62" s="8"/>
      <c r="B62" s="31" t="s">
        <v>137</v>
      </c>
      <c r="C62" s="10">
        <v>253800</v>
      </c>
      <c r="D62" s="34" t="s">
        <v>131</v>
      </c>
      <c r="E62" s="11" t="s">
        <v>11</v>
      </c>
      <c r="F62" s="12"/>
      <c r="G62" s="57" t="s">
        <v>138</v>
      </c>
      <c r="H62" s="58">
        <v>0</v>
      </c>
      <c r="I62" s="58">
        <v>0</v>
      </c>
      <c r="J62" s="58">
        <v>0</v>
      </c>
      <c r="K62" s="58">
        <v>0</v>
      </c>
      <c r="L62" s="58">
        <v>0</v>
      </c>
      <c r="M62" s="58">
        <v>0</v>
      </c>
      <c r="N62" s="76">
        <v>0</v>
      </c>
      <c r="O62" s="76">
        <v>0</v>
      </c>
      <c r="P62" s="76">
        <v>0</v>
      </c>
      <c r="Q62" s="76">
        <v>0</v>
      </c>
      <c r="R62" s="76">
        <v>0</v>
      </c>
      <c r="S62" s="58">
        <v>0</v>
      </c>
    </row>
    <row r="63" spans="1:19" ht="12" x14ac:dyDescent="0.2">
      <c r="A63" s="8"/>
      <c r="B63" s="31" t="s">
        <v>139</v>
      </c>
      <c r="C63" s="10">
        <v>150</v>
      </c>
      <c r="D63" s="34" t="s">
        <v>135</v>
      </c>
      <c r="E63" s="11" t="s">
        <v>89</v>
      </c>
      <c r="F63" s="12"/>
      <c r="G63" s="57" t="s">
        <v>140</v>
      </c>
      <c r="H63" s="58">
        <v>0</v>
      </c>
      <c r="I63" s="58">
        <v>0</v>
      </c>
      <c r="J63" s="58">
        <v>0</v>
      </c>
      <c r="K63" s="58">
        <v>0</v>
      </c>
      <c r="L63" s="58">
        <v>0</v>
      </c>
      <c r="M63" s="58">
        <v>0</v>
      </c>
      <c r="N63" s="76">
        <v>0</v>
      </c>
      <c r="O63" s="76">
        <v>0</v>
      </c>
      <c r="P63" s="76">
        <v>0</v>
      </c>
      <c r="Q63" s="76">
        <v>0</v>
      </c>
      <c r="R63" s="76">
        <v>0</v>
      </c>
      <c r="S63" s="58">
        <v>0</v>
      </c>
    </row>
    <row r="64" spans="1:19" ht="12" x14ac:dyDescent="0.2">
      <c r="A64" s="8"/>
      <c r="B64" s="31" t="s">
        <v>141</v>
      </c>
      <c r="C64" s="34" t="s">
        <v>142</v>
      </c>
      <c r="D64" s="34" t="s">
        <v>131</v>
      </c>
      <c r="E64" s="11" t="s">
        <v>11</v>
      </c>
      <c r="F64" s="12"/>
      <c r="G64" s="57" t="s">
        <v>143</v>
      </c>
      <c r="H64" s="58">
        <v>0</v>
      </c>
      <c r="I64" s="58">
        <v>0</v>
      </c>
      <c r="J64" s="58">
        <v>0</v>
      </c>
      <c r="K64" s="58">
        <v>0</v>
      </c>
      <c r="L64" s="58">
        <v>0</v>
      </c>
      <c r="M64" s="58">
        <v>0</v>
      </c>
      <c r="N64" s="76">
        <v>0</v>
      </c>
      <c r="O64" s="76">
        <v>0</v>
      </c>
      <c r="P64" s="76">
        <v>0</v>
      </c>
      <c r="Q64" s="76">
        <v>0</v>
      </c>
      <c r="R64" s="76">
        <v>0</v>
      </c>
      <c r="S64" s="58">
        <v>0</v>
      </c>
    </row>
    <row r="65" spans="1:19" ht="12" x14ac:dyDescent="0.2">
      <c r="A65" s="8"/>
      <c r="B65" s="31" t="s">
        <v>144</v>
      </c>
      <c r="C65" s="8" t="s">
        <v>373</v>
      </c>
      <c r="D65" s="34" t="s">
        <v>135</v>
      </c>
      <c r="E65" s="11" t="s">
        <v>89</v>
      </c>
      <c r="F65" s="12"/>
      <c r="G65" s="57" t="s">
        <v>145</v>
      </c>
      <c r="H65" s="58">
        <v>0</v>
      </c>
      <c r="I65" s="58">
        <v>0</v>
      </c>
      <c r="J65" s="58">
        <v>0</v>
      </c>
      <c r="K65" s="58">
        <v>0</v>
      </c>
      <c r="L65" s="58">
        <v>0</v>
      </c>
      <c r="M65" s="58">
        <v>0</v>
      </c>
      <c r="N65" s="76">
        <v>0</v>
      </c>
      <c r="O65" s="76">
        <v>0</v>
      </c>
      <c r="P65" s="76">
        <v>0</v>
      </c>
      <c r="Q65" s="76">
        <v>0</v>
      </c>
      <c r="R65" s="76">
        <v>0</v>
      </c>
      <c r="S65" s="58">
        <v>0</v>
      </c>
    </row>
    <row r="66" spans="1:19" ht="12" x14ac:dyDescent="0.2">
      <c r="A66" s="8"/>
      <c r="B66" s="31" t="s">
        <v>146</v>
      </c>
      <c r="C66" s="8" t="s">
        <v>373</v>
      </c>
      <c r="D66" s="34" t="s">
        <v>131</v>
      </c>
      <c r="E66" s="11" t="s">
        <v>11</v>
      </c>
      <c r="F66" s="12"/>
      <c r="G66" s="57" t="s">
        <v>147</v>
      </c>
      <c r="H66" s="58">
        <v>0</v>
      </c>
      <c r="I66" s="58">
        <v>0</v>
      </c>
      <c r="J66" s="58">
        <v>0</v>
      </c>
      <c r="K66" s="58">
        <v>0</v>
      </c>
      <c r="L66" s="58">
        <v>0</v>
      </c>
      <c r="M66" s="58">
        <v>0</v>
      </c>
      <c r="N66" s="76">
        <v>0</v>
      </c>
      <c r="O66" s="76">
        <v>0</v>
      </c>
      <c r="P66" s="76">
        <v>0</v>
      </c>
      <c r="Q66" s="76">
        <v>0</v>
      </c>
      <c r="R66" s="76">
        <v>0</v>
      </c>
      <c r="S66" s="58">
        <v>0</v>
      </c>
    </row>
    <row r="67" spans="1:19" ht="12" x14ac:dyDescent="0.2">
      <c r="A67" s="8"/>
      <c r="B67" s="31" t="s">
        <v>148</v>
      </c>
      <c r="C67" s="8" t="s">
        <v>149</v>
      </c>
      <c r="D67" s="34" t="s">
        <v>135</v>
      </c>
      <c r="E67" s="11" t="s">
        <v>89</v>
      </c>
      <c r="F67" s="12"/>
      <c r="G67" s="57" t="s">
        <v>150</v>
      </c>
      <c r="H67" s="58">
        <v>0</v>
      </c>
      <c r="I67" s="58">
        <v>0</v>
      </c>
      <c r="J67" s="58">
        <v>0</v>
      </c>
      <c r="K67" s="58">
        <v>0</v>
      </c>
      <c r="L67" s="58">
        <v>0</v>
      </c>
      <c r="M67" s="58">
        <v>0</v>
      </c>
      <c r="N67" s="76">
        <v>0</v>
      </c>
      <c r="O67" s="76">
        <v>0</v>
      </c>
      <c r="P67" s="76">
        <v>0</v>
      </c>
      <c r="Q67" s="76">
        <v>0</v>
      </c>
      <c r="R67" s="76">
        <v>0</v>
      </c>
      <c r="S67" s="58">
        <v>0</v>
      </c>
    </row>
    <row r="68" spans="1:19" ht="12" x14ac:dyDescent="0.2">
      <c r="A68" s="8"/>
      <c r="B68" s="31" t="s">
        <v>151</v>
      </c>
      <c r="C68" s="8" t="s">
        <v>149</v>
      </c>
      <c r="D68" s="34" t="s">
        <v>131</v>
      </c>
      <c r="E68" s="11" t="s">
        <v>11</v>
      </c>
      <c r="F68" s="12"/>
      <c r="G68" s="57" t="s">
        <v>152</v>
      </c>
      <c r="H68" s="58">
        <v>0</v>
      </c>
      <c r="I68" s="58">
        <v>0</v>
      </c>
      <c r="J68" s="58">
        <v>0</v>
      </c>
      <c r="K68" s="58">
        <v>0</v>
      </c>
      <c r="L68" s="58">
        <v>0</v>
      </c>
      <c r="M68" s="58">
        <v>0</v>
      </c>
      <c r="N68" s="76">
        <v>0</v>
      </c>
      <c r="O68" s="76">
        <v>0</v>
      </c>
      <c r="P68" s="76">
        <v>0</v>
      </c>
      <c r="Q68" s="76">
        <v>0</v>
      </c>
      <c r="R68" s="76">
        <v>0</v>
      </c>
      <c r="S68" s="58">
        <v>0</v>
      </c>
    </row>
    <row r="69" spans="1:19" ht="12" x14ac:dyDescent="0.2">
      <c r="A69" s="8"/>
      <c r="B69" s="31" t="s">
        <v>153</v>
      </c>
      <c r="C69" s="34" t="s">
        <v>142</v>
      </c>
      <c r="D69" s="34" t="s">
        <v>131</v>
      </c>
      <c r="E69" s="11" t="s">
        <v>11</v>
      </c>
      <c r="F69" s="12"/>
      <c r="G69" s="57" t="s">
        <v>154</v>
      </c>
      <c r="H69" s="58">
        <v>0</v>
      </c>
      <c r="I69" s="58">
        <v>0</v>
      </c>
      <c r="J69" s="58">
        <v>0</v>
      </c>
      <c r="K69" s="58">
        <v>0</v>
      </c>
      <c r="L69" s="58">
        <v>0</v>
      </c>
      <c r="M69" s="58">
        <v>0</v>
      </c>
      <c r="N69" s="76">
        <v>0</v>
      </c>
      <c r="O69" s="76">
        <v>0</v>
      </c>
      <c r="P69" s="76">
        <v>0</v>
      </c>
      <c r="Q69" s="76">
        <v>0</v>
      </c>
      <c r="R69" s="76">
        <v>0</v>
      </c>
      <c r="S69" s="58">
        <v>0</v>
      </c>
    </row>
    <row r="70" spans="1:19" ht="12" x14ac:dyDescent="0.2">
      <c r="A70" s="8"/>
      <c r="B70" s="31" t="s">
        <v>155</v>
      </c>
      <c r="C70" s="35" t="s">
        <v>156</v>
      </c>
      <c r="D70" s="8"/>
      <c r="E70" s="11" t="s">
        <v>72</v>
      </c>
      <c r="F70" s="12"/>
      <c r="G70" s="57" t="s">
        <v>107</v>
      </c>
      <c r="H70" s="58">
        <v>8.3000000000000004E-2</v>
      </c>
      <c r="I70" s="58">
        <v>-0.129</v>
      </c>
      <c r="J70" s="58">
        <v>8.0000000000000002E-3</v>
      </c>
      <c r="K70" s="58">
        <v>1.2999999999999999E-2</v>
      </c>
      <c r="L70" s="58">
        <v>7.0000000000000001E-3</v>
      </c>
      <c r="M70" s="58">
        <v>0</v>
      </c>
      <c r="N70" s="76">
        <v>0</v>
      </c>
      <c r="O70" s="76">
        <v>0</v>
      </c>
      <c r="P70" s="76">
        <v>0</v>
      </c>
      <c r="Q70" s="76">
        <v>0</v>
      </c>
      <c r="R70" s="76">
        <v>0</v>
      </c>
      <c r="S70" s="58">
        <v>0</v>
      </c>
    </row>
    <row r="71" spans="1:19" x14ac:dyDescent="0.2">
      <c r="A71" s="8"/>
      <c r="B71" s="31" t="s">
        <v>157</v>
      </c>
      <c r="C71" s="10"/>
      <c r="D71" s="8"/>
      <c r="E71" s="12"/>
      <c r="F71" s="12"/>
      <c r="G71" s="69" t="s">
        <v>158</v>
      </c>
      <c r="H71" s="56">
        <f t="shared" ref="H71:S71" si="18">SUM(H58:H70)</f>
        <v>52.832000000000001</v>
      </c>
      <c r="I71" s="56">
        <f t="shared" si="18"/>
        <v>-219.30000000000004</v>
      </c>
      <c r="J71" s="56">
        <f t="shared" si="18"/>
        <v>-111.236</v>
      </c>
      <c r="K71" s="56">
        <f t="shared" si="18"/>
        <v>90.996999999999986</v>
      </c>
      <c r="L71" s="56">
        <f t="shared" si="18"/>
        <v>-122.63499999999999</v>
      </c>
      <c r="M71" s="56">
        <f t="shared" si="18"/>
        <v>8.8689999999999998</v>
      </c>
      <c r="N71" s="77">
        <f t="shared" si="18"/>
        <v>-22.496000000000038</v>
      </c>
      <c r="O71" s="77">
        <f t="shared" si="18"/>
        <v>-58</v>
      </c>
      <c r="P71" s="77">
        <f t="shared" si="18"/>
        <v>-35</v>
      </c>
      <c r="Q71" s="77">
        <f t="shared" si="18"/>
        <v>-17</v>
      </c>
      <c r="R71" s="77">
        <f t="shared" si="18"/>
        <v>-55</v>
      </c>
      <c r="S71" s="56">
        <f t="shared" si="18"/>
        <v>-52</v>
      </c>
    </row>
    <row r="72" spans="1:19" x14ac:dyDescent="0.2">
      <c r="A72" s="8"/>
      <c r="B72" s="2"/>
      <c r="C72" s="10"/>
      <c r="D72" s="8"/>
      <c r="E72" s="9"/>
      <c r="G72" s="67"/>
      <c r="H72" s="48"/>
      <c r="I72" s="48"/>
      <c r="J72" s="48"/>
      <c r="K72" s="48"/>
      <c r="L72" s="48"/>
      <c r="M72" s="48"/>
      <c r="N72" s="4"/>
      <c r="O72" s="4"/>
      <c r="P72" s="4"/>
      <c r="Q72" s="4"/>
      <c r="R72" s="4"/>
      <c r="S72" s="48"/>
    </row>
    <row r="73" spans="1:19" x14ac:dyDescent="0.2">
      <c r="A73" s="8"/>
      <c r="B73" s="2"/>
      <c r="C73" s="10"/>
      <c r="D73" s="29" t="s">
        <v>120</v>
      </c>
      <c r="E73" s="30" t="s">
        <v>3</v>
      </c>
      <c r="F73" s="9"/>
      <c r="G73" s="53" t="s">
        <v>159</v>
      </c>
      <c r="H73" s="64">
        <f t="shared" ref="H73:S73" si="19">H57</f>
        <v>2011</v>
      </c>
      <c r="I73" s="64">
        <f t="shared" si="19"/>
        <v>2012</v>
      </c>
      <c r="J73" s="64">
        <f t="shared" si="19"/>
        <v>2013</v>
      </c>
      <c r="K73" s="64">
        <f t="shared" si="19"/>
        <v>2014</v>
      </c>
      <c r="L73" s="64">
        <f t="shared" si="19"/>
        <v>2015</v>
      </c>
      <c r="M73" s="64">
        <f t="shared" si="19"/>
        <v>2016</v>
      </c>
      <c r="N73" s="87">
        <f t="shared" si="19"/>
        <v>2017</v>
      </c>
      <c r="O73" s="87">
        <f t="shared" si="19"/>
        <v>2018</v>
      </c>
      <c r="P73" s="87">
        <f t="shared" si="19"/>
        <v>2019</v>
      </c>
      <c r="Q73" s="87">
        <f t="shared" si="19"/>
        <v>2020</v>
      </c>
      <c r="R73" s="87">
        <f t="shared" si="19"/>
        <v>2021</v>
      </c>
      <c r="S73" s="64">
        <f t="shared" si="19"/>
        <v>2022</v>
      </c>
    </row>
    <row r="74" spans="1:19" ht="12" x14ac:dyDescent="0.2">
      <c r="A74" s="8"/>
      <c r="B74" s="2" t="s">
        <v>160</v>
      </c>
      <c r="C74" s="34" t="s">
        <v>161</v>
      </c>
      <c r="D74" s="34" t="s">
        <v>128</v>
      </c>
      <c r="E74" s="11" t="s">
        <v>11</v>
      </c>
      <c r="G74" s="55" t="s">
        <v>162</v>
      </c>
      <c r="H74" s="58">
        <v>0</v>
      </c>
      <c r="I74" s="58">
        <v>0</v>
      </c>
      <c r="J74" s="58">
        <v>0</v>
      </c>
      <c r="K74" s="58">
        <v>0</v>
      </c>
      <c r="L74" s="58">
        <v>0</v>
      </c>
      <c r="M74" s="58">
        <v>0</v>
      </c>
      <c r="N74" s="76">
        <v>0</v>
      </c>
      <c r="O74" s="76">
        <v>0</v>
      </c>
      <c r="P74" s="76">
        <v>0</v>
      </c>
      <c r="Q74" s="76">
        <v>0</v>
      </c>
      <c r="R74" s="76">
        <v>0</v>
      </c>
      <c r="S74" s="58">
        <v>0</v>
      </c>
    </row>
    <row r="75" spans="1:19" ht="12" x14ac:dyDescent="0.2">
      <c r="A75" s="8"/>
      <c r="B75" s="2" t="s">
        <v>163</v>
      </c>
      <c r="C75" s="34" t="s">
        <v>161</v>
      </c>
      <c r="D75" s="34" t="s">
        <v>124</v>
      </c>
      <c r="E75" s="11" t="s">
        <v>89</v>
      </c>
      <c r="F75" s="12"/>
      <c r="G75" s="57" t="s">
        <v>164</v>
      </c>
      <c r="H75" s="58">
        <v>0</v>
      </c>
      <c r="I75" s="58">
        <v>0</v>
      </c>
      <c r="J75" s="58">
        <v>0</v>
      </c>
      <c r="K75" s="58">
        <v>0</v>
      </c>
      <c r="L75" s="58">
        <v>0</v>
      </c>
      <c r="M75" s="58">
        <v>0</v>
      </c>
      <c r="N75" s="76">
        <v>0</v>
      </c>
      <c r="O75" s="76">
        <v>0</v>
      </c>
      <c r="P75" s="76">
        <v>0</v>
      </c>
      <c r="Q75" s="76">
        <v>0</v>
      </c>
      <c r="R75" s="76">
        <v>0</v>
      </c>
      <c r="S75" s="58">
        <v>0</v>
      </c>
    </row>
    <row r="76" spans="1:19" ht="12" x14ac:dyDescent="0.2">
      <c r="A76" s="8"/>
      <c r="B76" s="2" t="s">
        <v>165</v>
      </c>
      <c r="C76" s="34" t="s">
        <v>166</v>
      </c>
      <c r="D76" s="34" t="s">
        <v>131</v>
      </c>
      <c r="E76" s="11" t="s">
        <v>11</v>
      </c>
      <c r="G76" s="57" t="s">
        <v>167</v>
      </c>
      <c r="H76" s="58">
        <v>0</v>
      </c>
      <c r="I76" s="58">
        <v>180.071</v>
      </c>
      <c r="J76" s="58">
        <v>0</v>
      </c>
      <c r="K76" s="58">
        <v>0</v>
      </c>
      <c r="L76" s="58">
        <v>0</v>
      </c>
      <c r="M76" s="58">
        <v>0</v>
      </c>
      <c r="N76" s="76">
        <v>0</v>
      </c>
      <c r="O76" s="76">
        <v>0</v>
      </c>
      <c r="P76" s="76">
        <v>0</v>
      </c>
      <c r="Q76" s="76">
        <v>0</v>
      </c>
      <c r="R76" s="76">
        <v>0</v>
      </c>
      <c r="S76" s="58">
        <v>0</v>
      </c>
    </row>
    <row r="77" spans="1:19" ht="12" x14ac:dyDescent="0.2">
      <c r="A77" s="8"/>
      <c r="B77" s="2" t="s">
        <v>168</v>
      </c>
      <c r="C77" s="34" t="s">
        <v>166</v>
      </c>
      <c r="D77" s="34" t="s">
        <v>135</v>
      </c>
      <c r="E77" s="11" t="s">
        <v>89</v>
      </c>
      <c r="F77" s="12"/>
      <c r="G77" s="57" t="s">
        <v>169</v>
      </c>
      <c r="H77" s="58">
        <v>-242.203</v>
      </c>
      <c r="I77" s="58">
        <v>-49.917999999999999</v>
      </c>
      <c r="J77" s="58">
        <v>-119.596</v>
      </c>
      <c r="K77" s="58">
        <v>-119.596</v>
      </c>
      <c r="L77" s="58">
        <v>-90.563999999999993</v>
      </c>
      <c r="M77" s="58">
        <v>-49.917999999999999</v>
      </c>
      <c r="N77" s="58">
        <v>-49.917999999999999</v>
      </c>
      <c r="O77" s="58">
        <v>-49.917999999999999</v>
      </c>
      <c r="P77" s="58">
        <v>-49.917999999999999</v>
      </c>
      <c r="Q77" s="58">
        <v>-49.917999999999999</v>
      </c>
      <c r="R77" s="58">
        <v>-49.917999999999999</v>
      </c>
      <c r="S77" s="58">
        <v>-29.119</v>
      </c>
    </row>
    <row r="78" spans="1:19" ht="12" x14ac:dyDescent="0.2">
      <c r="A78" s="8"/>
      <c r="B78" s="2" t="s">
        <v>170</v>
      </c>
      <c r="C78" s="34" t="s">
        <v>171</v>
      </c>
      <c r="D78" s="34" t="s">
        <v>135</v>
      </c>
      <c r="E78" s="11" t="s">
        <v>89</v>
      </c>
      <c r="F78" s="12"/>
      <c r="G78" s="57" t="s">
        <v>172</v>
      </c>
      <c r="H78" s="58">
        <v>0</v>
      </c>
      <c r="I78" s="58">
        <v>0</v>
      </c>
      <c r="J78" s="58">
        <v>0</v>
      </c>
      <c r="K78" s="58">
        <v>0</v>
      </c>
      <c r="L78" s="58">
        <v>0</v>
      </c>
      <c r="M78" s="58">
        <v>0</v>
      </c>
      <c r="N78" s="76">
        <v>0</v>
      </c>
      <c r="O78" s="76">
        <v>0</v>
      </c>
      <c r="P78" s="76">
        <v>0</v>
      </c>
      <c r="Q78" s="76">
        <v>0</v>
      </c>
      <c r="R78" s="76">
        <v>0</v>
      </c>
      <c r="S78" s="58">
        <v>0</v>
      </c>
    </row>
    <row r="79" spans="1:19" ht="12" x14ac:dyDescent="0.2">
      <c r="A79" s="8"/>
      <c r="B79" s="2" t="s">
        <v>173</v>
      </c>
      <c r="C79" s="34" t="s">
        <v>174</v>
      </c>
      <c r="D79" s="34" t="s">
        <v>135</v>
      </c>
      <c r="E79" s="11" t="s">
        <v>89</v>
      </c>
      <c r="F79" s="12"/>
      <c r="G79" s="57" t="s">
        <v>175</v>
      </c>
      <c r="H79" s="58">
        <v>-16.710999999999999</v>
      </c>
      <c r="I79" s="58">
        <v>-10.885</v>
      </c>
      <c r="J79" s="58">
        <v>-7.9809999999999999</v>
      </c>
      <c r="K79" s="58">
        <v>-5.6929999999999996</v>
      </c>
      <c r="L79" s="58">
        <v>-2.927</v>
      </c>
      <c r="M79" s="58">
        <v>-1.5629999999999999</v>
      </c>
      <c r="N79" s="76">
        <v>-0.92200000000000004</v>
      </c>
      <c r="O79" s="76">
        <v>-1</v>
      </c>
      <c r="P79" s="76">
        <v>-1</v>
      </c>
      <c r="Q79" s="76">
        <v>-1</v>
      </c>
      <c r="R79" s="76">
        <v>-1</v>
      </c>
      <c r="S79" s="58">
        <v>-0.312</v>
      </c>
    </row>
    <row r="80" spans="1:19" ht="12" x14ac:dyDescent="0.2">
      <c r="A80" s="8"/>
      <c r="B80" s="2" t="s">
        <v>176</v>
      </c>
      <c r="C80" s="34" t="s">
        <v>177</v>
      </c>
      <c r="D80" s="34" t="s">
        <v>135</v>
      </c>
      <c r="E80" s="11" t="s">
        <v>89</v>
      </c>
      <c r="F80" s="12"/>
      <c r="G80" s="57" t="s">
        <v>178</v>
      </c>
      <c r="H80" s="58">
        <v>0</v>
      </c>
      <c r="I80" s="58">
        <v>0</v>
      </c>
      <c r="J80" s="58">
        <v>0</v>
      </c>
      <c r="K80" s="58">
        <v>0</v>
      </c>
      <c r="L80" s="58">
        <v>0</v>
      </c>
      <c r="M80" s="58">
        <v>0</v>
      </c>
      <c r="N80" s="76">
        <v>0</v>
      </c>
      <c r="O80" s="76">
        <v>0</v>
      </c>
      <c r="P80" s="76">
        <v>0</v>
      </c>
      <c r="Q80" s="76">
        <v>0</v>
      </c>
      <c r="R80" s="76">
        <v>0</v>
      </c>
      <c r="S80" s="58">
        <v>0</v>
      </c>
    </row>
    <row r="81" spans="1:19" ht="12" x14ac:dyDescent="0.2">
      <c r="A81" s="8"/>
      <c r="B81" s="2" t="s">
        <v>179</v>
      </c>
      <c r="C81" s="34" t="s">
        <v>52</v>
      </c>
      <c r="D81" s="34" t="s">
        <v>135</v>
      </c>
      <c r="E81" s="11" t="s">
        <v>89</v>
      </c>
      <c r="F81" s="12"/>
      <c r="G81" s="57" t="s">
        <v>180</v>
      </c>
      <c r="H81" s="58">
        <v>0</v>
      </c>
      <c r="I81" s="58">
        <v>0</v>
      </c>
      <c r="J81" s="58">
        <v>0</v>
      </c>
      <c r="K81" s="58">
        <v>0</v>
      </c>
      <c r="L81" s="58">
        <v>0</v>
      </c>
      <c r="M81" s="58">
        <v>0</v>
      </c>
      <c r="N81" s="76">
        <v>0</v>
      </c>
      <c r="O81" s="76">
        <v>0</v>
      </c>
      <c r="P81" s="76">
        <v>0</v>
      </c>
      <c r="Q81" s="76">
        <v>0</v>
      </c>
      <c r="R81" s="76">
        <v>0</v>
      </c>
      <c r="S81" s="58">
        <v>0</v>
      </c>
    </row>
    <row r="82" spans="1:19" ht="12" x14ac:dyDescent="0.2">
      <c r="A82" s="8"/>
      <c r="B82" s="2" t="s">
        <v>181</v>
      </c>
      <c r="C82" s="34" t="s">
        <v>182</v>
      </c>
      <c r="D82" s="34" t="s">
        <v>131</v>
      </c>
      <c r="E82" s="11" t="s">
        <v>11</v>
      </c>
      <c r="G82" s="57" t="s">
        <v>183</v>
      </c>
      <c r="H82" s="58">
        <v>0</v>
      </c>
      <c r="I82" s="58">
        <v>0</v>
      </c>
      <c r="J82" s="58">
        <v>0</v>
      </c>
      <c r="K82" s="58">
        <v>0</v>
      </c>
      <c r="L82" s="58">
        <v>0</v>
      </c>
      <c r="M82" s="58">
        <v>0</v>
      </c>
      <c r="N82" s="76">
        <v>0</v>
      </c>
      <c r="O82" s="76">
        <v>0</v>
      </c>
      <c r="P82" s="76">
        <v>0</v>
      </c>
      <c r="Q82" s="76">
        <v>0</v>
      </c>
      <c r="R82" s="76">
        <v>0</v>
      </c>
      <c r="S82" s="58">
        <v>0</v>
      </c>
    </row>
    <row r="83" spans="1:19" ht="12" x14ac:dyDescent="0.2">
      <c r="A83" s="8"/>
      <c r="B83" s="2" t="s">
        <v>184</v>
      </c>
      <c r="C83" s="34" t="s">
        <v>182</v>
      </c>
      <c r="D83" s="34" t="s">
        <v>135</v>
      </c>
      <c r="E83" s="11" t="s">
        <v>89</v>
      </c>
      <c r="F83" s="12"/>
      <c r="G83" s="57" t="s">
        <v>374</v>
      </c>
      <c r="H83" s="58">
        <v>0</v>
      </c>
      <c r="I83" s="58">
        <v>0</v>
      </c>
      <c r="J83" s="58">
        <v>0</v>
      </c>
      <c r="K83" s="58">
        <v>0</v>
      </c>
      <c r="L83" s="58">
        <v>0</v>
      </c>
      <c r="M83" s="58">
        <v>0</v>
      </c>
      <c r="N83" s="76">
        <v>0</v>
      </c>
      <c r="O83" s="76">
        <v>0</v>
      </c>
      <c r="P83" s="76">
        <v>0</v>
      </c>
      <c r="Q83" s="76">
        <v>0</v>
      </c>
      <c r="R83" s="76">
        <v>0</v>
      </c>
      <c r="S83" s="58">
        <v>0</v>
      </c>
    </row>
    <row r="84" spans="1:19" ht="12" x14ac:dyDescent="0.2">
      <c r="A84" s="8"/>
      <c r="B84" s="2" t="s">
        <v>185</v>
      </c>
      <c r="C84" s="34" t="s">
        <v>375</v>
      </c>
      <c r="D84" s="34" t="s">
        <v>135</v>
      </c>
      <c r="E84" s="11" t="s">
        <v>89</v>
      </c>
      <c r="F84" s="12"/>
      <c r="G84" s="57" t="s">
        <v>376</v>
      </c>
      <c r="H84" s="58"/>
      <c r="I84" s="58"/>
      <c r="J84" s="58"/>
      <c r="K84" s="58"/>
      <c r="L84" s="58"/>
      <c r="M84" s="58">
        <v>0</v>
      </c>
      <c r="N84" s="76">
        <v>0</v>
      </c>
      <c r="O84" s="76">
        <v>0</v>
      </c>
      <c r="P84" s="76">
        <v>0</v>
      </c>
      <c r="Q84" s="76">
        <v>0</v>
      </c>
      <c r="R84" s="76">
        <v>0</v>
      </c>
      <c r="S84" s="58">
        <v>0</v>
      </c>
    </row>
    <row r="85" spans="1:19" ht="12" x14ac:dyDescent="0.2">
      <c r="A85" s="8"/>
      <c r="B85" s="2" t="s">
        <v>186</v>
      </c>
      <c r="C85" s="36">
        <v>68</v>
      </c>
      <c r="D85" s="34" t="s">
        <v>135</v>
      </c>
      <c r="E85" s="11" t="s">
        <v>89</v>
      </c>
      <c r="F85" s="12"/>
      <c r="G85" s="70" t="s">
        <v>111</v>
      </c>
      <c r="H85" s="58">
        <v>0</v>
      </c>
      <c r="I85" s="58">
        <v>0</v>
      </c>
      <c r="J85" s="58">
        <v>0</v>
      </c>
      <c r="K85" s="58">
        <v>0</v>
      </c>
      <c r="L85" s="58">
        <v>0</v>
      </c>
      <c r="M85" s="58">
        <v>0</v>
      </c>
      <c r="N85" s="76">
        <v>0</v>
      </c>
      <c r="O85" s="76">
        <v>0</v>
      </c>
      <c r="P85" s="76">
        <v>0</v>
      </c>
      <c r="Q85" s="76">
        <v>0</v>
      </c>
      <c r="R85" s="76">
        <v>0</v>
      </c>
      <c r="S85" s="58">
        <v>0</v>
      </c>
    </row>
    <row r="86" spans="1:19" x14ac:dyDescent="0.2">
      <c r="A86" s="8"/>
      <c r="B86" s="2" t="s">
        <v>377</v>
      </c>
      <c r="C86" s="10"/>
      <c r="D86" s="10"/>
      <c r="E86" s="9"/>
      <c r="G86" s="70" t="s">
        <v>158</v>
      </c>
      <c r="H86" s="56">
        <f t="shared" ref="H86:S86" si="20">SUM(H74:H85)</f>
        <v>-258.91399999999999</v>
      </c>
      <c r="I86" s="56">
        <f t="shared" si="20"/>
        <v>119.26799999999999</v>
      </c>
      <c r="J86" s="56">
        <f t="shared" si="20"/>
        <v>-127.577</v>
      </c>
      <c r="K86" s="56">
        <f t="shared" si="20"/>
        <v>-125.289</v>
      </c>
      <c r="L86" s="56">
        <f t="shared" si="20"/>
        <v>-93.491</v>
      </c>
      <c r="M86" s="56">
        <f t="shared" si="20"/>
        <v>-51.481000000000002</v>
      </c>
      <c r="N86" s="56">
        <f t="shared" si="20"/>
        <v>-50.839999999999996</v>
      </c>
      <c r="O86" s="56">
        <f t="shared" si="20"/>
        <v>-50.917999999999999</v>
      </c>
      <c r="P86" s="56">
        <f t="shared" si="20"/>
        <v>-50.917999999999999</v>
      </c>
      <c r="Q86" s="56">
        <f t="shared" si="20"/>
        <v>-50.917999999999999</v>
      </c>
      <c r="R86" s="56">
        <f t="shared" si="20"/>
        <v>-50.917999999999999</v>
      </c>
      <c r="S86" s="56">
        <f t="shared" si="20"/>
        <v>-29.431000000000001</v>
      </c>
    </row>
    <row r="87" spans="1:19" s="4" customFormat="1" x14ac:dyDescent="0.2">
      <c r="A87" s="8"/>
      <c r="B87" s="2" t="s">
        <v>378</v>
      </c>
      <c r="C87" s="10"/>
      <c r="D87" s="10"/>
      <c r="E87" s="9"/>
      <c r="F87" s="8"/>
      <c r="G87" s="89" t="s">
        <v>379</v>
      </c>
      <c r="H87" s="98"/>
      <c r="I87" s="85">
        <f t="shared" ref="I87:S87" si="21">(I14+I15)-(H14+H15-I58-I59+I45)</f>
        <v>-1.9989999999997963</v>
      </c>
      <c r="J87" s="85">
        <f t="shared" si="21"/>
        <v>-1.5580000000004475</v>
      </c>
      <c r="K87" s="85">
        <f t="shared" si="21"/>
        <v>0.99699999999938882</v>
      </c>
      <c r="L87" s="85">
        <f t="shared" si="21"/>
        <v>120.90700000000015</v>
      </c>
      <c r="M87" s="85">
        <f t="shared" si="21"/>
        <v>0</v>
      </c>
      <c r="N87" s="85">
        <f t="shared" si="21"/>
        <v>0</v>
      </c>
      <c r="O87" s="85">
        <f t="shared" si="21"/>
        <v>-0.48099999999976717</v>
      </c>
      <c r="P87" s="85">
        <f t="shared" si="21"/>
        <v>0</v>
      </c>
      <c r="Q87" s="85">
        <f t="shared" si="21"/>
        <v>0</v>
      </c>
      <c r="R87" s="85">
        <f t="shared" si="21"/>
        <v>0</v>
      </c>
      <c r="S87" s="85">
        <f t="shared" si="21"/>
        <v>0</v>
      </c>
    </row>
    <row r="88" spans="1:19" s="4" customFormat="1" x14ac:dyDescent="0.2">
      <c r="A88" s="8"/>
      <c r="B88" s="2" t="s">
        <v>380</v>
      </c>
      <c r="C88" s="10"/>
      <c r="D88" s="10"/>
      <c r="E88" s="9"/>
      <c r="F88" s="8"/>
      <c r="G88" s="89" t="s">
        <v>381</v>
      </c>
      <c r="H88" s="98"/>
      <c r="I88" s="85">
        <f>I24-(H24+(I74+I76)+(I75+I77)+(I78))</f>
        <v>9.9999999997635314E-4</v>
      </c>
      <c r="J88" s="85">
        <f>J24-(I24+(J74+J76)+(J75+J77)+(J78))</f>
        <v>0</v>
      </c>
      <c r="K88" s="85">
        <f>K24-(J24+(K74+K76)+(K75+K77)+(K78))</f>
        <v>0</v>
      </c>
      <c r="L88" s="85">
        <f>L24-(K24+(L74+L76)+(L75+L77)+(L78))</f>
        <v>0</v>
      </c>
      <c r="M88" s="85">
        <f>M24-(L24+(M74+M76)+(M75+M77)+(M78))</f>
        <v>0</v>
      </c>
      <c r="N88" s="85">
        <f t="shared" ref="N88:S88" si="22">N24-(M24+(N74+N76)+(N75+N77)+(N78))</f>
        <v>0</v>
      </c>
      <c r="O88" s="85">
        <f t="shared" si="22"/>
        <v>0.125</v>
      </c>
      <c r="P88" s="85">
        <f t="shared" si="22"/>
        <v>-8.1999999999993634E-2</v>
      </c>
      <c r="Q88" s="85">
        <f t="shared" si="22"/>
        <v>-8.1999999999993634E-2</v>
      </c>
      <c r="R88" s="85">
        <f t="shared" si="22"/>
        <v>-8.2000000000000739E-2</v>
      </c>
      <c r="S88" s="85">
        <f t="shared" si="22"/>
        <v>0.11899999999999977</v>
      </c>
    </row>
    <row r="89" spans="1:19" s="4" customFormat="1" x14ac:dyDescent="0.2">
      <c r="A89" s="8"/>
      <c r="B89" s="2" t="s">
        <v>382</v>
      </c>
      <c r="C89" s="10"/>
      <c r="D89" s="10"/>
      <c r="E89" s="9"/>
      <c r="F89" s="8"/>
      <c r="G89" s="89" t="s">
        <v>383</v>
      </c>
      <c r="H89" s="98"/>
      <c r="I89" s="85">
        <f t="shared" ref="I89:S89" si="23">I28-(H28+(I82+I83))</f>
        <v>0</v>
      </c>
      <c r="J89" s="85">
        <f t="shared" si="23"/>
        <v>0</v>
      </c>
      <c r="K89" s="85">
        <f t="shared" si="23"/>
        <v>0</v>
      </c>
      <c r="L89" s="85">
        <f t="shared" si="23"/>
        <v>0</v>
      </c>
      <c r="M89" s="85">
        <f t="shared" si="23"/>
        <v>0</v>
      </c>
      <c r="N89" s="85">
        <f t="shared" si="23"/>
        <v>0</v>
      </c>
      <c r="O89" s="85">
        <f t="shared" si="23"/>
        <v>0</v>
      </c>
      <c r="P89" s="85">
        <f t="shared" si="23"/>
        <v>0</v>
      </c>
      <c r="Q89" s="85">
        <f t="shared" si="23"/>
        <v>0</v>
      </c>
      <c r="R89" s="85">
        <f t="shared" si="23"/>
        <v>0</v>
      </c>
      <c r="S89" s="85">
        <f t="shared" si="23"/>
        <v>0</v>
      </c>
    </row>
    <row r="90" spans="1:19" s="4" customFormat="1" x14ac:dyDescent="0.2">
      <c r="A90" s="8"/>
      <c r="B90" s="2" t="s">
        <v>384</v>
      </c>
      <c r="C90" s="10"/>
      <c r="D90" s="10"/>
      <c r="E90" s="9"/>
      <c r="F90" s="8"/>
      <c r="G90" s="89" t="s">
        <v>385</v>
      </c>
      <c r="H90" s="98"/>
      <c r="I90" s="85">
        <f t="shared" ref="I90:S90" si="24">I29-(H29+H30)-I84</f>
        <v>0</v>
      </c>
      <c r="J90" s="85">
        <f t="shared" si="24"/>
        <v>0</v>
      </c>
      <c r="K90" s="85">
        <f t="shared" si="24"/>
        <v>0</v>
      </c>
      <c r="L90" s="85">
        <f t="shared" si="24"/>
        <v>0</v>
      </c>
      <c r="M90" s="85">
        <f t="shared" si="24"/>
        <v>0</v>
      </c>
      <c r="N90" s="85">
        <f t="shared" si="24"/>
        <v>0</v>
      </c>
      <c r="O90" s="85">
        <f t="shared" si="24"/>
        <v>0</v>
      </c>
      <c r="P90" s="85">
        <f t="shared" si="24"/>
        <v>0</v>
      </c>
      <c r="Q90" s="85">
        <f t="shared" si="24"/>
        <v>0</v>
      </c>
      <c r="R90" s="85">
        <f t="shared" si="24"/>
        <v>0</v>
      </c>
      <c r="S90" s="85">
        <f t="shared" si="24"/>
        <v>0</v>
      </c>
    </row>
    <row r="91" spans="1:19" s="4" customFormat="1" x14ac:dyDescent="0.2">
      <c r="A91" s="8"/>
      <c r="B91" s="2"/>
      <c r="C91" s="10"/>
      <c r="D91" s="10"/>
      <c r="E91" s="9"/>
      <c r="F91" s="8"/>
      <c r="G91" s="28"/>
      <c r="L91" s="93">
        <f>L90-L87</f>
        <v>-120.90700000000015</v>
      </c>
    </row>
    <row r="92" spans="1:19" s="4" customFormat="1" x14ac:dyDescent="0.2">
      <c r="A92" s="13" t="s">
        <v>0</v>
      </c>
      <c r="B92" s="2"/>
      <c r="C92" s="10"/>
      <c r="D92" s="753" t="s">
        <v>187</v>
      </c>
      <c r="E92" s="754"/>
      <c r="F92" s="8"/>
      <c r="G92" s="94" t="s">
        <v>386</v>
      </c>
      <c r="H92" s="87">
        <f>H73</f>
        <v>2011</v>
      </c>
      <c r="I92" s="87">
        <f t="shared" ref="I92:S92" si="25">I73</f>
        <v>2012</v>
      </c>
      <c r="J92" s="87">
        <f t="shared" si="25"/>
        <v>2013</v>
      </c>
      <c r="K92" s="87">
        <f t="shared" si="25"/>
        <v>2014</v>
      </c>
      <c r="L92" s="87">
        <f t="shared" si="25"/>
        <v>2015</v>
      </c>
      <c r="M92" s="87">
        <f t="shared" si="25"/>
        <v>2016</v>
      </c>
      <c r="N92" s="87">
        <f t="shared" si="25"/>
        <v>2017</v>
      </c>
      <c r="O92" s="87">
        <f t="shared" si="25"/>
        <v>2018</v>
      </c>
      <c r="P92" s="87">
        <f t="shared" si="25"/>
        <v>2019</v>
      </c>
      <c r="Q92" s="87">
        <f t="shared" si="25"/>
        <v>2020</v>
      </c>
      <c r="R92" s="87">
        <f t="shared" si="25"/>
        <v>2021</v>
      </c>
      <c r="S92" s="87">
        <f t="shared" si="25"/>
        <v>2022</v>
      </c>
    </row>
    <row r="93" spans="1:19" s="4" customFormat="1" x14ac:dyDescent="0.2">
      <c r="A93" s="8"/>
      <c r="B93" s="2" t="s">
        <v>387</v>
      </c>
      <c r="C93" s="10" t="s">
        <v>388</v>
      </c>
      <c r="D93" s="10"/>
      <c r="E93" s="9"/>
      <c r="F93" s="8"/>
      <c r="G93" s="95" t="s">
        <v>389</v>
      </c>
      <c r="H93" s="96">
        <f>H5+H11+H12+H13</f>
        <v>319.2</v>
      </c>
      <c r="I93" s="96">
        <f>I5+I11+I12+I13</f>
        <v>109.09399999999999</v>
      </c>
      <c r="J93" s="96">
        <f t="shared" ref="J93:S93" si="26">J5+J11+J12+J13</f>
        <v>93.384</v>
      </c>
      <c r="K93" s="96">
        <f t="shared" si="26"/>
        <v>212.14100000000002</v>
      </c>
      <c r="L93" s="96">
        <f t="shared" si="26"/>
        <v>107.04599999999999</v>
      </c>
      <c r="M93" s="96">
        <f t="shared" si="26"/>
        <v>152.45400000000001</v>
      </c>
      <c r="N93" s="96">
        <f t="shared" si="26"/>
        <v>158.98500000000001</v>
      </c>
      <c r="O93" s="96">
        <f t="shared" si="26"/>
        <v>163</v>
      </c>
      <c r="P93" s="96">
        <f t="shared" si="26"/>
        <v>164</v>
      </c>
      <c r="Q93" s="96">
        <f t="shared" si="26"/>
        <v>179</v>
      </c>
      <c r="R93" s="96">
        <f t="shared" si="26"/>
        <v>162</v>
      </c>
      <c r="S93" s="96">
        <f t="shared" si="26"/>
        <v>181</v>
      </c>
    </row>
    <row r="94" spans="1:19" s="4" customFormat="1" x14ac:dyDescent="0.2">
      <c r="A94" s="8"/>
      <c r="B94" s="2" t="s">
        <v>390</v>
      </c>
      <c r="C94" s="10"/>
      <c r="D94" s="10"/>
      <c r="E94" s="9"/>
      <c r="F94" s="8"/>
      <c r="G94" s="97" t="s">
        <v>391</v>
      </c>
      <c r="H94" s="98"/>
      <c r="I94" s="96">
        <f>I93-H93</f>
        <v>-210.10599999999999</v>
      </c>
      <c r="J94" s="96">
        <f t="shared" ref="J94:S94" si="27">J93-I93</f>
        <v>-15.709999999999994</v>
      </c>
      <c r="K94" s="96">
        <f t="shared" si="27"/>
        <v>118.75700000000002</v>
      </c>
      <c r="L94" s="96">
        <f t="shared" si="27"/>
        <v>-105.09500000000003</v>
      </c>
      <c r="M94" s="96">
        <f t="shared" si="27"/>
        <v>45.408000000000015</v>
      </c>
      <c r="N94" s="96">
        <f t="shared" si="27"/>
        <v>6.5310000000000059</v>
      </c>
      <c r="O94" s="96">
        <f t="shared" si="27"/>
        <v>4.0149999999999864</v>
      </c>
      <c r="P94" s="96">
        <f t="shared" si="27"/>
        <v>1</v>
      </c>
      <c r="Q94" s="96">
        <f t="shared" si="27"/>
        <v>15</v>
      </c>
      <c r="R94" s="96">
        <f t="shared" si="27"/>
        <v>-17</v>
      </c>
      <c r="S94" s="96">
        <f t="shared" si="27"/>
        <v>19</v>
      </c>
    </row>
    <row r="95" spans="1:19" s="4" customFormat="1" x14ac:dyDescent="0.2">
      <c r="A95" s="8"/>
      <c r="B95" s="2" t="s">
        <v>392</v>
      </c>
      <c r="C95" s="10" t="s">
        <v>42</v>
      </c>
      <c r="D95" s="10"/>
      <c r="E95" s="9"/>
      <c r="F95" s="8"/>
      <c r="G95" s="95" t="s">
        <v>393</v>
      </c>
      <c r="H95" s="96">
        <f>H19</f>
        <v>898.50399999999991</v>
      </c>
      <c r="I95" s="96">
        <f t="shared" ref="I95:S95" si="28">I19</f>
        <v>786.36500000000001</v>
      </c>
      <c r="J95" s="96">
        <f t="shared" si="28"/>
        <v>681.64400000000001</v>
      </c>
      <c r="K95" s="96">
        <f t="shared" si="28"/>
        <v>651.82799999999997</v>
      </c>
      <c r="L95" s="96">
        <f t="shared" si="28"/>
        <v>446.08199999999999</v>
      </c>
      <c r="M95" s="96">
        <f t="shared" si="28"/>
        <v>434.19600000000003</v>
      </c>
      <c r="N95" s="96">
        <f>N19</f>
        <v>566.12799999999993</v>
      </c>
      <c r="O95" s="96">
        <f t="shared" si="28"/>
        <v>468</v>
      </c>
      <c r="P95" s="96">
        <f t="shared" si="28"/>
        <v>374</v>
      </c>
      <c r="Q95" s="96">
        <f t="shared" si="28"/>
        <v>271</v>
      </c>
      <c r="R95" s="96">
        <f t="shared" si="28"/>
        <v>175</v>
      </c>
      <c r="S95" s="96">
        <f t="shared" si="28"/>
        <v>102</v>
      </c>
    </row>
    <row r="96" spans="1:19" s="4" customFormat="1" x14ac:dyDescent="0.2">
      <c r="A96" s="8"/>
      <c r="B96" s="2" t="s">
        <v>394</v>
      </c>
      <c r="C96" s="10"/>
      <c r="D96" s="10"/>
      <c r="E96" s="9"/>
      <c r="F96" s="8"/>
      <c r="G96" s="97" t="s">
        <v>391</v>
      </c>
      <c r="H96" s="98"/>
      <c r="I96" s="96">
        <f>I95-H95</f>
        <v>-112.1389999999999</v>
      </c>
      <c r="J96" s="96">
        <f t="shared" ref="J96:S96" si="29">J95-I95</f>
        <v>-104.721</v>
      </c>
      <c r="K96" s="96">
        <f t="shared" si="29"/>
        <v>-29.816000000000031</v>
      </c>
      <c r="L96" s="96">
        <f t="shared" si="29"/>
        <v>-205.74599999999998</v>
      </c>
      <c r="M96" s="96">
        <f t="shared" si="29"/>
        <v>-11.885999999999967</v>
      </c>
      <c r="N96" s="96">
        <f t="shared" si="29"/>
        <v>131.9319999999999</v>
      </c>
      <c r="O96" s="96">
        <f t="shared" si="29"/>
        <v>-98.127999999999929</v>
      </c>
      <c r="P96" s="96">
        <f t="shared" si="29"/>
        <v>-94</v>
      </c>
      <c r="Q96" s="96">
        <f t="shared" si="29"/>
        <v>-103</v>
      </c>
      <c r="R96" s="96">
        <f t="shared" si="29"/>
        <v>-96</v>
      </c>
      <c r="S96" s="96">
        <f t="shared" si="29"/>
        <v>-73</v>
      </c>
    </row>
    <row r="97" spans="1:20" s="40" customFormat="1" x14ac:dyDescent="0.2">
      <c r="A97" s="29" t="s">
        <v>395</v>
      </c>
      <c r="B97" s="2" t="s">
        <v>188</v>
      </c>
      <c r="C97" s="10" t="s">
        <v>396</v>
      </c>
      <c r="D97" s="99"/>
      <c r="E97" s="30"/>
      <c r="F97" s="29"/>
      <c r="G97" s="100" t="s">
        <v>386</v>
      </c>
      <c r="H97" s="101"/>
      <c r="I97" s="102">
        <f>I94-I96</f>
        <v>-97.967000000000098</v>
      </c>
      <c r="J97" s="102">
        <f t="shared" ref="J97:S97" si="30">J94-J96</f>
        <v>89.01100000000001</v>
      </c>
      <c r="K97" s="102">
        <f t="shared" si="30"/>
        <v>148.57300000000004</v>
      </c>
      <c r="L97" s="102">
        <f t="shared" si="30"/>
        <v>100.65099999999995</v>
      </c>
      <c r="M97" s="102">
        <f t="shared" si="30"/>
        <v>57.293999999999983</v>
      </c>
      <c r="N97" s="102">
        <f t="shared" si="30"/>
        <v>-125.4009999999999</v>
      </c>
      <c r="O97" s="102">
        <f t="shared" si="30"/>
        <v>102.14299999999992</v>
      </c>
      <c r="P97" s="102">
        <f t="shared" si="30"/>
        <v>95</v>
      </c>
      <c r="Q97" s="102">
        <f t="shared" si="30"/>
        <v>118</v>
      </c>
      <c r="R97" s="102">
        <f t="shared" si="30"/>
        <v>79</v>
      </c>
      <c r="S97" s="102">
        <f t="shared" si="30"/>
        <v>92</v>
      </c>
    </row>
    <row r="98" spans="1:20" s="4" customFormat="1" x14ac:dyDescent="0.2">
      <c r="A98" s="8"/>
      <c r="B98" s="2"/>
      <c r="C98" s="10"/>
      <c r="D98" s="10"/>
      <c r="E98" s="9"/>
      <c r="F98" s="8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</row>
    <row r="99" spans="1:20" s="4" customFormat="1" x14ac:dyDescent="0.2">
      <c r="A99" s="8"/>
      <c r="B99" s="2" t="s">
        <v>397</v>
      </c>
      <c r="C99" s="10" t="s">
        <v>398</v>
      </c>
      <c r="D99" s="10"/>
      <c r="E99" s="9"/>
      <c r="F99" s="8"/>
      <c r="G99" s="95" t="s">
        <v>399</v>
      </c>
      <c r="H99" s="96">
        <f>H4-H93</f>
        <v>3246.1370000000002</v>
      </c>
      <c r="I99" s="96">
        <f t="shared" ref="I99:S99" si="31">I4-I93</f>
        <v>3660.2320000000004</v>
      </c>
      <c r="J99" s="96">
        <f t="shared" si="31"/>
        <v>3676.16</v>
      </c>
      <c r="K99" s="96">
        <f t="shared" si="31"/>
        <v>3859.3739999999998</v>
      </c>
      <c r="L99" s="96">
        <f t="shared" si="31"/>
        <v>3901.7449999999999</v>
      </c>
      <c r="M99" s="96">
        <f t="shared" si="31"/>
        <v>3984.8870000000002</v>
      </c>
      <c r="N99" s="96">
        <f t="shared" si="31"/>
        <v>4354.8009999999995</v>
      </c>
      <c r="O99" s="96">
        <f t="shared" si="31"/>
        <v>4387</v>
      </c>
      <c r="P99" s="96">
        <f t="shared" si="31"/>
        <v>4407</v>
      </c>
      <c r="Q99" s="96">
        <f t="shared" si="31"/>
        <v>4397</v>
      </c>
      <c r="R99" s="96">
        <f t="shared" si="31"/>
        <v>4412</v>
      </c>
      <c r="S99" s="96">
        <f t="shared" si="31"/>
        <v>4415</v>
      </c>
    </row>
    <row r="100" spans="1:20" s="4" customFormat="1" x14ac:dyDescent="0.2">
      <c r="A100" s="8"/>
      <c r="B100" s="2" t="s">
        <v>400</v>
      </c>
      <c r="C100" s="10"/>
      <c r="D100" s="10"/>
      <c r="E100" s="9"/>
      <c r="F100" s="8"/>
      <c r="G100" s="97" t="s">
        <v>391</v>
      </c>
      <c r="H100" s="98"/>
      <c r="I100" s="96">
        <f>I99-H99</f>
        <v>414.09500000000025</v>
      </c>
      <c r="J100" s="96">
        <f t="shared" ref="J100:S100" si="32">J99-I99</f>
        <v>15.927999999999429</v>
      </c>
      <c r="K100" s="96">
        <f t="shared" si="32"/>
        <v>183.21399999999994</v>
      </c>
      <c r="L100" s="96">
        <f t="shared" si="32"/>
        <v>42.371000000000095</v>
      </c>
      <c r="M100" s="96">
        <f t="shared" si="32"/>
        <v>83.14200000000028</v>
      </c>
      <c r="N100" s="96">
        <f t="shared" si="32"/>
        <v>369.91399999999931</v>
      </c>
      <c r="O100" s="96">
        <f t="shared" si="32"/>
        <v>32.199000000000524</v>
      </c>
      <c r="P100" s="96">
        <f t="shared" si="32"/>
        <v>20</v>
      </c>
      <c r="Q100" s="96">
        <f t="shared" si="32"/>
        <v>-10</v>
      </c>
      <c r="R100" s="96">
        <f t="shared" si="32"/>
        <v>15</v>
      </c>
      <c r="S100" s="96">
        <f t="shared" si="32"/>
        <v>3</v>
      </c>
    </row>
    <row r="101" spans="1:20" s="4" customFormat="1" x14ac:dyDescent="0.2">
      <c r="A101" s="8"/>
      <c r="B101" s="2" t="s">
        <v>401</v>
      </c>
      <c r="C101" s="10" t="s">
        <v>64</v>
      </c>
      <c r="D101" s="10"/>
      <c r="E101" s="9"/>
      <c r="F101" s="8"/>
      <c r="G101" s="95" t="s">
        <v>402</v>
      </c>
      <c r="H101" s="96">
        <f>H27</f>
        <v>2666.8339999999998</v>
      </c>
      <c r="I101" s="96">
        <f t="shared" ref="I101:S101" si="33">I27</f>
        <v>2982.9609999999998</v>
      </c>
      <c r="J101" s="96">
        <f t="shared" si="33"/>
        <v>3087.9010000000003</v>
      </c>
      <c r="K101" s="96">
        <f t="shared" si="33"/>
        <v>3419.6880000000001</v>
      </c>
      <c r="L101" s="96">
        <f t="shared" si="33"/>
        <v>3562.71</v>
      </c>
      <c r="M101" s="96">
        <f t="shared" si="33"/>
        <v>3703.1460000000002</v>
      </c>
      <c r="N101" s="96">
        <f t="shared" si="33"/>
        <v>3947.6610000000001</v>
      </c>
      <c r="O101" s="96">
        <f t="shared" si="33"/>
        <v>4081.6610000000001</v>
      </c>
      <c r="P101" s="96">
        <f t="shared" si="33"/>
        <v>4196.6610000000001</v>
      </c>
      <c r="Q101" s="96">
        <f t="shared" si="33"/>
        <v>4304.6610000000001</v>
      </c>
      <c r="R101" s="96">
        <f t="shared" si="33"/>
        <v>4398.6610000000001</v>
      </c>
      <c r="S101" s="96">
        <f t="shared" si="33"/>
        <v>4493.6610000000001</v>
      </c>
    </row>
    <row r="102" spans="1:20" s="4" customFormat="1" x14ac:dyDescent="0.2">
      <c r="A102" s="8"/>
      <c r="B102" s="2" t="s">
        <v>403</v>
      </c>
      <c r="C102" s="10"/>
      <c r="D102" s="10"/>
      <c r="E102" s="9"/>
      <c r="F102" s="8"/>
      <c r="G102" s="97" t="s">
        <v>391</v>
      </c>
      <c r="H102" s="98"/>
      <c r="I102" s="96">
        <f>I101-H101</f>
        <v>316.12699999999995</v>
      </c>
      <c r="J102" s="96">
        <f t="shared" ref="J102:S102" si="34">J101-I101</f>
        <v>104.94000000000051</v>
      </c>
      <c r="K102" s="96">
        <f t="shared" si="34"/>
        <v>331.78699999999981</v>
      </c>
      <c r="L102" s="96">
        <f t="shared" si="34"/>
        <v>143.02199999999993</v>
      </c>
      <c r="M102" s="96">
        <f t="shared" si="34"/>
        <v>140.43600000000015</v>
      </c>
      <c r="N102" s="96">
        <f t="shared" si="34"/>
        <v>244.51499999999987</v>
      </c>
      <c r="O102" s="96">
        <f t="shared" si="34"/>
        <v>134</v>
      </c>
      <c r="P102" s="96">
        <f t="shared" si="34"/>
        <v>115</v>
      </c>
      <c r="Q102" s="96">
        <f t="shared" si="34"/>
        <v>108</v>
      </c>
      <c r="R102" s="96">
        <f t="shared" si="34"/>
        <v>94</v>
      </c>
      <c r="S102" s="96">
        <f t="shared" si="34"/>
        <v>95</v>
      </c>
    </row>
    <row r="103" spans="1:20" s="40" customFormat="1" x14ac:dyDescent="0.2">
      <c r="A103" s="29" t="s">
        <v>404</v>
      </c>
      <c r="B103" s="2" t="s">
        <v>189</v>
      </c>
      <c r="C103" s="10" t="s">
        <v>405</v>
      </c>
      <c r="D103" s="10"/>
      <c r="E103" s="9"/>
      <c r="F103" s="8"/>
      <c r="G103" s="100" t="s">
        <v>406</v>
      </c>
      <c r="H103" s="101"/>
      <c r="I103" s="102">
        <f>I102-I100</f>
        <v>-97.968000000000302</v>
      </c>
      <c r="J103" s="102">
        <f t="shared" ref="J103:S103" si="35">J102-J100</f>
        <v>89.01200000000108</v>
      </c>
      <c r="K103" s="102">
        <f t="shared" si="35"/>
        <v>148.57299999999987</v>
      </c>
      <c r="L103" s="102">
        <f t="shared" si="35"/>
        <v>100.65099999999984</v>
      </c>
      <c r="M103" s="102">
        <f t="shared" si="35"/>
        <v>57.293999999999869</v>
      </c>
      <c r="N103" s="102">
        <f t="shared" si="35"/>
        <v>-125.39899999999943</v>
      </c>
      <c r="O103" s="102">
        <f t="shared" si="35"/>
        <v>101.80099999999948</v>
      </c>
      <c r="P103" s="102">
        <f t="shared" si="35"/>
        <v>95</v>
      </c>
      <c r="Q103" s="102">
        <f t="shared" si="35"/>
        <v>118</v>
      </c>
      <c r="R103" s="102">
        <f t="shared" si="35"/>
        <v>79</v>
      </c>
      <c r="S103" s="102">
        <f t="shared" si="35"/>
        <v>92</v>
      </c>
    </row>
    <row r="104" spans="1:20" s="4" customFormat="1" x14ac:dyDescent="0.2">
      <c r="A104" s="8"/>
      <c r="B104" s="2"/>
      <c r="C104" s="10"/>
      <c r="D104" s="10"/>
      <c r="E104" s="9"/>
      <c r="F104" s="8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</row>
    <row r="105" spans="1:20" s="4" customFormat="1" x14ac:dyDescent="0.2">
      <c r="A105" s="13"/>
      <c r="B105" s="2"/>
      <c r="C105" s="10"/>
      <c r="D105" s="10"/>
      <c r="E105" s="9"/>
      <c r="F105" s="8"/>
      <c r="G105" s="94" t="s">
        <v>407</v>
      </c>
      <c r="H105" s="87">
        <f t="shared" ref="H105:S105" si="36">H32</f>
        <v>2011</v>
      </c>
      <c r="I105" s="87">
        <f t="shared" si="36"/>
        <v>2012</v>
      </c>
      <c r="J105" s="87">
        <f t="shared" si="36"/>
        <v>2013</v>
      </c>
      <c r="K105" s="87">
        <f t="shared" si="36"/>
        <v>2014</v>
      </c>
      <c r="L105" s="87">
        <f t="shared" si="36"/>
        <v>2015</v>
      </c>
      <c r="M105" s="87">
        <f t="shared" si="36"/>
        <v>2016</v>
      </c>
      <c r="N105" s="87">
        <f t="shared" si="36"/>
        <v>2017</v>
      </c>
      <c r="O105" s="87">
        <f t="shared" si="36"/>
        <v>2018</v>
      </c>
      <c r="P105" s="87">
        <f t="shared" si="36"/>
        <v>2019</v>
      </c>
      <c r="Q105" s="87">
        <f t="shared" si="36"/>
        <v>2020</v>
      </c>
      <c r="R105" s="87">
        <f t="shared" si="36"/>
        <v>2021</v>
      </c>
      <c r="S105" s="87">
        <f t="shared" si="36"/>
        <v>2022</v>
      </c>
    </row>
    <row r="106" spans="1:20" s="40" customFormat="1" x14ac:dyDescent="0.2">
      <c r="A106" s="29" t="s">
        <v>408</v>
      </c>
      <c r="B106" s="2" t="s">
        <v>192</v>
      </c>
      <c r="C106" s="29" t="s">
        <v>409</v>
      </c>
      <c r="D106" s="10"/>
      <c r="E106" s="9"/>
      <c r="F106" s="8"/>
      <c r="G106" s="103" t="s">
        <v>407</v>
      </c>
      <c r="H106" s="101" t="s">
        <v>358</v>
      </c>
      <c r="I106" s="104">
        <f t="shared" ref="I106:N106" si="37">(I48-I45+I50)+(I58+I59)+(I82+I83+I84+I85)-(I85-I49)</f>
        <v>-97.969000000000392</v>
      </c>
      <c r="J106" s="104">
        <f t="shared" si="37"/>
        <v>88.654000000000025</v>
      </c>
      <c r="K106" s="104">
        <f t="shared" si="37"/>
        <v>150.87100000000049</v>
      </c>
      <c r="L106" s="104">
        <f t="shared" si="37"/>
        <v>220.28000000000048</v>
      </c>
      <c r="M106" s="104">
        <f t="shared" si="37"/>
        <v>57.837000000000245</v>
      </c>
      <c r="N106" s="104">
        <f t="shared" si="37"/>
        <v>-125.19900000000024</v>
      </c>
      <c r="O106" s="104">
        <f>(O48-O45+O50)+(O58+O59)+(O82+O83+O84+O85)-(O85-O49)</f>
        <v>101</v>
      </c>
      <c r="P106" s="104">
        <f>(P48-P45+P50)+(P58+P59)+(P82+P83+P84+P85)-(P85-P49)</f>
        <v>95</v>
      </c>
      <c r="Q106" s="104">
        <f>(Q48-Q45+Q50)+(Q58+Q59)+(Q82+Q83+Q84+Q85)-(Q85-Q49)</f>
        <v>118</v>
      </c>
      <c r="R106" s="104">
        <f>(R48-R45+R50)+(R58+R59)+(R82+R83+R84+R85)-(R85-R49)</f>
        <v>79</v>
      </c>
      <c r="S106" s="104">
        <f>(S48-S45+S50)+(S58+S59)+(S82+S83+S84+S85)-(S85-S49)</f>
        <v>92</v>
      </c>
    </row>
    <row r="107" spans="1:20" s="40" customFormat="1" x14ac:dyDescent="0.2">
      <c r="A107" s="29" t="s">
        <v>410</v>
      </c>
      <c r="B107" s="2" t="s">
        <v>194</v>
      </c>
      <c r="C107" s="29" t="s">
        <v>411</v>
      </c>
      <c r="D107" s="10"/>
      <c r="E107" s="9"/>
      <c r="F107" s="8"/>
      <c r="G107" s="89" t="s">
        <v>412</v>
      </c>
      <c r="H107" s="101" t="s">
        <v>358</v>
      </c>
      <c r="I107" s="85">
        <f>I97-I106</f>
        <v>2.0000000002937668E-3</v>
      </c>
      <c r="J107" s="85">
        <f t="shared" ref="J107:S107" si="38">J97-J106</f>
        <v>0.35699999999998511</v>
      </c>
      <c r="K107" s="85">
        <f t="shared" si="38"/>
        <v>-2.2980000000004566</v>
      </c>
      <c r="L107" s="85">
        <f t="shared" si="38"/>
        <v>-119.62900000000053</v>
      </c>
      <c r="M107" s="85">
        <f t="shared" si="38"/>
        <v>-0.54300000000026216</v>
      </c>
      <c r="N107" s="85">
        <f t="shared" si="38"/>
        <v>-0.20199999999965712</v>
      </c>
      <c r="O107" s="85">
        <f t="shared" si="38"/>
        <v>1.1429999999999154</v>
      </c>
      <c r="P107" s="85">
        <f t="shared" si="38"/>
        <v>0</v>
      </c>
      <c r="Q107" s="85">
        <f t="shared" si="38"/>
        <v>0</v>
      </c>
      <c r="R107" s="85">
        <f t="shared" si="38"/>
        <v>0</v>
      </c>
      <c r="S107" s="85">
        <f t="shared" si="38"/>
        <v>0</v>
      </c>
    </row>
    <row r="108" spans="1:20" s="40" customFormat="1" x14ac:dyDescent="0.2">
      <c r="A108" s="29"/>
      <c r="B108" s="2"/>
      <c r="C108" s="29"/>
      <c r="D108" s="10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</row>
    <row r="109" spans="1:20" s="40" customFormat="1" x14ac:dyDescent="0.2">
      <c r="A109" s="29"/>
      <c r="B109" s="2"/>
      <c r="C109" s="29"/>
      <c r="D109" s="10"/>
      <c r="E109" s="9"/>
      <c r="F109" s="8"/>
      <c r="G109" s="94" t="s">
        <v>413</v>
      </c>
      <c r="H109" s="87">
        <f>H105</f>
        <v>2011</v>
      </c>
      <c r="I109" s="87">
        <f t="shared" ref="I109:S109" si="39">I105</f>
        <v>2012</v>
      </c>
      <c r="J109" s="87">
        <f t="shared" si="39"/>
        <v>2013</v>
      </c>
      <c r="K109" s="87">
        <f t="shared" si="39"/>
        <v>2014</v>
      </c>
      <c r="L109" s="87">
        <f t="shared" si="39"/>
        <v>2015</v>
      </c>
      <c r="M109" s="87">
        <f t="shared" si="39"/>
        <v>2016</v>
      </c>
      <c r="N109" s="87">
        <f t="shared" si="39"/>
        <v>2017</v>
      </c>
      <c r="O109" s="87">
        <f t="shared" si="39"/>
        <v>2018</v>
      </c>
      <c r="P109" s="87">
        <f t="shared" si="39"/>
        <v>2019</v>
      </c>
      <c r="Q109" s="87">
        <f t="shared" si="39"/>
        <v>2020</v>
      </c>
      <c r="R109" s="87">
        <f t="shared" si="39"/>
        <v>2021</v>
      </c>
      <c r="S109" s="87">
        <f t="shared" si="39"/>
        <v>2022</v>
      </c>
    </row>
    <row r="110" spans="1:20" s="4" customFormat="1" x14ac:dyDescent="0.2">
      <c r="A110" s="8" t="s">
        <v>414</v>
      </c>
      <c r="B110" s="2" t="s">
        <v>415</v>
      </c>
      <c r="C110" s="34" t="s">
        <v>190</v>
      </c>
      <c r="D110" s="10"/>
      <c r="E110" s="9"/>
      <c r="F110" s="8"/>
      <c r="G110" s="103" t="s">
        <v>191</v>
      </c>
      <c r="H110" s="105">
        <f t="shared" ref="H110:S110" si="40">H33+H38+H41-H45</f>
        <v>256.81000000000023</v>
      </c>
      <c r="I110" s="77">
        <f t="shared" si="40"/>
        <v>433.04299999999967</v>
      </c>
      <c r="J110" s="77">
        <f t="shared" si="40"/>
        <v>223.87100000000001</v>
      </c>
      <c r="K110" s="77">
        <f t="shared" si="40"/>
        <v>428.57700000000051</v>
      </c>
      <c r="L110" s="77">
        <f t="shared" si="40"/>
        <v>242.84200000000047</v>
      </c>
      <c r="M110" s="77">
        <f t="shared" si="40"/>
        <v>246.55900000000025</v>
      </c>
      <c r="N110" s="77">
        <f t="shared" si="40"/>
        <v>346.30199999999979</v>
      </c>
      <c r="O110" s="77">
        <f t="shared" si="40"/>
        <v>235</v>
      </c>
      <c r="P110" s="77">
        <f t="shared" si="40"/>
        <v>231</v>
      </c>
      <c r="Q110" s="77">
        <f t="shared" si="40"/>
        <v>221</v>
      </c>
      <c r="R110" s="77">
        <f t="shared" si="40"/>
        <v>205</v>
      </c>
      <c r="S110" s="77">
        <f t="shared" si="40"/>
        <v>204</v>
      </c>
    </row>
    <row r="111" spans="1:20" s="4" customFormat="1" x14ac:dyDescent="0.2">
      <c r="A111" s="8" t="s">
        <v>416</v>
      </c>
      <c r="B111" s="2" t="s">
        <v>197</v>
      </c>
      <c r="C111" s="8" t="s">
        <v>417</v>
      </c>
      <c r="D111" s="10"/>
      <c r="E111" s="106">
        <v>0</v>
      </c>
      <c r="F111" s="8"/>
      <c r="G111" s="46" t="s">
        <v>193</v>
      </c>
      <c r="H111" s="107">
        <f t="shared" ref="H111:S111" si="41">H110/H33</f>
        <v>0.16377321863702382</v>
      </c>
      <c r="I111" s="108">
        <f t="shared" si="41"/>
        <v>0.19223091343232154</v>
      </c>
      <c r="J111" s="108">
        <f t="shared" si="41"/>
        <v>0.12371331706818377</v>
      </c>
      <c r="K111" s="108">
        <f t="shared" si="41"/>
        <v>0.19445999744093992</v>
      </c>
      <c r="L111" s="108">
        <f t="shared" si="41"/>
        <v>0.11241503786407653</v>
      </c>
      <c r="M111" s="108">
        <f t="shared" si="41"/>
        <v>0.11535933202109389</v>
      </c>
      <c r="N111" s="108">
        <f t="shared" si="41"/>
        <v>0.13058661824845999</v>
      </c>
      <c r="O111" s="108">
        <f t="shared" si="41"/>
        <v>9.5141700404858295E-2</v>
      </c>
      <c r="P111" s="108">
        <f t="shared" si="41"/>
        <v>8.7268605969021529E-2</v>
      </c>
      <c r="Q111" s="108">
        <f t="shared" si="41"/>
        <v>8.157991878922112E-2</v>
      </c>
      <c r="R111" s="108">
        <f t="shared" si="41"/>
        <v>7.5009147457006958E-2</v>
      </c>
      <c r="S111" s="108">
        <f t="shared" si="41"/>
        <v>7.3646209386281594E-2</v>
      </c>
    </row>
    <row r="112" spans="1:20" s="4" customFormat="1" x14ac:dyDescent="0.2">
      <c r="A112" s="8" t="s">
        <v>418</v>
      </c>
      <c r="B112" s="2" t="s">
        <v>200</v>
      </c>
      <c r="C112" s="34" t="s">
        <v>195</v>
      </c>
      <c r="D112" s="10"/>
      <c r="E112" s="109"/>
      <c r="F112" s="8"/>
      <c r="G112" s="110" t="s">
        <v>196</v>
      </c>
      <c r="H112" s="111">
        <f t="shared" ref="H112:S112" si="42">-H33/(H38+H41)</f>
        <v>1.1099908756217709</v>
      </c>
      <c r="I112" s="111">
        <f t="shared" si="42"/>
        <v>1.1698907967660719</v>
      </c>
      <c r="J112" s="111">
        <f t="shared" si="42"/>
        <v>1.0665493003403113</v>
      </c>
      <c r="K112" s="111">
        <f t="shared" si="42"/>
        <v>1.1808058652019382</v>
      </c>
      <c r="L112" s="111">
        <f t="shared" si="42"/>
        <v>1.072453500870036</v>
      </c>
      <c r="M112" s="111">
        <f t="shared" si="42"/>
        <v>1.0712644934092048</v>
      </c>
      <c r="N112" s="111">
        <f t="shared" si="42"/>
        <v>1.102081653686634</v>
      </c>
      <c r="O112" s="111">
        <f t="shared" si="42"/>
        <v>1.0578158458244111</v>
      </c>
      <c r="P112" s="111">
        <f t="shared" si="42"/>
        <v>1.0458316870802054</v>
      </c>
      <c r="Q112" s="111">
        <f t="shared" si="42"/>
        <v>1.041923076923077</v>
      </c>
      <c r="R112" s="111">
        <f t="shared" si="42"/>
        <v>1.0360121304018195</v>
      </c>
      <c r="S112" s="111">
        <f t="shared" si="42"/>
        <v>1.0355140186915888</v>
      </c>
    </row>
    <row r="113" spans="1:20" s="4" customFormat="1" x14ac:dyDescent="0.2">
      <c r="A113" s="8" t="s">
        <v>419</v>
      </c>
      <c r="B113" s="2" t="s">
        <v>420</v>
      </c>
      <c r="C113" s="8" t="s">
        <v>198</v>
      </c>
      <c r="D113" s="10"/>
      <c r="E113" s="109"/>
      <c r="F113" s="8"/>
      <c r="G113" s="103" t="s">
        <v>199</v>
      </c>
      <c r="H113" s="105">
        <f t="shared" ref="H113:S113" si="43">H46</f>
        <v>155.38400000000024</v>
      </c>
      <c r="I113" s="105">
        <f t="shared" si="43"/>
        <v>327.13899999999967</v>
      </c>
      <c r="J113" s="105">
        <f t="shared" si="43"/>
        <v>112.91300000000001</v>
      </c>
      <c r="K113" s="105">
        <f t="shared" si="43"/>
        <v>337.46800000000053</v>
      </c>
      <c r="L113" s="105">
        <f t="shared" si="43"/>
        <v>145.94200000000046</v>
      </c>
      <c r="M113" s="105">
        <f t="shared" si="43"/>
        <v>142.18200000000024</v>
      </c>
      <c r="N113" s="105">
        <f t="shared" si="43"/>
        <v>245.63499999999976</v>
      </c>
      <c r="O113" s="105">
        <f t="shared" si="43"/>
        <v>135</v>
      </c>
      <c r="P113" s="105">
        <f t="shared" si="43"/>
        <v>116</v>
      </c>
      <c r="Q113" s="105">
        <f t="shared" si="43"/>
        <v>109</v>
      </c>
      <c r="R113" s="105">
        <f t="shared" si="43"/>
        <v>95</v>
      </c>
      <c r="S113" s="105">
        <f t="shared" si="43"/>
        <v>95</v>
      </c>
    </row>
    <row r="114" spans="1:20" s="4" customFormat="1" x14ac:dyDescent="0.2">
      <c r="A114" s="8" t="s">
        <v>421</v>
      </c>
      <c r="B114" s="2" t="s">
        <v>422</v>
      </c>
      <c r="C114" s="8" t="s">
        <v>201</v>
      </c>
      <c r="D114" s="106">
        <v>-0.3</v>
      </c>
      <c r="E114" s="106">
        <v>0</v>
      </c>
      <c r="F114" s="8"/>
      <c r="G114" s="110" t="s">
        <v>202</v>
      </c>
      <c r="H114" s="112">
        <f t="shared" ref="H114:S114" si="44">H46/H33</f>
        <v>9.9091693488163726E-2</v>
      </c>
      <c r="I114" s="113">
        <f t="shared" si="44"/>
        <v>0.14521936341041472</v>
      </c>
      <c r="J114" s="113">
        <f t="shared" si="44"/>
        <v>6.2396834650847291E-2</v>
      </c>
      <c r="K114" s="113">
        <f t="shared" si="44"/>
        <v>0.15312073773534077</v>
      </c>
      <c r="L114" s="113">
        <f t="shared" si="44"/>
        <v>6.7558640828024291E-2</v>
      </c>
      <c r="M114" s="113">
        <f t="shared" si="44"/>
        <v>6.6523714589299857E-2</v>
      </c>
      <c r="N114" s="113">
        <f t="shared" si="44"/>
        <v>9.2626216347178061E-2</v>
      </c>
      <c r="O114" s="113">
        <f t="shared" si="44"/>
        <v>5.4655870445344132E-2</v>
      </c>
      <c r="P114" s="113">
        <f t="shared" si="44"/>
        <v>4.38231960710238E-2</v>
      </c>
      <c r="Q114" s="113">
        <f t="shared" si="44"/>
        <v>4.0236249538575117E-2</v>
      </c>
      <c r="R114" s="113">
        <f t="shared" si="44"/>
        <v>3.4760336626417858E-2</v>
      </c>
      <c r="S114" s="113">
        <f t="shared" si="44"/>
        <v>3.4296028880866428E-2</v>
      </c>
    </row>
    <row r="115" spans="1:20" s="4" customFormat="1" x14ac:dyDescent="0.2">
      <c r="A115" s="8" t="s">
        <v>423</v>
      </c>
      <c r="B115" s="2" t="s">
        <v>424</v>
      </c>
      <c r="C115" s="8" t="s">
        <v>204</v>
      </c>
      <c r="D115" s="10"/>
      <c r="E115" s="109"/>
      <c r="F115" s="8"/>
      <c r="G115" s="46" t="s">
        <v>205</v>
      </c>
      <c r="H115" s="105">
        <f t="shared" ref="H115:S115" si="45">H29+H30</f>
        <v>2045.001</v>
      </c>
      <c r="I115" s="105">
        <f t="shared" si="45"/>
        <v>2361.1280000000002</v>
      </c>
      <c r="J115" s="105">
        <f t="shared" si="45"/>
        <v>2466.0680000000002</v>
      </c>
      <c r="K115" s="105">
        <f t="shared" si="45"/>
        <v>2797.855</v>
      </c>
      <c r="L115" s="105">
        <f t="shared" si="45"/>
        <v>2940.877</v>
      </c>
      <c r="M115" s="105">
        <f t="shared" si="45"/>
        <v>3081.3130000000001</v>
      </c>
      <c r="N115" s="105">
        <f t="shared" si="45"/>
        <v>3325.828</v>
      </c>
      <c r="O115" s="105">
        <f t="shared" si="45"/>
        <v>3459.828</v>
      </c>
      <c r="P115" s="105">
        <f t="shared" si="45"/>
        <v>3574.828</v>
      </c>
      <c r="Q115" s="105">
        <f t="shared" si="45"/>
        <v>3682.828</v>
      </c>
      <c r="R115" s="105">
        <f t="shared" si="45"/>
        <v>3776.828</v>
      </c>
      <c r="S115" s="105">
        <f t="shared" si="45"/>
        <v>3871.828</v>
      </c>
    </row>
    <row r="116" spans="1:20" s="4" customFormat="1" x14ac:dyDescent="0.2">
      <c r="A116" s="8"/>
      <c r="B116" s="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</row>
    <row r="117" spans="1:20" s="4" customFormat="1" x14ac:dyDescent="0.2">
      <c r="A117" s="8"/>
      <c r="B117" s="2"/>
      <c r="C117" s="10"/>
      <c r="D117" s="10"/>
      <c r="E117" s="8"/>
      <c r="F117" s="8"/>
      <c r="G117" s="94" t="s">
        <v>206</v>
      </c>
      <c r="H117" s="87">
        <f t="shared" ref="H117:S117" si="46">H105</f>
        <v>2011</v>
      </c>
      <c r="I117" s="87">
        <f t="shared" si="46"/>
        <v>2012</v>
      </c>
      <c r="J117" s="87">
        <f t="shared" si="46"/>
        <v>2013</v>
      </c>
      <c r="K117" s="87">
        <f t="shared" si="46"/>
        <v>2014</v>
      </c>
      <c r="L117" s="87">
        <f t="shared" si="46"/>
        <v>2015</v>
      </c>
      <c r="M117" s="87">
        <f t="shared" si="46"/>
        <v>2016</v>
      </c>
      <c r="N117" s="87">
        <f t="shared" si="46"/>
        <v>2017</v>
      </c>
      <c r="O117" s="87">
        <f t="shared" si="46"/>
        <v>2018</v>
      </c>
      <c r="P117" s="87">
        <f t="shared" si="46"/>
        <v>2019</v>
      </c>
      <c r="Q117" s="87">
        <f t="shared" si="46"/>
        <v>2020</v>
      </c>
      <c r="R117" s="87">
        <f t="shared" si="46"/>
        <v>2021</v>
      </c>
      <c r="S117" s="87">
        <f t="shared" si="46"/>
        <v>2022</v>
      </c>
    </row>
    <row r="118" spans="1:20" s="4" customFormat="1" x14ac:dyDescent="0.2">
      <c r="A118" s="34" t="s">
        <v>425</v>
      </c>
      <c r="B118" s="2" t="s">
        <v>426</v>
      </c>
      <c r="C118" s="10" t="s">
        <v>208</v>
      </c>
      <c r="D118" s="10"/>
      <c r="E118" s="109"/>
      <c r="F118" s="37"/>
      <c r="G118" s="103" t="s">
        <v>209</v>
      </c>
      <c r="H118" s="105">
        <f t="shared" ref="H118:S118" si="47">H6+H12</f>
        <v>256.60399999999998</v>
      </c>
      <c r="I118" s="77">
        <f t="shared" si="47"/>
        <v>32.432000000000002</v>
      </c>
      <c r="J118" s="77">
        <f t="shared" si="47"/>
        <v>12.24</v>
      </c>
      <c r="K118" s="77">
        <f t="shared" si="47"/>
        <v>114.276</v>
      </c>
      <c r="L118" s="77">
        <f t="shared" si="47"/>
        <v>19.794</v>
      </c>
      <c r="M118" s="77">
        <f t="shared" si="47"/>
        <v>50.692</v>
      </c>
      <c r="N118" s="77">
        <f t="shared" si="47"/>
        <v>16.814</v>
      </c>
      <c r="O118" s="77">
        <f t="shared" si="47"/>
        <v>33</v>
      </c>
      <c r="P118" s="77">
        <f t="shared" si="47"/>
        <v>31</v>
      </c>
      <c r="Q118" s="77">
        <f t="shared" si="47"/>
        <v>39</v>
      </c>
      <c r="R118" s="77">
        <f t="shared" si="47"/>
        <v>40</v>
      </c>
      <c r="S118" s="77">
        <f t="shared" si="47"/>
        <v>44</v>
      </c>
    </row>
    <row r="119" spans="1:20" s="4" customFormat="1" x14ac:dyDescent="0.2">
      <c r="A119" s="8" t="s">
        <v>427</v>
      </c>
      <c r="B119" s="2" t="s">
        <v>428</v>
      </c>
      <c r="C119" s="8" t="s">
        <v>42</v>
      </c>
      <c r="D119" s="10"/>
      <c r="E119" s="109"/>
      <c r="F119" s="37"/>
      <c r="G119" s="110" t="s">
        <v>211</v>
      </c>
      <c r="H119" s="105">
        <f t="shared" ref="H119:S119" si="48">H19</f>
        <v>898.50399999999991</v>
      </c>
      <c r="I119" s="105">
        <f t="shared" si="48"/>
        <v>786.36500000000001</v>
      </c>
      <c r="J119" s="105">
        <f t="shared" si="48"/>
        <v>681.64400000000001</v>
      </c>
      <c r="K119" s="105">
        <f t="shared" si="48"/>
        <v>651.82799999999997</v>
      </c>
      <c r="L119" s="105">
        <f t="shared" si="48"/>
        <v>446.08199999999999</v>
      </c>
      <c r="M119" s="105">
        <f t="shared" si="48"/>
        <v>434.19600000000003</v>
      </c>
      <c r="N119" s="105">
        <f t="shared" si="48"/>
        <v>566.12799999999993</v>
      </c>
      <c r="O119" s="105">
        <f t="shared" si="48"/>
        <v>468</v>
      </c>
      <c r="P119" s="105">
        <f t="shared" si="48"/>
        <v>374</v>
      </c>
      <c r="Q119" s="105">
        <f t="shared" si="48"/>
        <v>271</v>
      </c>
      <c r="R119" s="105">
        <f t="shared" si="48"/>
        <v>175</v>
      </c>
      <c r="S119" s="105">
        <f t="shared" si="48"/>
        <v>102</v>
      </c>
    </row>
    <row r="120" spans="1:20" s="4" customFormat="1" x14ac:dyDescent="0.2">
      <c r="A120" s="8" t="s">
        <v>429</v>
      </c>
      <c r="B120" s="2" t="s">
        <v>203</v>
      </c>
      <c r="C120" s="8" t="s">
        <v>430</v>
      </c>
      <c r="D120" s="10"/>
      <c r="E120" s="109"/>
      <c r="F120" s="37"/>
      <c r="G120" s="110" t="s">
        <v>212</v>
      </c>
      <c r="H120" s="105">
        <f t="shared" ref="H120:S120" si="49">H119-H118</f>
        <v>641.89999999999986</v>
      </c>
      <c r="I120" s="77">
        <f t="shared" si="49"/>
        <v>753.93299999999999</v>
      </c>
      <c r="J120" s="77">
        <f t="shared" si="49"/>
        <v>669.404</v>
      </c>
      <c r="K120" s="77">
        <f t="shared" si="49"/>
        <v>537.55200000000002</v>
      </c>
      <c r="L120" s="77">
        <f t="shared" si="49"/>
        <v>426.28800000000001</v>
      </c>
      <c r="M120" s="77">
        <f>M119-M118</f>
        <v>383.50400000000002</v>
      </c>
      <c r="N120" s="77">
        <f t="shared" si="49"/>
        <v>549.31399999999996</v>
      </c>
      <c r="O120" s="77">
        <f t="shared" si="49"/>
        <v>435</v>
      </c>
      <c r="P120" s="77">
        <f t="shared" si="49"/>
        <v>343</v>
      </c>
      <c r="Q120" s="77">
        <f t="shared" si="49"/>
        <v>232</v>
      </c>
      <c r="R120" s="77">
        <f t="shared" si="49"/>
        <v>135</v>
      </c>
      <c r="S120" s="77">
        <f t="shared" si="49"/>
        <v>58</v>
      </c>
    </row>
    <row r="121" spans="1:20" s="4" customFormat="1" x14ac:dyDescent="0.2">
      <c r="A121" s="34" t="s">
        <v>431</v>
      </c>
      <c r="B121" s="2" t="s">
        <v>207</v>
      </c>
      <c r="C121" s="8" t="s">
        <v>432</v>
      </c>
      <c r="D121" s="10"/>
      <c r="E121" s="106">
        <v>0.4</v>
      </c>
      <c r="F121" s="114" t="s">
        <v>433</v>
      </c>
      <c r="G121" s="46" t="s">
        <v>213</v>
      </c>
      <c r="H121" s="115">
        <f t="shared" ref="H121:S121" si="50">H120/H33</f>
        <v>0.40935333142442065</v>
      </c>
      <c r="I121" s="108">
        <f t="shared" si="50"/>
        <v>0.33467630063705123</v>
      </c>
      <c r="J121" s="108">
        <f t="shared" si="50"/>
        <v>0.36991923607215976</v>
      </c>
      <c r="K121" s="108">
        <f t="shared" si="50"/>
        <v>0.2439056704964849</v>
      </c>
      <c r="L121" s="108">
        <f t="shared" si="50"/>
        <v>0.19733481712801476</v>
      </c>
      <c r="M121" s="108">
        <f t="shared" si="50"/>
        <v>0.17943277376781033</v>
      </c>
      <c r="N121" s="108">
        <f t="shared" si="50"/>
        <v>0.20714017711862648</v>
      </c>
      <c r="O121" s="108">
        <f t="shared" si="50"/>
        <v>0.17611336032388664</v>
      </c>
      <c r="P121" s="108">
        <f t="shared" si="50"/>
        <v>0.12958065734794105</v>
      </c>
      <c r="Q121" s="108">
        <f t="shared" si="50"/>
        <v>8.5640457733480987E-2</v>
      </c>
      <c r="R121" s="108">
        <f t="shared" si="50"/>
        <v>4.9396267837541162E-2</v>
      </c>
      <c r="S121" s="108">
        <f t="shared" si="50"/>
        <v>2.0938628158844765E-2</v>
      </c>
    </row>
    <row r="122" spans="1:20" s="4" customFormat="1" x14ac:dyDescent="0.2">
      <c r="A122" s="8" t="s">
        <v>434</v>
      </c>
      <c r="B122" s="2" t="s">
        <v>210</v>
      </c>
      <c r="C122" s="8" t="s">
        <v>435</v>
      </c>
      <c r="D122" s="116">
        <v>0</v>
      </c>
      <c r="E122" s="116">
        <v>5</v>
      </c>
      <c r="F122" s="37"/>
      <c r="G122" s="100" t="s">
        <v>215</v>
      </c>
      <c r="H122" s="111">
        <f t="shared" ref="H122:S122" si="51">H120/H110</f>
        <v>2.4995132588294822</v>
      </c>
      <c r="I122" s="111">
        <f t="shared" si="51"/>
        <v>1.7410118625633033</v>
      </c>
      <c r="J122" s="111">
        <f t="shared" si="51"/>
        <v>2.9901327103555171</v>
      </c>
      <c r="K122" s="111">
        <f t="shared" si="51"/>
        <v>1.2542716944679704</v>
      </c>
      <c r="L122" s="111">
        <f t="shared" si="51"/>
        <v>1.7554129845743289</v>
      </c>
      <c r="M122" s="111">
        <f>M120/M110</f>
        <v>1.5554248678815197</v>
      </c>
      <c r="N122" s="111">
        <f t="shared" si="51"/>
        <v>1.5862282054391841</v>
      </c>
      <c r="O122" s="111">
        <f t="shared" si="51"/>
        <v>1.8510638297872339</v>
      </c>
      <c r="P122" s="111">
        <f t="shared" si="51"/>
        <v>1.4848484848484849</v>
      </c>
      <c r="Q122" s="111">
        <f t="shared" si="51"/>
        <v>1.0497737556561086</v>
      </c>
      <c r="R122" s="111">
        <f t="shared" si="51"/>
        <v>0.65853658536585369</v>
      </c>
      <c r="S122" s="111">
        <f t="shared" si="51"/>
        <v>0.28431372549019607</v>
      </c>
    </row>
    <row r="123" spans="1:20" s="4" customFormat="1" x14ac:dyDescent="0.2">
      <c r="A123" s="8" t="s">
        <v>436</v>
      </c>
      <c r="B123" s="2" t="s">
        <v>437</v>
      </c>
      <c r="C123" s="8" t="s">
        <v>217</v>
      </c>
      <c r="D123" s="10"/>
      <c r="E123" s="109"/>
      <c r="F123" s="37"/>
      <c r="G123" s="110" t="s">
        <v>218</v>
      </c>
      <c r="H123" s="105">
        <f t="shared" ref="H123:S123" si="52">-(H75+H77+H78+H79+H80+H81)</f>
        <v>258.91399999999999</v>
      </c>
      <c r="I123" s="105">
        <f t="shared" si="52"/>
        <v>60.802999999999997</v>
      </c>
      <c r="J123" s="105">
        <f t="shared" si="52"/>
        <v>127.577</v>
      </c>
      <c r="K123" s="105">
        <f t="shared" si="52"/>
        <v>125.289</v>
      </c>
      <c r="L123" s="105">
        <f t="shared" si="52"/>
        <v>93.491</v>
      </c>
      <c r="M123" s="105">
        <f t="shared" si="52"/>
        <v>51.481000000000002</v>
      </c>
      <c r="N123" s="105">
        <f t="shared" si="52"/>
        <v>50.839999999999996</v>
      </c>
      <c r="O123" s="105">
        <f t="shared" si="52"/>
        <v>50.917999999999999</v>
      </c>
      <c r="P123" s="105">
        <f t="shared" si="52"/>
        <v>50.917999999999999</v>
      </c>
      <c r="Q123" s="105">
        <f t="shared" si="52"/>
        <v>50.917999999999999</v>
      </c>
      <c r="R123" s="105">
        <f t="shared" si="52"/>
        <v>50.917999999999999</v>
      </c>
      <c r="S123" s="105">
        <f t="shared" si="52"/>
        <v>29.431000000000001</v>
      </c>
    </row>
    <row r="124" spans="1:20" s="4" customFormat="1" x14ac:dyDescent="0.2">
      <c r="A124" s="8" t="s">
        <v>438</v>
      </c>
      <c r="B124" s="2" t="s">
        <v>439</v>
      </c>
      <c r="C124" s="8" t="s">
        <v>440</v>
      </c>
      <c r="D124" s="10"/>
      <c r="E124" s="116">
        <v>1.2</v>
      </c>
      <c r="F124" s="114" t="s">
        <v>433</v>
      </c>
      <c r="G124" s="110" t="s">
        <v>220</v>
      </c>
      <c r="H124" s="117">
        <f t="shared" ref="H124:S124" si="53">H110/H123</f>
        <v>0.99187374958480512</v>
      </c>
      <c r="I124" s="111">
        <f t="shared" si="53"/>
        <v>7.122066345410583</v>
      </c>
      <c r="J124" s="111">
        <f t="shared" si="53"/>
        <v>1.7547912241234707</v>
      </c>
      <c r="K124" s="111">
        <f t="shared" si="53"/>
        <v>3.4207073246653779</v>
      </c>
      <c r="L124" s="111">
        <f t="shared" si="53"/>
        <v>2.5974906675508924</v>
      </c>
      <c r="M124" s="111">
        <f t="shared" si="53"/>
        <v>4.7893203317728918</v>
      </c>
      <c r="N124" s="111">
        <f t="shared" si="53"/>
        <v>6.8116050354051891</v>
      </c>
      <c r="O124" s="111">
        <f t="shared" si="53"/>
        <v>4.6152637574138815</v>
      </c>
      <c r="P124" s="111">
        <f t="shared" si="53"/>
        <v>4.5367060764366238</v>
      </c>
      <c r="Q124" s="111">
        <f t="shared" si="53"/>
        <v>4.3403118739934801</v>
      </c>
      <c r="R124" s="111">
        <f t="shared" si="53"/>
        <v>4.0260811500844493</v>
      </c>
      <c r="S124" s="111">
        <f t="shared" si="53"/>
        <v>6.9314668206992627</v>
      </c>
    </row>
    <row r="125" spans="1:20" s="4" customFormat="1" x14ac:dyDescent="0.2">
      <c r="A125" s="38" t="s">
        <v>441</v>
      </c>
      <c r="B125" s="2" t="s">
        <v>442</v>
      </c>
      <c r="C125" s="8" t="s">
        <v>222</v>
      </c>
      <c r="D125" s="10"/>
      <c r="E125" s="116">
        <v>0</v>
      </c>
      <c r="F125" s="37"/>
      <c r="G125" s="103" t="s">
        <v>223</v>
      </c>
      <c r="H125" s="105">
        <f t="shared" ref="H125:S125" si="54">H5-H20</f>
        <v>-100.99099999999999</v>
      </c>
      <c r="I125" s="105">
        <f t="shared" si="54"/>
        <v>-138.482</v>
      </c>
      <c r="J125" s="105">
        <f t="shared" si="54"/>
        <v>-169.06700000000001</v>
      </c>
      <c r="K125" s="105">
        <f t="shared" si="54"/>
        <v>-111.05699999999996</v>
      </c>
      <c r="L125" s="105">
        <f t="shared" si="54"/>
        <v>-60.325000000000017</v>
      </c>
      <c r="M125" s="105">
        <f t="shared" si="54"/>
        <v>-52.948999999999984</v>
      </c>
      <c r="N125" s="105">
        <f t="shared" si="54"/>
        <v>-228.26900000000001</v>
      </c>
      <c r="O125" s="105">
        <f t="shared" si="54"/>
        <v>-176</v>
      </c>
      <c r="P125" s="105">
        <f t="shared" si="54"/>
        <v>-131</v>
      </c>
      <c r="Q125" s="105">
        <f t="shared" si="54"/>
        <v>-63</v>
      </c>
      <c r="R125" s="105">
        <f t="shared" si="54"/>
        <v>-34</v>
      </c>
      <c r="S125" s="105">
        <f t="shared" si="54"/>
        <v>79</v>
      </c>
    </row>
    <row r="126" spans="1:20" s="4" customFormat="1" x14ac:dyDescent="0.2">
      <c r="A126" s="34" t="s">
        <v>443</v>
      </c>
      <c r="B126" s="2" t="s">
        <v>444</v>
      </c>
      <c r="C126" s="8" t="s">
        <v>225</v>
      </c>
      <c r="D126" s="10"/>
      <c r="E126" s="116">
        <v>1</v>
      </c>
      <c r="F126" s="114" t="s">
        <v>433</v>
      </c>
      <c r="G126" s="110" t="s">
        <v>226</v>
      </c>
      <c r="H126" s="117">
        <f t="shared" ref="H126:S126" si="55">H5/H20</f>
        <v>0.75965453805531291</v>
      </c>
      <c r="I126" s="117">
        <f t="shared" si="55"/>
        <v>0.44064852812873623</v>
      </c>
      <c r="J126" s="117">
        <f t="shared" si="55"/>
        <v>0.35581499022674706</v>
      </c>
      <c r="K126" s="117">
        <f t="shared" si="55"/>
        <v>0.65638091819875133</v>
      </c>
      <c r="L126" s="117">
        <f t="shared" si="55"/>
        <v>0.63957316380973994</v>
      </c>
      <c r="M126" s="117">
        <f t="shared" si="55"/>
        <v>0.74221895493249856</v>
      </c>
      <c r="N126" s="117">
        <f t="shared" si="55"/>
        <v>0.41054450050871005</v>
      </c>
      <c r="O126" s="117">
        <f t="shared" si="55"/>
        <v>0.4808259587020649</v>
      </c>
      <c r="P126" s="117">
        <f t="shared" si="55"/>
        <v>0.55593220338983051</v>
      </c>
      <c r="Q126" s="117">
        <f t="shared" si="55"/>
        <v>0.73966942148760328</v>
      </c>
      <c r="R126" s="117">
        <f t="shared" si="55"/>
        <v>0.82653061224489799</v>
      </c>
      <c r="S126" s="117">
        <f t="shared" si="55"/>
        <v>1.7745098039215685</v>
      </c>
    </row>
    <row r="127" spans="1:20" s="4" customFormat="1" x14ac:dyDescent="0.2">
      <c r="A127" s="34" t="s">
        <v>445</v>
      </c>
      <c r="B127" s="2" t="s">
        <v>214</v>
      </c>
      <c r="C127" s="34" t="s">
        <v>228</v>
      </c>
      <c r="D127" s="10"/>
      <c r="E127" s="116">
        <v>1</v>
      </c>
      <c r="F127" s="37"/>
      <c r="G127" s="46" t="s">
        <v>229</v>
      </c>
      <c r="H127" s="117">
        <f t="shared" ref="H127:S127" si="56">-H6/((H38+H41-H45+H47)/12)</f>
        <v>2.3188837119634673</v>
      </c>
      <c r="I127" s="117">
        <f t="shared" si="56"/>
        <v>0.21258823156682657</v>
      </c>
      <c r="J127" s="117">
        <f t="shared" si="56"/>
        <v>9.2163064873686792E-2</v>
      </c>
      <c r="K127" s="117">
        <f t="shared" si="56"/>
        <v>0.76995143840358171</v>
      </c>
      <c r="L127" s="117">
        <f t="shared" si="56"/>
        <v>0.12369285087525161</v>
      </c>
      <c r="M127" s="117">
        <f t="shared" si="56"/>
        <v>0.32142896772996976</v>
      </c>
      <c r="N127" s="117">
        <f t="shared" si="56"/>
        <v>8.7477503920420113E-2</v>
      </c>
      <c r="O127" s="117">
        <f t="shared" si="56"/>
        <v>0.17710196779964221</v>
      </c>
      <c r="P127" s="117">
        <f t="shared" si="56"/>
        <v>0.15390980554406289</v>
      </c>
      <c r="Q127" s="117">
        <f t="shared" si="56"/>
        <v>0.18802732020891924</v>
      </c>
      <c r="R127" s="117">
        <f t="shared" si="56"/>
        <v>0.18979833926453143</v>
      </c>
      <c r="S127" s="117">
        <f t="shared" si="56"/>
        <v>0.20576773187840997</v>
      </c>
    </row>
    <row r="128" spans="1:20" s="4" customFormat="1" x14ac:dyDescent="0.2">
      <c r="A128" s="34"/>
      <c r="B128" s="2"/>
      <c r="C128" s="34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</row>
    <row r="129" spans="1:21" s="4" customFormat="1" x14ac:dyDescent="0.2">
      <c r="A129" s="8"/>
      <c r="B129" s="2"/>
      <c r="C129" s="8"/>
      <c r="D129" s="10"/>
      <c r="E129" s="9"/>
      <c r="F129" s="37"/>
      <c r="G129" s="94" t="s">
        <v>230</v>
      </c>
      <c r="H129" s="87">
        <f t="shared" ref="H129:S129" si="57">H117</f>
        <v>2011</v>
      </c>
      <c r="I129" s="87">
        <f t="shared" si="57"/>
        <v>2012</v>
      </c>
      <c r="J129" s="87">
        <f t="shared" si="57"/>
        <v>2013</v>
      </c>
      <c r="K129" s="87">
        <f t="shared" si="57"/>
        <v>2014</v>
      </c>
      <c r="L129" s="87">
        <f t="shared" si="57"/>
        <v>2015</v>
      </c>
      <c r="M129" s="87">
        <f t="shared" si="57"/>
        <v>2016</v>
      </c>
      <c r="N129" s="87">
        <f t="shared" si="57"/>
        <v>2017</v>
      </c>
      <c r="O129" s="87">
        <f t="shared" si="57"/>
        <v>2018</v>
      </c>
      <c r="P129" s="87">
        <f t="shared" si="57"/>
        <v>2019</v>
      </c>
      <c r="Q129" s="87">
        <f t="shared" si="57"/>
        <v>2020</v>
      </c>
      <c r="R129" s="87">
        <f t="shared" si="57"/>
        <v>2021</v>
      </c>
      <c r="S129" s="87">
        <f t="shared" si="57"/>
        <v>2022</v>
      </c>
    </row>
    <row r="130" spans="1:21" s="4" customFormat="1" x14ac:dyDescent="0.2">
      <c r="A130" s="34" t="s">
        <v>446</v>
      </c>
      <c r="B130" s="2" t="s">
        <v>216</v>
      </c>
      <c r="C130" s="34" t="s">
        <v>232</v>
      </c>
      <c r="D130" s="10"/>
      <c r="E130" s="106">
        <v>0.6</v>
      </c>
      <c r="F130" s="37"/>
      <c r="G130" s="103" t="s">
        <v>233</v>
      </c>
      <c r="H130" s="115">
        <f t="shared" ref="H130:S130" si="58">H17/H4</f>
        <v>0</v>
      </c>
      <c r="I130" s="115">
        <f t="shared" si="58"/>
        <v>0</v>
      </c>
      <c r="J130" s="115">
        <f t="shared" si="58"/>
        <v>0</v>
      </c>
      <c r="K130" s="115">
        <f t="shared" si="58"/>
        <v>0</v>
      </c>
      <c r="L130" s="115">
        <f t="shared" si="58"/>
        <v>0</v>
      </c>
      <c r="M130" s="115">
        <f t="shared" si="58"/>
        <v>0</v>
      </c>
      <c r="N130" s="115">
        <f t="shared" si="58"/>
        <v>0</v>
      </c>
      <c r="O130" s="115">
        <f t="shared" si="58"/>
        <v>0</v>
      </c>
      <c r="P130" s="115">
        <f t="shared" si="58"/>
        <v>0</v>
      </c>
      <c r="Q130" s="115">
        <f t="shared" si="58"/>
        <v>0</v>
      </c>
      <c r="R130" s="115">
        <f t="shared" si="58"/>
        <v>0</v>
      </c>
      <c r="S130" s="115">
        <f t="shared" si="58"/>
        <v>0</v>
      </c>
    </row>
    <row r="131" spans="1:21" s="4" customFormat="1" x14ac:dyDescent="0.2">
      <c r="A131" s="34" t="s">
        <v>447</v>
      </c>
      <c r="B131" s="2" t="s">
        <v>219</v>
      </c>
      <c r="C131" s="34" t="s">
        <v>235</v>
      </c>
      <c r="D131" s="10"/>
      <c r="E131" s="106">
        <v>0.4</v>
      </c>
      <c r="F131" s="37"/>
      <c r="G131" s="46" t="s">
        <v>236</v>
      </c>
      <c r="H131" s="115" t="e">
        <f t="shared" ref="H131:S131" si="59">H27/H17</f>
        <v>#DIV/0!</v>
      </c>
      <c r="I131" s="115" t="e">
        <f t="shared" si="59"/>
        <v>#DIV/0!</v>
      </c>
      <c r="J131" s="115" t="e">
        <f t="shared" si="59"/>
        <v>#DIV/0!</v>
      </c>
      <c r="K131" s="115" t="e">
        <f t="shared" si="59"/>
        <v>#DIV/0!</v>
      </c>
      <c r="L131" s="115" t="e">
        <f t="shared" si="59"/>
        <v>#DIV/0!</v>
      </c>
      <c r="M131" s="115" t="e">
        <f t="shared" si="59"/>
        <v>#DIV/0!</v>
      </c>
      <c r="N131" s="115" t="e">
        <f t="shared" si="59"/>
        <v>#DIV/0!</v>
      </c>
      <c r="O131" s="115" t="e">
        <f t="shared" si="59"/>
        <v>#DIV/0!</v>
      </c>
      <c r="P131" s="115" t="e">
        <f t="shared" si="59"/>
        <v>#DIV/0!</v>
      </c>
      <c r="Q131" s="115" t="e">
        <f t="shared" si="59"/>
        <v>#DIV/0!</v>
      </c>
      <c r="R131" s="115" t="e">
        <f t="shared" si="59"/>
        <v>#DIV/0!</v>
      </c>
      <c r="S131" s="115" t="e">
        <f t="shared" si="59"/>
        <v>#DIV/0!</v>
      </c>
    </row>
    <row r="132" spans="1:21" s="4" customFormat="1" x14ac:dyDescent="0.2">
      <c r="A132" s="34"/>
      <c r="B132" s="2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</row>
    <row r="133" spans="1:21" s="4" customFormat="1" x14ac:dyDescent="0.2">
      <c r="A133" s="8"/>
      <c r="B133" s="2"/>
      <c r="C133" s="8"/>
      <c r="D133" s="10"/>
      <c r="E133" s="9"/>
      <c r="F133" s="37"/>
      <c r="G133" s="94" t="s">
        <v>237</v>
      </c>
      <c r="H133" s="87">
        <f t="shared" ref="H133:S133" si="60">H117</f>
        <v>2011</v>
      </c>
      <c r="I133" s="87">
        <f t="shared" si="60"/>
        <v>2012</v>
      </c>
      <c r="J133" s="87">
        <f t="shared" si="60"/>
        <v>2013</v>
      </c>
      <c r="K133" s="87">
        <f t="shared" si="60"/>
        <v>2014</v>
      </c>
      <c r="L133" s="87">
        <f t="shared" si="60"/>
        <v>2015</v>
      </c>
      <c r="M133" s="87">
        <f t="shared" si="60"/>
        <v>2016</v>
      </c>
      <c r="N133" s="87">
        <f t="shared" si="60"/>
        <v>2017</v>
      </c>
      <c r="O133" s="87">
        <f t="shared" si="60"/>
        <v>2018</v>
      </c>
      <c r="P133" s="87">
        <f t="shared" si="60"/>
        <v>2019</v>
      </c>
      <c r="Q133" s="87">
        <f t="shared" si="60"/>
        <v>2020</v>
      </c>
      <c r="R133" s="87">
        <f t="shared" si="60"/>
        <v>2021</v>
      </c>
      <c r="S133" s="87">
        <f t="shared" si="60"/>
        <v>2022</v>
      </c>
    </row>
    <row r="134" spans="1:21" s="4" customFormat="1" x14ac:dyDescent="0.2">
      <c r="A134" s="34" t="s">
        <v>448</v>
      </c>
      <c r="B134" s="2" t="s">
        <v>221</v>
      </c>
      <c r="C134" s="39" t="s">
        <v>239</v>
      </c>
      <c r="D134" s="10"/>
      <c r="E134" s="109"/>
      <c r="F134" s="37"/>
      <c r="G134" s="110" t="s">
        <v>240</v>
      </c>
      <c r="H134" s="118">
        <f t="shared" ref="H134:S134" si="61">H10/H4</f>
        <v>0.91047129626175594</v>
      </c>
      <c r="I134" s="118">
        <f t="shared" si="61"/>
        <v>0.97105742512056537</v>
      </c>
      <c r="J134" s="118">
        <f t="shared" si="61"/>
        <v>0.97522671177203391</v>
      </c>
      <c r="K134" s="118">
        <f t="shared" si="61"/>
        <v>0.94789629904347639</v>
      </c>
      <c r="L134" s="118">
        <f t="shared" si="61"/>
        <v>0.97329718610922844</v>
      </c>
      <c r="M134" s="118">
        <f t="shared" si="61"/>
        <v>0.96315169573888149</v>
      </c>
      <c r="N134" s="118">
        <f t="shared" si="61"/>
        <v>0.96477790484528958</v>
      </c>
      <c r="O134" s="118">
        <f t="shared" si="61"/>
        <v>0.96417582417582415</v>
      </c>
      <c r="P134" s="118">
        <f t="shared" si="61"/>
        <v>0.96412163640341286</v>
      </c>
      <c r="Q134" s="118">
        <f t="shared" si="61"/>
        <v>0.96088286713286708</v>
      </c>
      <c r="R134" s="118">
        <f t="shared" si="61"/>
        <v>0.9645824223874071</v>
      </c>
      <c r="S134" s="118">
        <f t="shared" si="61"/>
        <v>0.96061792863359441</v>
      </c>
    </row>
    <row r="135" spans="1:21" s="4" customFormat="1" x14ac:dyDescent="0.2">
      <c r="A135" s="34" t="s">
        <v>449</v>
      </c>
      <c r="B135" s="2" t="s">
        <v>224</v>
      </c>
      <c r="C135" s="39" t="s">
        <v>242</v>
      </c>
      <c r="D135" s="10"/>
      <c r="E135" s="109"/>
      <c r="F135" s="37"/>
      <c r="G135" s="110" t="s">
        <v>243</v>
      </c>
      <c r="H135" s="118">
        <f t="shared" ref="H135:S135" si="62">-(H58)/H15</f>
        <v>6.3750161549966673E-3</v>
      </c>
      <c r="I135" s="118">
        <f t="shared" si="62"/>
        <v>0.14230286325408492</v>
      </c>
      <c r="J135" s="118">
        <f t="shared" si="62"/>
        <v>3.4795148777668483E-2</v>
      </c>
      <c r="K135" s="118">
        <f t="shared" si="62"/>
        <v>7.1548006002779108E-2</v>
      </c>
      <c r="L135" s="118">
        <f t="shared" si="62"/>
        <v>5.1096770350315861E-3</v>
      </c>
      <c r="M135" s="118">
        <f t="shared" si="62"/>
        <v>4.7012113268374886E-2</v>
      </c>
      <c r="N135" s="118">
        <f t="shared" si="62"/>
        <v>0.10825018903141614</v>
      </c>
      <c r="O135" s="118">
        <f t="shared" si="62"/>
        <v>3.0365296803652967E-2</v>
      </c>
      <c r="P135" s="118">
        <f t="shared" si="62"/>
        <v>3.0681818181818182E-2</v>
      </c>
      <c r="Q135" s="118">
        <f t="shared" si="62"/>
        <v>2.3234624145785875E-2</v>
      </c>
      <c r="R135" s="118">
        <f t="shared" si="62"/>
        <v>2.8376844494892167E-2</v>
      </c>
      <c r="S135" s="118">
        <f t="shared" si="62"/>
        <v>2.5408348457350273E-2</v>
      </c>
    </row>
    <row r="136" spans="1:21" s="4" customFormat="1" x14ac:dyDescent="0.2">
      <c r="A136" s="34" t="s">
        <v>450</v>
      </c>
      <c r="B136" s="2" t="s">
        <v>227</v>
      </c>
      <c r="C136" s="8" t="s">
        <v>245</v>
      </c>
      <c r="D136" s="10"/>
      <c r="E136" s="109"/>
      <c r="F136" s="37"/>
      <c r="G136" s="103" t="s">
        <v>246</v>
      </c>
      <c r="H136" s="111">
        <f t="shared" ref="H136:S136" si="63">H33/H4</f>
        <v>0.43981340333326135</v>
      </c>
      <c r="I136" s="111">
        <f t="shared" si="63"/>
        <v>0.59764610436985277</v>
      </c>
      <c r="J136" s="111">
        <f t="shared" si="63"/>
        <v>0.48005673895834616</v>
      </c>
      <c r="K136" s="111">
        <f t="shared" si="63"/>
        <v>0.54130563193307657</v>
      </c>
      <c r="L136" s="111">
        <f t="shared" si="63"/>
        <v>0.53887244308820303</v>
      </c>
      <c r="M136" s="111">
        <f t="shared" si="63"/>
        <v>0.5165909699007164</v>
      </c>
      <c r="N136" s="111">
        <f t="shared" si="63"/>
        <v>0.58751013007705732</v>
      </c>
      <c r="O136" s="111">
        <f t="shared" si="63"/>
        <v>0.54285714285714282</v>
      </c>
      <c r="P136" s="111">
        <f t="shared" si="63"/>
        <v>0.5790855392693065</v>
      </c>
      <c r="Q136" s="111">
        <f t="shared" si="63"/>
        <v>0.59200174825174823</v>
      </c>
      <c r="R136" s="111">
        <f t="shared" si="63"/>
        <v>0.59750765194578048</v>
      </c>
      <c r="S136" s="111">
        <f t="shared" si="63"/>
        <v>0.60269799825935599</v>
      </c>
    </row>
    <row r="137" spans="1:21" s="4" customFormat="1" x14ac:dyDescent="0.2">
      <c r="A137" s="34" t="s">
        <v>451</v>
      </c>
      <c r="B137" s="2" t="s">
        <v>231</v>
      </c>
      <c r="C137" s="39" t="s">
        <v>248</v>
      </c>
      <c r="D137" s="10"/>
      <c r="E137" s="109"/>
      <c r="F137" s="37"/>
      <c r="G137" s="46" t="s">
        <v>249</v>
      </c>
      <c r="H137" s="111">
        <f t="shared" ref="H137:S137" si="64">H33/H15</f>
        <v>0.48367304322506482</v>
      </c>
      <c r="I137" s="111">
        <f t="shared" si="64"/>
        <v>0.61648108842405536</v>
      </c>
      <c r="J137" s="111">
        <f t="shared" si="64"/>
        <v>0.49322132250511114</v>
      </c>
      <c r="K137" s="111">
        <f t="shared" si="64"/>
        <v>0.57231912784678218</v>
      </c>
      <c r="L137" s="111">
        <f t="shared" si="64"/>
        <v>0.55467649710327538</v>
      </c>
      <c r="M137" s="111">
        <f t="shared" si="64"/>
        <v>0.5373901648115551</v>
      </c>
      <c r="N137" s="111">
        <f t="shared" si="64"/>
        <v>0.61002916616154768</v>
      </c>
      <c r="O137" s="111">
        <f t="shared" si="64"/>
        <v>0.5639269406392694</v>
      </c>
      <c r="P137" s="111">
        <f t="shared" si="64"/>
        <v>0.60159090909090907</v>
      </c>
      <c r="Q137" s="111">
        <f t="shared" si="64"/>
        <v>0.61708428246013669</v>
      </c>
      <c r="R137" s="111">
        <f t="shared" si="64"/>
        <v>0.62043132803632239</v>
      </c>
      <c r="S137" s="111">
        <f t="shared" si="64"/>
        <v>0.6284029038112523</v>
      </c>
    </row>
    <row r="138" spans="1:21" s="4" customFormat="1" x14ac:dyDescent="0.2">
      <c r="A138" s="8" t="s">
        <v>452</v>
      </c>
      <c r="B138" s="2" t="s">
        <v>234</v>
      </c>
      <c r="C138" s="39" t="s">
        <v>251</v>
      </c>
      <c r="D138" s="106">
        <v>0.5</v>
      </c>
      <c r="E138" s="106">
        <f>1/3</f>
        <v>0.33333333333333331</v>
      </c>
      <c r="F138" s="114" t="s">
        <v>433</v>
      </c>
      <c r="G138" s="100" t="s">
        <v>252</v>
      </c>
      <c r="H138" s="118">
        <f t="shared" ref="H138:S138" si="65">H27/H4</f>
        <v>0.74798932050462541</v>
      </c>
      <c r="I138" s="118">
        <f t="shared" si="65"/>
        <v>0.79137782192360107</v>
      </c>
      <c r="J138" s="118">
        <f t="shared" si="65"/>
        <v>0.81917096603727146</v>
      </c>
      <c r="K138" s="118">
        <f t="shared" si="65"/>
        <v>0.83990553884733332</v>
      </c>
      <c r="L138" s="118">
        <f t="shared" si="65"/>
        <v>0.88872430615614539</v>
      </c>
      <c r="M138" s="118">
        <f t="shared" si="65"/>
        <v>0.89505457732393823</v>
      </c>
      <c r="N138" s="118">
        <f t="shared" si="65"/>
        <v>0.87457867962725766</v>
      </c>
      <c r="O138" s="118">
        <f t="shared" si="65"/>
        <v>0.89706835164835164</v>
      </c>
      <c r="P138" s="118">
        <f t="shared" si="65"/>
        <v>0.91810566615620215</v>
      </c>
      <c r="Q138" s="118">
        <f t="shared" si="65"/>
        <v>0.94070388986013986</v>
      </c>
      <c r="R138" s="118">
        <f t="shared" si="65"/>
        <v>0.96166615653694798</v>
      </c>
      <c r="S138" s="118">
        <f t="shared" si="65"/>
        <v>0.97773302872062662</v>
      </c>
    </row>
    <row r="139" spans="1:21" s="4" customFormat="1" x14ac:dyDescent="0.2">
      <c r="A139" s="8"/>
      <c r="B139" s="2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</row>
    <row r="140" spans="1:21" s="4" customFormat="1" x14ac:dyDescent="0.2">
      <c r="A140" s="40"/>
      <c r="B140" s="2"/>
      <c r="C140" s="2"/>
      <c r="D140" s="41"/>
      <c r="E140" s="42"/>
      <c r="F140" s="37"/>
      <c r="G140" s="94" t="s">
        <v>253</v>
      </c>
      <c r="H140" s="87">
        <f t="shared" ref="H140:S140" si="66">H133</f>
        <v>2011</v>
      </c>
      <c r="I140" s="87">
        <f t="shared" si="66"/>
        <v>2012</v>
      </c>
      <c r="J140" s="87">
        <f t="shared" si="66"/>
        <v>2013</v>
      </c>
      <c r="K140" s="87">
        <f t="shared" si="66"/>
        <v>2014</v>
      </c>
      <c r="L140" s="87">
        <f t="shared" si="66"/>
        <v>2015</v>
      </c>
      <c r="M140" s="87">
        <f t="shared" si="66"/>
        <v>2016</v>
      </c>
      <c r="N140" s="87">
        <f t="shared" si="66"/>
        <v>2017</v>
      </c>
      <c r="O140" s="87">
        <f t="shared" si="66"/>
        <v>2018</v>
      </c>
      <c r="P140" s="87">
        <f t="shared" si="66"/>
        <v>2019</v>
      </c>
      <c r="Q140" s="87">
        <f t="shared" si="66"/>
        <v>2020</v>
      </c>
      <c r="R140" s="87">
        <f t="shared" si="66"/>
        <v>2021</v>
      </c>
      <c r="S140" s="87">
        <f t="shared" si="66"/>
        <v>2022</v>
      </c>
    </row>
    <row r="141" spans="1:21" s="4" customFormat="1" x14ac:dyDescent="0.2">
      <c r="A141" s="8" t="s">
        <v>453</v>
      </c>
      <c r="B141" s="2" t="s">
        <v>238</v>
      </c>
      <c r="C141" s="8" t="s">
        <v>255</v>
      </c>
      <c r="D141" s="43"/>
      <c r="E141" s="106">
        <v>0.05</v>
      </c>
      <c r="F141" s="8"/>
      <c r="G141" s="103" t="s">
        <v>256</v>
      </c>
      <c r="H141" s="108">
        <f t="shared" ref="H141:S141" si="67">H35/H33</f>
        <v>0.51388925203576596</v>
      </c>
      <c r="I141" s="108">
        <f t="shared" si="67"/>
        <v>0.41849974453139599</v>
      </c>
      <c r="J141" s="108">
        <f t="shared" si="67"/>
        <v>0.57503142968454268</v>
      </c>
      <c r="K141" s="108">
        <f t="shared" si="67"/>
        <v>0.5274717845452721</v>
      </c>
      <c r="L141" s="108">
        <f t="shared" si="67"/>
        <v>0.55497084334192648</v>
      </c>
      <c r="M141" s="108">
        <f t="shared" si="67"/>
        <v>0.52938479296200414</v>
      </c>
      <c r="N141" s="108">
        <f t="shared" si="67"/>
        <v>0.49689222235420327</v>
      </c>
      <c r="O141" s="108">
        <f t="shared" si="67"/>
        <v>0.58259109311740886</v>
      </c>
      <c r="P141" s="108">
        <f t="shared" si="67"/>
        <v>0.54401208915753685</v>
      </c>
      <c r="Q141" s="108">
        <f t="shared" si="67"/>
        <v>0.53488372093023251</v>
      </c>
      <c r="R141" s="108">
        <f t="shared" si="67"/>
        <v>0.5342114892060007</v>
      </c>
      <c r="S141" s="108">
        <f t="shared" si="67"/>
        <v>0.53068592057761732</v>
      </c>
    </row>
    <row r="142" spans="1:21" s="4" customFormat="1" x14ac:dyDescent="0.2">
      <c r="A142" s="8" t="s">
        <v>454</v>
      </c>
      <c r="B142" s="2" t="s">
        <v>241</v>
      </c>
      <c r="C142" s="8" t="s">
        <v>258</v>
      </c>
      <c r="D142" s="10"/>
      <c r="E142" s="106">
        <v>0.95</v>
      </c>
      <c r="F142" s="8"/>
      <c r="G142" s="110" t="s">
        <v>259</v>
      </c>
      <c r="H142" s="118">
        <f t="shared" ref="H142:S142" si="68">(H36+H34)/H33</f>
        <v>0.48611074796423398</v>
      </c>
      <c r="I142" s="118">
        <f t="shared" si="68"/>
        <v>0.58084460450752262</v>
      </c>
      <c r="J142" s="118">
        <f t="shared" si="68"/>
        <v>0.42121192863596546</v>
      </c>
      <c r="K142" s="118">
        <f t="shared" si="68"/>
        <v>0.47045374317016747</v>
      </c>
      <c r="L142" s="118">
        <f t="shared" si="68"/>
        <v>0.44550132925845287</v>
      </c>
      <c r="M142" s="118">
        <f t="shared" si="68"/>
        <v>0.46938469002902239</v>
      </c>
      <c r="N142" s="118">
        <f t="shared" si="68"/>
        <v>0.49499433424023198</v>
      </c>
      <c r="O142" s="118">
        <f t="shared" si="68"/>
        <v>0.41417004048582995</v>
      </c>
      <c r="P142" s="118">
        <f t="shared" si="68"/>
        <v>0.45447676615035892</v>
      </c>
      <c r="Q142" s="118">
        <f t="shared" si="68"/>
        <v>0.46400885935769659</v>
      </c>
      <c r="R142" s="118">
        <f t="shared" si="68"/>
        <v>0.46469081595316503</v>
      </c>
      <c r="S142" s="118">
        <f t="shared" si="68"/>
        <v>0.46859205776173285</v>
      </c>
    </row>
    <row r="143" spans="1:21" s="4" customFormat="1" x14ac:dyDescent="0.2">
      <c r="A143" s="8" t="s">
        <v>455</v>
      </c>
      <c r="B143" s="2" t="s">
        <v>244</v>
      </c>
      <c r="C143" s="8" t="s">
        <v>261</v>
      </c>
      <c r="D143" s="10"/>
      <c r="E143" s="106">
        <v>0.95</v>
      </c>
      <c r="F143" s="8"/>
      <c r="G143" s="46" t="s">
        <v>262</v>
      </c>
      <c r="H143" s="108">
        <f t="shared" ref="H143:S143" si="69">H38/(H38+H41)</f>
        <v>7.0786487425842319E-5</v>
      </c>
      <c r="I143" s="108">
        <f t="shared" si="69"/>
        <v>0</v>
      </c>
      <c r="J143" s="108">
        <f t="shared" si="69"/>
        <v>5.8938563620053729E-5</v>
      </c>
      <c r="K143" s="108">
        <f t="shared" si="69"/>
        <v>5.3577188119151393E-5</v>
      </c>
      <c r="L143" s="108">
        <f t="shared" si="69"/>
        <v>4.9645407675676484E-5</v>
      </c>
      <c r="M143" s="108">
        <f t="shared" si="69"/>
        <v>0</v>
      </c>
      <c r="N143" s="108">
        <f t="shared" si="69"/>
        <v>-4.1558268848752835E-5</v>
      </c>
      <c r="O143" s="108">
        <f t="shared" si="69"/>
        <v>0</v>
      </c>
      <c r="P143" s="108">
        <f t="shared" si="69"/>
        <v>0</v>
      </c>
      <c r="Q143" s="108">
        <f t="shared" si="69"/>
        <v>0</v>
      </c>
      <c r="R143" s="108">
        <f t="shared" si="69"/>
        <v>0</v>
      </c>
      <c r="S143" s="108">
        <f t="shared" si="69"/>
        <v>0</v>
      </c>
    </row>
    <row r="144" spans="1:21" s="4" customFormat="1" x14ac:dyDescent="0.2">
      <c r="A144" s="8"/>
      <c r="B144" s="2"/>
      <c r="C144" s="8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</row>
    <row r="145" spans="1:19" s="4" customFormat="1" x14ac:dyDescent="0.2">
      <c r="A145" s="40"/>
      <c r="B145" s="2"/>
      <c r="C145" s="119"/>
      <c r="D145" s="41"/>
      <c r="E145" s="42"/>
      <c r="F145" s="37"/>
      <c r="G145" s="94"/>
      <c r="H145" s="87">
        <f>H140</f>
        <v>2011</v>
      </c>
      <c r="I145" s="87">
        <f t="shared" ref="I145:S145" si="70">I140</f>
        <v>2012</v>
      </c>
      <c r="J145" s="87">
        <f t="shared" si="70"/>
        <v>2013</v>
      </c>
      <c r="K145" s="87">
        <f t="shared" si="70"/>
        <v>2014</v>
      </c>
      <c r="L145" s="87">
        <f t="shared" si="70"/>
        <v>2015</v>
      </c>
      <c r="M145" s="87">
        <f t="shared" si="70"/>
        <v>2016</v>
      </c>
      <c r="N145" s="87">
        <f t="shared" si="70"/>
        <v>2017</v>
      </c>
      <c r="O145" s="87">
        <f t="shared" si="70"/>
        <v>2018</v>
      </c>
      <c r="P145" s="87">
        <f t="shared" si="70"/>
        <v>2019</v>
      </c>
      <c r="Q145" s="87">
        <f t="shared" si="70"/>
        <v>2020</v>
      </c>
      <c r="R145" s="87">
        <f t="shared" si="70"/>
        <v>2021</v>
      </c>
      <c r="S145" s="87">
        <f t="shared" si="70"/>
        <v>2022</v>
      </c>
    </row>
    <row r="146" spans="1:19" s="4" customFormat="1" x14ac:dyDescent="0.2">
      <c r="A146" s="4" t="s">
        <v>456</v>
      </c>
      <c r="B146" s="2" t="s">
        <v>247</v>
      </c>
      <c r="C146" s="8" t="s">
        <v>264</v>
      </c>
      <c r="D146" s="120">
        <v>0.5</v>
      </c>
      <c r="E146" s="121" t="s">
        <v>265</v>
      </c>
      <c r="G146" s="103" t="s">
        <v>266</v>
      </c>
      <c r="H146" s="111">
        <f t="shared" ref="H146:S146" si="71">IF(H141&lt;$D$146,$E$146,H35/H4)</f>
        <v>0.22601538087423434</v>
      </c>
      <c r="I146" s="111" t="str">
        <f t="shared" si="71"/>
        <v>N/A</v>
      </c>
      <c r="J146" s="111">
        <f t="shared" si="71"/>
        <v>0.27604771293291713</v>
      </c>
      <c r="K146" s="111">
        <f t="shared" si="71"/>
        <v>0.28552344766014615</v>
      </c>
      <c r="L146" s="111">
        <f t="shared" si="71"/>
        <v>0.29905849419438435</v>
      </c>
      <c r="M146" s="111">
        <f t="shared" si="71"/>
        <v>0.27347540364693168</v>
      </c>
      <c r="N146" s="111" t="str">
        <f t="shared" si="71"/>
        <v>N/A</v>
      </c>
      <c r="O146" s="111">
        <f t="shared" si="71"/>
        <v>0.31626373626373627</v>
      </c>
      <c r="P146" s="111">
        <f t="shared" si="71"/>
        <v>0.31502953401881428</v>
      </c>
      <c r="Q146" s="111">
        <f t="shared" si="71"/>
        <v>0.31665209790209792</v>
      </c>
      <c r="R146" s="111">
        <f t="shared" si="71"/>
        <v>0.31919545255793619</v>
      </c>
      <c r="S146" s="111">
        <f t="shared" si="71"/>
        <v>0.31984334203655351</v>
      </c>
    </row>
    <row r="147" spans="1:19" s="4" customFormat="1" x14ac:dyDescent="0.2">
      <c r="A147" s="4" t="s">
        <v>457</v>
      </c>
      <c r="B147" s="2" t="s">
        <v>250</v>
      </c>
      <c r="C147" s="8" t="s">
        <v>267</v>
      </c>
      <c r="D147" s="120">
        <v>0.5</v>
      </c>
      <c r="E147" s="121" t="s">
        <v>265</v>
      </c>
      <c r="G147" s="110" t="s">
        <v>268</v>
      </c>
      <c r="H147" s="111">
        <f t="shared" ref="H147:S147" si="72">IF(H141&lt;$D$147,$E$147,H35/H15)</f>
        <v>0.24855437841279127</v>
      </c>
      <c r="I147" s="111" t="str">
        <f t="shared" si="72"/>
        <v>N/A</v>
      </c>
      <c r="J147" s="111">
        <f t="shared" si="72"/>
        <v>0.28361776223101498</v>
      </c>
      <c r="K147" s="111">
        <f t="shared" si="72"/>
        <v>0.30188219169473596</v>
      </c>
      <c r="L147" s="111">
        <f t="shared" si="72"/>
        <v>0.30782928337935039</v>
      </c>
      <c r="M147" s="111">
        <f t="shared" si="72"/>
        <v>0.28448618113858237</v>
      </c>
      <c r="N147" s="111" t="str">
        <f t="shared" si="72"/>
        <v>N/A</v>
      </c>
      <c r="O147" s="111">
        <f t="shared" si="72"/>
        <v>0.3285388127853881</v>
      </c>
      <c r="P147" s="111">
        <f t="shared" si="72"/>
        <v>0.32727272727272727</v>
      </c>
      <c r="Q147" s="111">
        <f t="shared" si="72"/>
        <v>0.33006833712984057</v>
      </c>
      <c r="R147" s="111">
        <f t="shared" si="72"/>
        <v>0.33144154370034051</v>
      </c>
      <c r="S147" s="111">
        <f t="shared" si="72"/>
        <v>0.33348457350272231</v>
      </c>
    </row>
    <row r="148" spans="1:19" s="4" customFormat="1" x14ac:dyDescent="0.2">
      <c r="A148" s="4" t="s">
        <v>458</v>
      </c>
      <c r="B148" s="2" t="s">
        <v>254</v>
      </c>
      <c r="C148" s="8" t="s">
        <v>201</v>
      </c>
      <c r="D148" s="120">
        <v>0.5</v>
      </c>
      <c r="E148" s="121" t="s">
        <v>265</v>
      </c>
      <c r="G148" s="103" t="s">
        <v>269</v>
      </c>
      <c r="H148" s="118">
        <f t="shared" ref="H148:S148" si="73">IF(H141&lt;$D$148,$E$148,H46/H33)</f>
        <v>9.9091693488163726E-2</v>
      </c>
      <c r="I148" s="118" t="str">
        <f t="shared" si="73"/>
        <v>N/A</v>
      </c>
      <c r="J148" s="118">
        <f t="shared" si="73"/>
        <v>6.2396834650847291E-2</v>
      </c>
      <c r="K148" s="118">
        <f t="shared" si="73"/>
        <v>0.15312073773534077</v>
      </c>
      <c r="L148" s="118">
        <f t="shared" si="73"/>
        <v>6.7558640828024291E-2</v>
      </c>
      <c r="M148" s="118">
        <f t="shared" si="73"/>
        <v>6.6523714589299857E-2</v>
      </c>
      <c r="N148" s="118" t="str">
        <f t="shared" si="73"/>
        <v>N/A</v>
      </c>
      <c r="O148" s="118">
        <f t="shared" si="73"/>
        <v>5.4655870445344132E-2</v>
      </c>
      <c r="P148" s="118">
        <f t="shared" si="73"/>
        <v>4.38231960710238E-2</v>
      </c>
      <c r="Q148" s="118">
        <f t="shared" si="73"/>
        <v>4.0236249538575117E-2</v>
      </c>
      <c r="R148" s="118">
        <f t="shared" si="73"/>
        <v>3.4760336626417858E-2</v>
      </c>
      <c r="S148" s="118">
        <f t="shared" si="73"/>
        <v>3.4296028880866428E-2</v>
      </c>
    </row>
    <row r="149" spans="1:19" s="4" customFormat="1" x14ac:dyDescent="0.2">
      <c r="A149" s="4" t="s">
        <v>459</v>
      </c>
      <c r="B149" s="2" t="s">
        <v>257</v>
      </c>
      <c r="C149" s="8" t="s">
        <v>270</v>
      </c>
      <c r="D149" s="120">
        <v>0.5</v>
      </c>
      <c r="E149" s="121" t="s">
        <v>265</v>
      </c>
      <c r="G149" s="110" t="s">
        <v>271</v>
      </c>
      <c r="H149" s="118">
        <f t="shared" ref="H149:S149" si="74">IF(H141&lt;$D$148,$E$149,H51/H33)</f>
        <v>8.848766296171838E-2</v>
      </c>
      <c r="I149" s="118" t="str">
        <f t="shared" si="74"/>
        <v>N/A</v>
      </c>
      <c r="J149" s="118">
        <f t="shared" si="74"/>
        <v>5.7990876411572759E-2</v>
      </c>
      <c r="K149" s="118">
        <f t="shared" si="74"/>
        <v>0.15054352807298244</v>
      </c>
      <c r="L149" s="118">
        <f t="shared" si="74"/>
        <v>6.6206931030859464E-2</v>
      </c>
      <c r="M149" s="118">
        <f t="shared" si="74"/>
        <v>6.5707268893231932E-2</v>
      </c>
      <c r="N149" s="118" t="str">
        <f t="shared" si="74"/>
        <v>N/A</v>
      </c>
      <c r="O149" s="118">
        <f t="shared" si="74"/>
        <v>5.4251012145748991E-2</v>
      </c>
      <c r="P149" s="118">
        <f t="shared" si="74"/>
        <v>4.3445409897997736E-2</v>
      </c>
      <c r="Q149" s="118">
        <f t="shared" si="74"/>
        <v>3.9867109634551492E-2</v>
      </c>
      <c r="R149" s="118">
        <f t="shared" si="74"/>
        <v>3.4394438346139776E-2</v>
      </c>
      <c r="S149" s="118">
        <f t="shared" si="74"/>
        <v>3.4296028880866428E-2</v>
      </c>
    </row>
    <row r="150" spans="1:19" s="4" customFormat="1" x14ac:dyDescent="0.2">
      <c r="A150" s="4" t="s">
        <v>460</v>
      </c>
      <c r="B150" s="2" t="s">
        <v>260</v>
      </c>
      <c r="C150" s="8" t="s">
        <v>272</v>
      </c>
      <c r="D150" s="120">
        <v>0.5</v>
      </c>
      <c r="E150" s="121" t="s">
        <v>265</v>
      </c>
      <c r="G150" s="110" t="s">
        <v>273</v>
      </c>
      <c r="H150" s="118">
        <f t="shared" ref="H150:S150" si="75">IF(H141&lt;$D$150,$E$150,H51/H4)</f>
        <v>3.8918060200199944E-2</v>
      </c>
      <c r="I150" s="118" t="str">
        <f t="shared" si="75"/>
        <v>N/A</v>
      </c>
      <c r="J150" s="118">
        <f t="shared" si="75"/>
        <v>2.7838911019476099E-2</v>
      </c>
      <c r="K150" s="118">
        <f t="shared" si="75"/>
        <v>8.1490059596980621E-2</v>
      </c>
      <c r="L150" s="118">
        <f t="shared" si="75"/>
        <v>3.5677090673971401E-2</v>
      </c>
      <c r="M150" s="118">
        <f t="shared" si="75"/>
        <v>3.3943781767081863E-2</v>
      </c>
      <c r="N150" s="118" t="str">
        <f t="shared" si="75"/>
        <v>N/A</v>
      </c>
      <c r="O150" s="118">
        <f t="shared" si="75"/>
        <v>2.9450549450549451E-2</v>
      </c>
      <c r="P150" s="118">
        <f t="shared" si="75"/>
        <v>2.5158608619558084E-2</v>
      </c>
      <c r="Q150" s="118">
        <f t="shared" si="75"/>
        <v>2.36013986013986E-2</v>
      </c>
      <c r="R150" s="118">
        <f t="shared" si="75"/>
        <v>2.0550940096195888E-2</v>
      </c>
      <c r="S150" s="118">
        <f t="shared" si="75"/>
        <v>2.0670147954743257E-2</v>
      </c>
    </row>
    <row r="151" spans="1:19" s="4" customFormat="1" x14ac:dyDescent="0.2">
      <c r="A151" s="4" t="s">
        <v>461</v>
      </c>
      <c r="B151" s="2" t="s">
        <v>263</v>
      </c>
      <c r="C151" s="8" t="s">
        <v>274</v>
      </c>
      <c r="D151" s="120">
        <v>0.5</v>
      </c>
      <c r="E151" s="121" t="s">
        <v>265</v>
      </c>
      <c r="G151" s="46" t="s">
        <v>275</v>
      </c>
      <c r="H151" s="118">
        <f>IF(H141&lt;$D$151,$E$151,H51/H27)</f>
        <v>5.2030235102747402E-2</v>
      </c>
      <c r="I151" s="118" t="str">
        <f>IF(I141&lt;$D$151,$E$151,I51/((H27+I27)/2))</f>
        <v>N/A</v>
      </c>
      <c r="J151" s="118">
        <f>IF(J141&lt;$D$151,$E$151,J51/((I27+J27)/2))</f>
        <v>3.4571696737629685E-2</v>
      </c>
      <c r="K151" s="118">
        <f>IF(K141&lt;$D$151,$E$151,K51/((J27+K27)/2))</f>
        <v>0.10196956199907539</v>
      </c>
      <c r="L151" s="118">
        <f>IF(L141&lt;$D$151,$E$151,L51/((K27+L27)/2))</f>
        <v>4.0966441615044133E-2</v>
      </c>
      <c r="M151" s="118">
        <f>IF(M141&lt;$D$151,$E$151,M51/((L27+M27)/2))</f>
        <v>3.8656697848126975E-2</v>
      </c>
      <c r="N151" s="118" t="str">
        <f t="shared" ref="N151:S151" si="76">IF(N141&lt;$D$151,$E$151,N51/((M27+N27)/2))</f>
        <v>N/A</v>
      </c>
      <c r="O151" s="118">
        <f t="shared" si="76"/>
        <v>3.3377662522439629E-2</v>
      </c>
      <c r="P151" s="118">
        <f t="shared" si="76"/>
        <v>2.7783408280083813E-2</v>
      </c>
      <c r="Q151" s="118">
        <f t="shared" si="76"/>
        <v>2.5407813043665444E-2</v>
      </c>
      <c r="R151" s="118">
        <f t="shared" si="76"/>
        <v>2.1600947316438482E-2</v>
      </c>
      <c r="S151" s="118">
        <f t="shared" si="76"/>
        <v>2.1366747627897417E-2</v>
      </c>
    </row>
    <row r="152" spans="1:19" s="4" customFormat="1" x14ac:dyDescent="0.2">
      <c r="A152" s="8"/>
      <c r="B152" s="2"/>
      <c r="C152" s="119"/>
      <c r="D152" s="41"/>
      <c r="E152" s="42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</row>
    <row r="153" spans="1:19" s="4" customFormat="1" x14ac:dyDescent="0.2">
      <c r="A153" s="8"/>
      <c r="B153" s="2"/>
      <c r="C153" s="10"/>
      <c r="D153" s="10"/>
      <c r="E153" s="9"/>
      <c r="F153" s="8"/>
      <c r="G153" s="94" t="s">
        <v>462</v>
      </c>
      <c r="H153" s="87">
        <f>H145</f>
        <v>2011</v>
      </c>
      <c r="I153" s="87">
        <f t="shared" ref="I153:S153" si="77">I145</f>
        <v>2012</v>
      </c>
      <c r="J153" s="87">
        <f t="shared" si="77"/>
        <v>2013</v>
      </c>
      <c r="K153" s="87">
        <f t="shared" si="77"/>
        <v>2014</v>
      </c>
      <c r="L153" s="87">
        <f t="shared" si="77"/>
        <v>2015</v>
      </c>
      <c r="M153" s="87">
        <f t="shared" si="77"/>
        <v>2016</v>
      </c>
      <c r="N153" s="87">
        <f t="shared" si="77"/>
        <v>2017</v>
      </c>
      <c r="O153" s="87">
        <f t="shared" si="77"/>
        <v>2018</v>
      </c>
      <c r="P153" s="87">
        <f t="shared" si="77"/>
        <v>2019</v>
      </c>
      <c r="Q153" s="87">
        <f t="shared" si="77"/>
        <v>2020</v>
      </c>
      <c r="R153" s="87">
        <f t="shared" si="77"/>
        <v>2021</v>
      </c>
      <c r="S153" s="87">
        <f t="shared" si="77"/>
        <v>2022</v>
      </c>
    </row>
    <row r="154" spans="1:19" s="4" customFormat="1" x14ac:dyDescent="0.2">
      <c r="A154" s="8"/>
      <c r="B154" s="2"/>
      <c r="C154" s="10"/>
      <c r="D154" s="10"/>
      <c r="E154" s="9"/>
      <c r="F154" s="8"/>
      <c r="G154" s="95" t="s">
        <v>276</v>
      </c>
      <c r="H154" s="96">
        <f t="shared" ref="H154:S154" si="78">H33</f>
        <v>1568.0830000000001</v>
      </c>
      <c r="I154" s="96">
        <f t="shared" si="78"/>
        <v>2252.723</v>
      </c>
      <c r="J154" s="96">
        <f t="shared" si="78"/>
        <v>1809.595</v>
      </c>
      <c r="K154" s="96">
        <f t="shared" si="78"/>
        <v>2203.9340000000002</v>
      </c>
      <c r="L154" s="96">
        <f>L33</f>
        <v>2160.2270000000003</v>
      </c>
      <c r="M154" s="96">
        <f t="shared" si="78"/>
        <v>2137.3130000000001</v>
      </c>
      <c r="N154" s="96">
        <f t="shared" si="78"/>
        <v>2651.895</v>
      </c>
      <c r="O154" s="96">
        <f t="shared" si="78"/>
        <v>2470</v>
      </c>
      <c r="P154" s="96">
        <f t="shared" si="78"/>
        <v>2647</v>
      </c>
      <c r="Q154" s="96">
        <f t="shared" si="78"/>
        <v>2709</v>
      </c>
      <c r="R154" s="96">
        <f t="shared" si="78"/>
        <v>2733</v>
      </c>
      <c r="S154" s="96">
        <f t="shared" si="78"/>
        <v>2770</v>
      </c>
    </row>
    <row r="155" spans="1:19" s="4" customFormat="1" x14ac:dyDescent="0.2">
      <c r="A155" s="8"/>
      <c r="B155" s="2"/>
      <c r="C155" s="10"/>
      <c r="D155" s="10"/>
      <c r="E155" s="9"/>
      <c r="F155" s="8"/>
      <c r="G155" s="95" t="s">
        <v>277</v>
      </c>
      <c r="H155" s="96">
        <f t="shared" ref="H155:S156" si="79">H35</f>
        <v>805.82100000000003</v>
      </c>
      <c r="I155" s="96">
        <f t="shared" si="79"/>
        <v>942.76400000000001</v>
      </c>
      <c r="J155" s="96">
        <f t="shared" si="79"/>
        <v>1040.5740000000001</v>
      </c>
      <c r="K155" s="96">
        <f t="shared" si="79"/>
        <v>1162.5129999999999</v>
      </c>
      <c r="L155" s="96">
        <f t="shared" si="79"/>
        <v>1198.8630000000001</v>
      </c>
      <c r="M155" s="96">
        <f t="shared" si="79"/>
        <v>1131.461</v>
      </c>
      <c r="N155" s="96">
        <f t="shared" si="79"/>
        <v>1317.7059999999999</v>
      </c>
      <c r="O155" s="96">
        <f t="shared" si="79"/>
        <v>1439</v>
      </c>
      <c r="P155" s="96">
        <f t="shared" si="79"/>
        <v>1440</v>
      </c>
      <c r="Q155" s="96">
        <f t="shared" si="79"/>
        <v>1449</v>
      </c>
      <c r="R155" s="96">
        <f t="shared" si="79"/>
        <v>1460</v>
      </c>
      <c r="S155" s="96">
        <f t="shared" si="79"/>
        <v>1470</v>
      </c>
    </row>
    <row r="156" spans="1:19" s="4" customFormat="1" x14ac:dyDescent="0.2">
      <c r="A156" s="8"/>
      <c r="B156" s="2"/>
      <c r="C156" s="10"/>
      <c r="D156" s="10"/>
      <c r="E156" s="9"/>
      <c r="F156" s="8"/>
      <c r="G156" s="95" t="s">
        <v>278</v>
      </c>
      <c r="H156" s="96">
        <f t="shared" si="79"/>
        <v>762.26199999999994</v>
      </c>
      <c r="I156" s="96">
        <f t="shared" si="79"/>
        <v>1308.482</v>
      </c>
      <c r="J156" s="96">
        <f t="shared" si="79"/>
        <v>762.22299999999996</v>
      </c>
      <c r="K156" s="96">
        <f t="shared" si="79"/>
        <v>1036.8489999999999</v>
      </c>
      <c r="L156" s="96">
        <f t="shared" si="79"/>
        <v>962.38400000000001</v>
      </c>
      <c r="M156" s="96">
        <f t="shared" si="79"/>
        <v>1003.222</v>
      </c>
      <c r="N156" s="96">
        <f t="shared" si="79"/>
        <v>1312.673</v>
      </c>
      <c r="O156" s="96">
        <f t="shared" si="79"/>
        <v>1023</v>
      </c>
      <c r="P156" s="96">
        <f t="shared" si="79"/>
        <v>1203</v>
      </c>
      <c r="Q156" s="96">
        <f t="shared" si="79"/>
        <v>1257</v>
      </c>
      <c r="R156" s="96">
        <f t="shared" si="79"/>
        <v>1270</v>
      </c>
      <c r="S156" s="96">
        <f t="shared" si="79"/>
        <v>1298</v>
      </c>
    </row>
    <row r="157" spans="1:19" s="4" customFormat="1" x14ac:dyDescent="0.2">
      <c r="A157" s="8"/>
      <c r="B157" s="2"/>
      <c r="C157" s="10"/>
      <c r="D157" s="10"/>
      <c r="E157" s="9"/>
      <c r="F157" s="8"/>
      <c r="G157" s="95" t="s">
        <v>279</v>
      </c>
      <c r="H157" s="96">
        <f t="shared" ref="H157:S157" si="80">H38+H41</f>
        <v>-1412.6989999999998</v>
      </c>
      <c r="I157" s="96">
        <f t="shared" si="80"/>
        <v>-1925.5840000000003</v>
      </c>
      <c r="J157" s="96">
        <f t="shared" si="80"/>
        <v>-1696.682</v>
      </c>
      <c r="K157" s="96">
        <f t="shared" si="80"/>
        <v>-1866.4659999999997</v>
      </c>
      <c r="L157" s="96">
        <f t="shared" si="80"/>
        <v>-2014.2849999999999</v>
      </c>
      <c r="M157" s="96">
        <f t="shared" si="80"/>
        <v>-1995.1309999999999</v>
      </c>
      <c r="N157" s="96">
        <f t="shared" si="80"/>
        <v>-2406.2600000000002</v>
      </c>
      <c r="O157" s="96">
        <f t="shared" si="80"/>
        <v>-2335</v>
      </c>
      <c r="P157" s="96">
        <f t="shared" si="80"/>
        <v>-2531</v>
      </c>
      <c r="Q157" s="96">
        <f t="shared" si="80"/>
        <v>-2600</v>
      </c>
      <c r="R157" s="96">
        <f t="shared" si="80"/>
        <v>-2638</v>
      </c>
      <c r="S157" s="96">
        <f t="shared" si="80"/>
        <v>-2675</v>
      </c>
    </row>
    <row r="158" spans="1:19" s="4" customFormat="1" x14ac:dyDescent="0.2">
      <c r="A158" s="8"/>
      <c r="B158" s="2"/>
      <c r="C158" s="10"/>
      <c r="D158" s="10"/>
      <c r="E158" s="9"/>
      <c r="F158" s="8"/>
      <c r="G158" s="95" t="s">
        <v>280</v>
      </c>
      <c r="H158" s="96">
        <f t="shared" ref="H158:S158" si="81">H41</f>
        <v>-1412.5989999999999</v>
      </c>
      <c r="I158" s="96">
        <f t="shared" si="81"/>
        <v>-1925.5840000000003</v>
      </c>
      <c r="J158" s="96">
        <f t="shared" si="81"/>
        <v>-1696.5820000000001</v>
      </c>
      <c r="K158" s="96">
        <f t="shared" si="81"/>
        <v>-1866.3659999999998</v>
      </c>
      <c r="L158" s="96">
        <f t="shared" si="81"/>
        <v>-2014.1849999999999</v>
      </c>
      <c r="M158" s="96">
        <f t="shared" si="81"/>
        <v>-1995.1309999999999</v>
      </c>
      <c r="N158" s="96">
        <f t="shared" si="81"/>
        <v>-2406.36</v>
      </c>
      <c r="O158" s="96">
        <f t="shared" si="81"/>
        <v>-2335</v>
      </c>
      <c r="P158" s="96">
        <f t="shared" si="81"/>
        <v>-2531</v>
      </c>
      <c r="Q158" s="96">
        <f t="shared" si="81"/>
        <v>-2600</v>
      </c>
      <c r="R158" s="96">
        <f t="shared" si="81"/>
        <v>-2638</v>
      </c>
      <c r="S158" s="96">
        <f t="shared" si="81"/>
        <v>-2675</v>
      </c>
    </row>
    <row r="159" spans="1:19" s="4" customFormat="1" x14ac:dyDescent="0.2">
      <c r="A159" s="8"/>
      <c r="B159" s="2"/>
      <c r="C159" s="10"/>
      <c r="D159" s="10"/>
      <c r="E159" s="9"/>
      <c r="F159" s="8"/>
      <c r="G159" s="95" t="s">
        <v>281</v>
      </c>
      <c r="H159" s="96">
        <f t="shared" ref="H159:S159" si="82">H38</f>
        <v>-0.1</v>
      </c>
      <c r="I159" s="96">
        <f t="shared" si="82"/>
        <v>0</v>
      </c>
      <c r="J159" s="96">
        <f t="shared" si="82"/>
        <v>-0.1</v>
      </c>
      <c r="K159" s="96">
        <f t="shared" si="82"/>
        <v>-0.1</v>
      </c>
      <c r="L159" s="96">
        <f t="shared" si="82"/>
        <v>-0.1</v>
      </c>
      <c r="M159" s="96">
        <f t="shared" si="82"/>
        <v>0</v>
      </c>
      <c r="N159" s="96">
        <f t="shared" si="82"/>
        <v>0.1</v>
      </c>
      <c r="O159" s="96">
        <f t="shared" si="82"/>
        <v>0</v>
      </c>
      <c r="P159" s="96">
        <f t="shared" si="82"/>
        <v>0</v>
      </c>
      <c r="Q159" s="96">
        <f t="shared" si="82"/>
        <v>0</v>
      </c>
      <c r="R159" s="96">
        <f t="shared" si="82"/>
        <v>0</v>
      </c>
      <c r="S159" s="96">
        <f t="shared" si="82"/>
        <v>0</v>
      </c>
    </row>
    <row r="160" spans="1:19" s="4" customFormat="1" x14ac:dyDescent="0.2">
      <c r="A160" s="8"/>
      <c r="B160" s="2"/>
      <c r="C160" s="10"/>
      <c r="D160" s="10"/>
      <c r="E160" s="9"/>
      <c r="F160" s="8"/>
      <c r="G160" s="95" t="s">
        <v>282</v>
      </c>
      <c r="H160" s="96">
        <f t="shared" ref="H160:S160" si="83">H46</f>
        <v>155.38400000000024</v>
      </c>
      <c r="I160" s="96">
        <f t="shared" si="83"/>
        <v>327.13899999999967</v>
      </c>
      <c r="J160" s="96">
        <f t="shared" si="83"/>
        <v>112.91300000000001</v>
      </c>
      <c r="K160" s="96">
        <f t="shared" si="83"/>
        <v>337.46800000000053</v>
      </c>
      <c r="L160" s="96">
        <f t="shared" si="83"/>
        <v>145.94200000000046</v>
      </c>
      <c r="M160" s="96">
        <f t="shared" si="83"/>
        <v>142.18200000000024</v>
      </c>
      <c r="N160" s="96">
        <f t="shared" si="83"/>
        <v>245.63499999999976</v>
      </c>
      <c r="O160" s="96">
        <f t="shared" si="83"/>
        <v>135</v>
      </c>
      <c r="P160" s="96">
        <f t="shared" si="83"/>
        <v>116</v>
      </c>
      <c r="Q160" s="96">
        <f t="shared" si="83"/>
        <v>109</v>
      </c>
      <c r="R160" s="96">
        <f t="shared" si="83"/>
        <v>95</v>
      </c>
      <c r="S160" s="96">
        <f t="shared" si="83"/>
        <v>95</v>
      </c>
    </row>
    <row r="161" spans="1:19" s="4" customFormat="1" x14ac:dyDescent="0.2">
      <c r="A161" s="8"/>
      <c r="B161" s="2"/>
      <c r="C161" s="10"/>
      <c r="D161" s="10"/>
      <c r="E161" s="9"/>
      <c r="F161" s="8"/>
      <c r="G161" s="95" t="s">
        <v>283</v>
      </c>
      <c r="H161" s="96">
        <f t="shared" ref="H161:S161" si="84">H51</f>
        <v>138.75600000000026</v>
      </c>
      <c r="I161" s="96">
        <f t="shared" si="84"/>
        <v>316.12499999999966</v>
      </c>
      <c r="J161" s="96">
        <f t="shared" si="84"/>
        <v>104.94000000000001</v>
      </c>
      <c r="K161" s="96">
        <f t="shared" si="84"/>
        <v>331.78800000000052</v>
      </c>
      <c r="L161" s="96">
        <f t="shared" si="84"/>
        <v>143.02200000000047</v>
      </c>
      <c r="M161" s="96">
        <f t="shared" si="84"/>
        <v>140.43700000000024</v>
      </c>
      <c r="N161" s="96">
        <f t="shared" si="84"/>
        <v>244.71499999999978</v>
      </c>
      <c r="O161" s="96">
        <f t="shared" si="84"/>
        <v>134</v>
      </c>
      <c r="P161" s="96">
        <f t="shared" si="84"/>
        <v>115</v>
      </c>
      <c r="Q161" s="96">
        <f t="shared" si="84"/>
        <v>108</v>
      </c>
      <c r="R161" s="96">
        <f t="shared" si="84"/>
        <v>94</v>
      </c>
      <c r="S161" s="96">
        <f t="shared" si="84"/>
        <v>95</v>
      </c>
    </row>
    <row r="162" spans="1:19" s="4" customFormat="1" x14ac:dyDescent="0.2">
      <c r="A162" s="8"/>
      <c r="B162" s="2"/>
      <c r="C162" s="10"/>
      <c r="D162" s="10"/>
      <c r="E162" s="9"/>
      <c r="F162" s="8"/>
      <c r="G162" s="95" t="s">
        <v>284</v>
      </c>
      <c r="H162" s="96">
        <f t="shared" ref="H162:S163" si="85">H4</f>
        <v>3565.337</v>
      </c>
      <c r="I162" s="96">
        <f t="shared" si="85"/>
        <v>3769.3260000000005</v>
      </c>
      <c r="J162" s="96">
        <f t="shared" si="85"/>
        <v>3769.5439999999999</v>
      </c>
      <c r="K162" s="96">
        <f t="shared" si="85"/>
        <v>4071.5149999999999</v>
      </c>
      <c r="L162" s="96">
        <f t="shared" si="85"/>
        <v>4008.7909999999997</v>
      </c>
      <c r="M162" s="96">
        <f t="shared" si="85"/>
        <v>4137.3410000000003</v>
      </c>
      <c r="N162" s="96">
        <f t="shared" si="85"/>
        <v>4513.7859999999991</v>
      </c>
      <c r="O162" s="96">
        <f t="shared" si="85"/>
        <v>4550</v>
      </c>
      <c r="P162" s="96">
        <f t="shared" si="85"/>
        <v>4571</v>
      </c>
      <c r="Q162" s="96">
        <f t="shared" si="85"/>
        <v>4576</v>
      </c>
      <c r="R162" s="96">
        <f t="shared" si="85"/>
        <v>4574</v>
      </c>
      <c r="S162" s="96">
        <f t="shared" si="85"/>
        <v>4596</v>
      </c>
    </row>
    <row r="163" spans="1:19" s="4" customFormat="1" x14ac:dyDescent="0.2">
      <c r="A163" s="8"/>
      <c r="B163" s="2"/>
      <c r="C163" s="10"/>
      <c r="D163" s="10"/>
      <c r="E163" s="9"/>
      <c r="F163" s="8"/>
      <c r="G163" s="95" t="s">
        <v>285</v>
      </c>
      <c r="H163" s="96">
        <f t="shared" si="85"/>
        <v>319.2</v>
      </c>
      <c r="I163" s="96">
        <f t="shared" si="85"/>
        <v>109.09399999999999</v>
      </c>
      <c r="J163" s="96">
        <f t="shared" si="85"/>
        <v>93.384</v>
      </c>
      <c r="K163" s="96">
        <f t="shared" si="85"/>
        <v>212.14100000000002</v>
      </c>
      <c r="L163" s="96">
        <f t="shared" si="85"/>
        <v>107.04599999999999</v>
      </c>
      <c r="M163" s="96">
        <f t="shared" si="85"/>
        <v>152.45400000000001</v>
      </c>
      <c r="N163" s="96">
        <f t="shared" si="85"/>
        <v>158.98500000000001</v>
      </c>
      <c r="O163" s="96">
        <f t="shared" si="85"/>
        <v>163</v>
      </c>
      <c r="P163" s="96">
        <f t="shared" si="85"/>
        <v>164</v>
      </c>
      <c r="Q163" s="96">
        <f t="shared" si="85"/>
        <v>179</v>
      </c>
      <c r="R163" s="96">
        <f t="shared" si="85"/>
        <v>162</v>
      </c>
      <c r="S163" s="96">
        <f t="shared" si="85"/>
        <v>181</v>
      </c>
    </row>
    <row r="164" spans="1:19" s="4" customFormat="1" x14ac:dyDescent="0.2">
      <c r="A164" s="8"/>
      <c r="B164" s="2"/>
      <c r="C164" s="10"/>
      <c r="D164" s="10"/>
      <c r="E164" s="9"/>
      <c r="F164" s="8"/>
      <c r="G164" s="95" t="s">
        <v>286</v>
      </c>
      <c r="H164" s="96">
        <f t="shared" ref="H164:S164" si="86">H10</f>
        <v>3246.1370000000002</v>
      </c>
      <c r="I164" s="96">
        <f t="shared" si="86"/>
        <v>3660.2320000000004</v>
      </c>
      <c r="J164" s="96">
        <f t="shared" si="86"/>
        <v>3676.16</v>
      </c>
      <c r="K164" s="96">
        <f t="shared" si="86"/>
        <v>3859.3739999999998</v>
      </c>
      <c r="L164" s="96">
        <f t="shared" si="86"/>
        <v>3901.7449999999999</v>
      </c>
      <c r="M164" s="96">
        <f t="shared" si="86"/>
        <v>3984.8870000000002</v>
      </c>
      <c r="N164" s="96">
        <f t="shared" si="86"/>
        <v>4354.8009999999995</v>
      </c>
      <c r="O164" s="96">
        <f t="shared" si="86"/>
        <v>4387</v>
      </c>
      <c r="P164" s="96">
        <f t="shared" si="86"/>
        <v>4407</v>
      </c>
      <c r="Q164" s="96">
        <f t="shared" si="86"/>
        <v>4397</v>
      </c>
      <c r="R164" s="96">
        <f t="shared" si="86"/>
        <v>4412</v>
      </c>
      <c r="S164" s="96">
        <f t="shared" si="86"/>
        <v>4415</v>
      </c>
    </row>
    <row r="165" spans="1:19" s="4" customFormat="1" x14ac:dyDescent="0.2">
      <c r="A165" s="8"/>
      <c r="B165" s="2"/>
      <c r="C165" s="10"/>
      <c r="D165" s="10"/>
      <c r="E165" s="9"/>
      <c r="F165" s="8"/>
      <c r="G165" s="95" t="s">
        <v>287</v>
      </c>
      <c r="H165" s="96">
        <f t="shared" ref="H165:S166" si="87">H19</f>
        <v>898.50399999999991</v>
      </c>
      <c r="I165" s="96">
        <f t="shared" si="87"/>
        <v>786.36500000000001</v>
      </c>
      <c r="J165" s="96">
        <f t="shared" si="87"/>
        <v>681.64400000000001</v>
      </c>
      <c r="K165" s="96">
        <f t="shared" si="87"/>
        <v>651.82799999999997</v>
      </c>
      <c r="L165" s="96">
        <f t="shared" si="87"/>
        <v>446.08199999999999</v>
      </c>
      <c r="M165" s="96">
        <f t="shared" si="87"/>
        <v>434.19600000000003</v>
      </c>
      <c r="N165" s="96">
        <f t="shared" si="87"/>
        <v>566.12799999999993</v>
      </c>
      <c r="O165" s="96">
        <f t="shared" si="87"/>
        <v>468</v>
      </c>
      <c r="P165" s="96">
        <f t="shared" si="87"/>
        <v>374</v>
      </c>
      <c r="Q165" s="96">
        <f t="shared" si="87"/>
        <v>271</v>
      </c>
      <c r="R165" s="96">
        <f t="shared" si="87"/>
        <v>175</v>
      </c>
      <c r="S165" s="96">
        <f t="shared" si="87"/>
        <v>102</v>
      </c>
    </row>
    <row r="166" spans="1:19" s="4" customFormat="1" x14ac:dyDescent="0.2">
      <c r="A166" s="8"/>
      <c r="B166" s="2"/>
      <c r="C166" s="10"/>
      <c r="D166" s="10"/>
      <c r="E166" s="9"/>
      <c r="F166" s="8"/>
      <c r="G166" s="95" t="s">
        <v>288</v>
      </c>
      <c r="H166" s="96">
        <f t="shared" si="87"/>
        <v>420.19099999999997</v>
      </c>
      <c r="I166" s="96">
        <f t="shared" si="87"/>
        <v>247.57599999999999</v>
      </c>
      <c r="J166" s="96">
        <f t="shared" si="87"/>
        <v>262.45100000000002</v>
      </c>
      <c r="K166" s="96">
        <f t="shared" si="87"/>
        <v>323.19799999999998</v>
      </c>
      <c r="L166" s="96">
        <f t="shared" si="87"/>
        <v>167.37100000000001</v>
      </c>
      <c r="M166" s="96">
        <f t="shared" si="87"/>
        <v>205.40299999999999</v>
      </c>
      <c r="N166" s="96">
        <f t="shared" si="87"/>
        <v>387.25400000000002</v>
      </c>
      <c r="O166" s="96">
        <f t="shared" si="87"/>
        <v>339</v>
      </c>
      <c r="P166" s="96">
        <f t="shared" si="87"/>
        <v>295</v>
      </c>
      <c r="Q166" s="96">
        <f t="shared" si="87"/>
        <v>242</v>
      </c>
      <c r="R166" s="96">
        <f t="shared" si="87"/>
        <v>196</v>
      </c>
      <c r="S166" s="96">
        <f t="shared" si="87"/>
        <v>102</v>
      </c>
    </row>
    <row r="167" spans="1:19" s="4" customFormat="1" x14ac:dyDescent="0.2">
      <c r="A167" s="8"/>
      <c r="B167" s="2"/>
      <c r="C167" s="10"/>
      <c r="D167" s="10"/>
      <c r="E167" s="9"/>
      <c r="F167" s="8"/>
      <c r="G167" s="95" t="s">
        <v>289</v>
      </c>
      <c r="H167" s="96">
        <f t="shared" ref="H167:S167" si="88">H24</f>
        <v>528.23099999999999</v>
      </c>
      <c r="I167" s="96">
        <f t="shared" si="88"/>
        <v>658.38499999999999</v>
      </c>
      <c r="J167" s="96">
        <f t="shared" si="88"/>
        <v>538.78899999999999</v>
      </c>
      <c r="K167" s="96">
        <f t="shared" si="88"/>
        <v>419.19299999999998</v>
      </c>
      <c r="L167" s="96">
        <f t="shared" si="88"/>
        <v>328.62900000000002</v>
      </c>
      <c r="M167" s="96">
        <f t="shared" si="88"/>
        <v>278.71100000000001</v>
      </c>
      <c r="N167" s="96">
        <f t="shared" si="88"/>
        <v>228.79300000000001</v>
      </c>
      <c r="O167" s="96">
        <f t="shared" si="88"/>
        <v>179</v>
      </c>
      <c r="P167" s="96">
        <f t="shared" si="88"/>
        <v>129</v>
      </c>
      <c r="Q167" s="96">
        <f t="shared" si="88"/>
        <v>79</v>
      </c>
      <c r="R167" s="96">
        <f t="shared" si="88"/>
        <v>29</v>
      </c>
      <c r="S167" s="96">
        <f t="shared" si="88"/>
        <v>0</v>
      </c>
    </row>
    <row r="168" spans="1:19" s="4" customFormat="1" x14ac:dyDescent="0.2">
      <c r="A168" s="8"/>
      <c r="B168" s="2"/>
      <c r="C168" s="10"/>
      <c r="D168" s="10"/>
      <c r="E168" s="9"/>
      <c r="F168" s="8"/>
      <c r="G168" s="95" t="s">
        <v>290</v>
      </c>
      <c r="H168" s="96">
        <f t="shared" ref="H168:S168" si="89">H27</f>
        <v>2666.8339999999998</v>
      </c>
      <c r="I168" s="96">
        <f t="shared" si="89"/>
        <v>2982.9609999999998</v>
      </c>
      <c r="J168" s="96">
        <f t="shared" si="89"/>
        <v>3087.9010000000003</v>
      </c>
      <c r="K168" s="96">
        <f t="shared" si="89"/>
        <v>3419.6880000000001</v>
      </c>
      <c r="L168" s="96">
        <f t="shared" si="89"/>
        <v>3562.71</v>
      </c>
      <c r="M168" s="96">
        <f t="shared" si="89"/>
        <v>3703.1460000000002</v>
      </c>
      <c r="N168" s="96">
        <f t="shared" si="89"/>
        <v>3947.6610000000001</v>
      </c>
      <c r="O168" s="96">
        <f t="shared" si="89"/>
        <v>4081.6610000000001</v>
      </c>
      <c r="P168" s="96">
        <f t="shared" si="89"/>
        <v>4196.6610000000001</v>
      </c>
      <c r="Q168" s="96">
        <f t="shared" si="89"/>
        <v>4304.6610000000001</v>
      </c>
      <c r="R168" s="96">
        <f t="shared" si="89"/>
        <v>4398.6610000000001</v>
      </c>
      <c r="S168" s="96">
        <f t="shared" si="89"/>
        <v>4493.6610000000001</v>
      </c>
    </row>
    <row r="169" spans="1:19" s="4" customFormat="1" x14ac:dyDescent="0.2">
      <c r="A169" s="8"/>
      <c r="B169" s="2"/>
      <c r="C169" s="119"/>
      <c r="D169" s="41"/>
      <c r="E169" s="42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</row>
    <row r="170" spans="1:19" s="4" customFormat="1" x14ac:dyDescent="0.2">
      <c r="A170" s="8"/>
      <c r="B170" s="2"/>
      <c r="C170" s="119" t="s">
        <v>463</v>
      </c>
      <c r="D170" s="41"/>
      <c r="E170" s="42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</row>
    <row r="171" spans="1:19" s="4" customFormat="1" x14ac:dyDescent="0.2">
      <c r="A171" s="8"/>
      <c r="B171" s="2"/>
      <c r="C171" s="119"/>
      <c r="D171" s="41"/>
      <c r="E171" s="42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</row>
    <row r="172" spans="1:19" s="40" customFormat="1" x14ac:dyDescent="0.2">
      <c r="A172" s="29"/>
      <c r="B172" s="2"/>
      <c r="C172" s="29" t="s">
        <v>464</v>
      </c>
      <c r="D172" s="99"/>
      <c r="E172" s="30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</row>
    <row r="173" spans="1:19" s="4" customFormat="1" x14ac:dyDescent="0.2">
      <c r="A173" s="8"/>
      <c r="B173" s="2"/>
      <c r="C173" s="8"/>
      <c r="D173" s="10"/>
      <c r="E173" s="9"/>
      <c r="F173" s="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</row>
    <row r="174" spans="1:19" s="4" customFormat="1" x14ac:dyDescent="0.2">
      <c r="A174" s="8"/>
      <c r="B174" s="2"/>
      <c r="C174" s="8" t="s">
        <v>291</v>
      </c>
      <c r="D174" s="10"/>
      <c r="E174" s="9"/>
      <c r="F174" s="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</row>
    <row r="175" spans="1:19" s="4" customFormat="1" x14ac:dyDescent="0.2">
      <c r="A175" s="8"/>
      <c r="B175" s="2"/>
      <c r="C175" s="8" t="s">
        <v>292</v>
      </c>
      <c r="D175" s="10"/>
      <c r="E175" s="9"/>
      <c r="F175" s="12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  <c r="R175" s="44"/>
    </row>
    <row r="176" spans="1:19" s="4" customFormat="1" x14ac:dyDescent="0.2">
      <c r="A176" s="8"/>
      <c r="B176" s="2"/>
      <c r="C176" s="8"/>
      <c r="D176" s="10"/>
      <c r="E176" s="9"/>
      <c r="F176" s="12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</row>
    <row r="177" spans="1:7" s="4" customFormat="1" x14ac:dyDescent="0.2">
      <c r="A177" s="8"/>
      <c r="B177" s="2"/>
      <c r="C177" s="8" t="s">
        <v>293</v>
      </c>
      <c r="D177" s="10"/>
      <c r="E177" s="9"/>
      <c r="F177" s="12"/>
      <c r="G177" s="28"/>
    </row>
    <row r="178" spans="1:7" s="4" customFormat="1" x14ac:dyDescent="0.2">
      <c r="A178" s="8"/>
      <c r="B178" s="2"/>
      <c r="C178" s="8" t="s">
        <v>294</v>
      </c>
      <c r="D178" s="10"/>
      <c r="E178" s="9"/>
      <c r="F178" s="12"/>
      <c r="G178" s="28"/>
    </row>
    <row r="179" spans="1:7" s="4" customFormat="1" x14ac:dyDescent="0.2">
      <c r="A179" s="8"/>
      <c r="B179" s="2"/>
      <c r="C179" s="10"/>
      <c r="D179" s="10"/>
      <c r="E179" s="9"/>
      <c r="F179" s="8"/>
      <c r="G179" s="28"/>
    </row>
    <row r="180" spans="1:7" s="4" customFormat="1" x14ac:dyDescent="0.2">
      <c r="A180" s="8"/>
      <c r="B180" s="2"/>
      <c r="C180" s="10"/>
      <c r="D180" s="10"/>
      <c r="E180" s="9"/>
      <c r="F180" s="8"/>
      <c r="G180" s="28"/>
    </row>
    <row r="181" spans="1:7" s="4" customFormat="1" x14ac:dyDescent="0.2">
      <c r="A181" s="8"/>
      <c r="B181" s="2"/>
      <c r="C181" s="10"/>
      <c r="D181" s="10"/>
      <c r="E181" s="9"/>
      <c r="F181" s="8"/>
      <c r="G181" s="28"/>
    </row>
    <row r="182" spans="1:7" s="4" customFormat="1" x14ac:dyDescent="0.2">
      <c r="A182" s="8"/>
      <c r="B182" s="2"/>
      <c r="C182" s="10"/>
      <c r="D182" s="10"/>
      <c r="E182" s="9"/>
      <c r="F182" s="8"/>
      <c r="G182" s="28"/>
    </row>
    <row r="183" spans="1:7" s="4" customFormat="1" x14ac:dyDescent="0.2">
      <c r="A183" s="8"/>
      <c r="B183" s="2"/>
      <c r="C183" s="10"/>
      <c r="D183" s="10"/>
      <c r="E183" s="9"/>
      <c r="F183" s="8"/>
      <c r="G183" s="28"/>
    </row>
    <row r="184" spans="1:7" s="4" customFormat="1" x14ac:dyDescent="0.2">
      <c r="A184" s="8"/>
      <c r="B184" s="2"/>
      <c r="C184" s="10"/>
      <c r="D184" s="10"/>
      <c r="E184" s="9"/>
      <c r="F184" s="8"/>
      <c r="G184" s="28"/>
    </row>
    <row r="185" spans="1:7" s="4" customFormat="1" x14ac:dyDescent="0.2">
      <c r="A185" s="8"/>
      <c r="B185" s="2"/>
      <c r="C185" s="10"/>
      <c r="D185" s="10"/>
      <c r="E185" s="9"/>
      <c r="F185" s="8"/>
      <c r="G185" s="28"/>
    </row>
    <row r="186" spans="1:7" s="4" customFormat="1" x14ac:dyDescent="0.2">
      <c r="A186" s="8"/>
      <c r="B186" s="2"/>
      <c r="C186" s="10"/>
      <c r="D186" s="10"/>
      <c r="E186" s="9"/>
      <c r="F186" s="8"/>
      <c r="G186" s="28"/>
    </row>
    <row r="187" spans="1:7" s="4" customFormat="1" x14ac:dyDescent="0.2">
      <c r="A187" s="8"/>
      <c r="B187" s="2"/>
      <c r="C187" s="10"/>
      <c r="D187" s="10"/>
      <c r="E187" s="9"/>
      <c r="F187" s="8"/>
      <c r="G187" s="28"/>
    </row>
    <row r="188" spans="1:7" s="4" customFormat="1" x14ac:dyDescent="0.2">
      <c r="A188" s="8"/>
      <c r="B188" s="2"/>
      <c r="C188" s="10"/>
      <c r="D188" s="10"/>
      <c r="E188" s="9"/>
      <c r="F188" s="8"/>
      <c r="G188" s="28"/>
    </row>
    <row r="189" spans="1:7" s="4" customFormat="1" x14ac:dyDescent="0.2">
      <c r="A189" s="8"/>
      <c r="B189" s="2"/>
      <c r="C189" s="10"/>
      <c r="D189" s="10"/>
      <c r="E189" s="9"/>
      <c r="F189" s="8"/>
      <c r="G189" s="28"/>
    </row>
    <row r="190" spans="1:7" s="4" customFormat="1" x14ac:dyDescent="0.2">
      <c r="A190" s="8"/>
      <c r="B190" s="2"/>
      <c r="C190" s="10"/>
      <c r="D190" s="10"/>
      <c r="E190" s="9"/>
      <c r="F190" s="8"/>
      <c r="G190" s="28"/>
    </row>
    <row r="191" spans="1:7" s="4" customFormat="1" x14ac:dyDescent="0.2">
      <c r="A191" s="8"/>
      <c r="B191" s="2"/>
      <c r="C191" s="10"/>
      <c r="D191" s="10"/>
      <c r="E191" s="9"/>
      <c r="F191" s="8"/>
      <c r="G191" s="28"/>
    </row>
    <row r="192" spans="1:7" s="4" customFormat="1" x14ac:dyDescent="0.2">
      <c r="A192" s="8"/>
      <c r="B192" s="2"/>
      <c r="C192" s="10"/>
      <c r="D192" s="10"/>
      <c r="E192" s="9"/>
      <c r="F192" s="8"/>
      <c r="G192" s="28"/>
    </row>
    <row r="193" spans="1:7" s="4" customFormat="1" x14ac:dyDescent="0.2">
      <c r="A193" s="8"/>
      <c r="B193" s="2"/>
      <c r="C193" s="10"/>
      <c r="D193" s="10"/>
      <c r="E193" s="9"/>
      <c r="F193" s="8"/>
      <c r="G193" s="28"/>
    </row>
    <row r="194" spans="1:7" s="4" customFormat="1" x14ac:dyDescent="0.2">
      <c r="A194" s="8"/>
      <c r="B194" s="2"/>
      <c r="C194" s="10"/>
      <c r="D194" s="10"/>
      <c r="E194" s="9"/>
      <c r="F194" s="8"/>
      <c r="G194" s="28"/>
    </row>
    <row r="195" spans="1:7" s="4" customFormat="1" x14ac:dyDescent="0.2">
      <c r="A195" s="8"/>
      <c r="B195" s="2"/>
      <c r="C195" s="10"/>
      <c r="D195" s="10"/>
      <c r="E195" s="9"/>
      <c r="F195" s="8"/>
      <c r="G195" s="28"/>
    </row>
    <row r="196" spans="1:7" s="4" customFormat="1" x14ac:dyDescent="0.2">
      <c r="A196" s="8"/>
      <c r="B196" s="2"/>
      <c r="C196" s="10"/>
      <c r="D196" s="10"/>
      <c r="E196" s="9"/>
      <c r="F196" s="8"/>
      <c r="G196" s="28"/>
    </row>
    <row r="197" spans="1:7" s="4" customFormat="1" x14ac:dyDescent="0.2">
      <c r="A197" s="8"/>
      <c r="B197" s="2"/>
      <c r="C197" s="10"/>
      <c r="D197" s="10"/>
      <c r="E197" s="9"/>
      <c r="F197" s="8"/>
      <c r="G197" s="28"/>
    </row>
    <row r="198" spans="1:7" s="4" customFormat="1" x14ac:dyDescent="0.2">
      <c r="A198" s="8"/>
      <c r="B198" s="2"/>
      <c r="C198" s="10"/>
      <c r="D198" s="10"/>
      <c r="E198" s="9"/>
      <c r="F198" s="8"/>
      <c r="G198" s="28"/>
    </row>
    <row r="199" spans="1:7" s="4" customFormat="1" x14ac:dyDescent="0.2">
      <c r="A199" s="8"/>
      <c r="B199" s="2"/>
      <c r="C199" s="10"/>
      <c r="D199" s="10"/>
      <c r="E199" s="9"/>
      <c r="F199" s="8"/>
      <c r="G199" s="28"/>
    </row>
    <row r="200" spans="1:7" s="4" customFormat="1" x14ac:dyDescent="0.2">
      <c r="A200" s="8"/>
      <c r="B200" s="2"/>
      <c r="C200" s="10"/>
      <c r="D200" s="10"/>
      <c r="E200" s="9"/>
      <c r="F200" s="8"/>
      <c r="G200" s="28"/>
    </row>
    <row r="201" spans="1:7" s="4" customFormat="1" x14ac:dyDescent="0.2">
      <c r="A201" s="8"/>
      <c r="B201" s="2"/>
      <c r="C201" s="10"/>
      <c r="D201" s="10"/>
      <c r="E201" s="9"/>
      <c r="F201" s="8"/>
      <c r="G201" s="28"/>
    </row>
    <row r="202" spans="1:7" s="4" customFormat="1" x14ac:dyDescent="0.2">
      <c r="A202" s="8"/>
      <c r="B202" s="2"/>
      <c r="C202" s="10"/>
      <c r="D202" s="10"/>
      <c r="E202" s="9"/>
      <c r="F202" s="8"/>
      <c r="G202" s="28"/>
    </row>
  </sheetData>
  <mergeCells count="1">
    <mergeCell ref="D92:E92"/>
  </mergeCells>
  <conditionalFormatting sqref="H141:Q141">
    <cfRule type="cellIs" dxfId="57" priority="51" stopIfTrue="1" operator="greaterThan">
      <formula>$E$141</formula>
    </cfRule>
    <cfRule type="cellIs" dxfId="56" priority="52" stopIfTrue="1" operator="lessThanOrEqual">
      <formula>$E$141</formula>
    </cfRule>
  </conditionalFormatting>
  <conditionalFormatting sqref="H143:Q143">
    <cfRule type="cellIs" dxfId="55" priority="49" stopIfTrue="1" operator="lessThanOrEqual">
      <formula>$E$143</formula>
    </cfRule>
    <cfRule type="cellIs" dxfId="54" priority="50" stopIfTrue="1" operator="greaterThan">
      <formula>$E$143</formula>
    </cfRule>
  </conditionalFormatting>
  <conditionalFormatting sqref="H121:Q121">
    <cfRule type="cellIs" dxfId="53" priority="47" operator="greaterThan">
      <formula>$E$121</formula>
    </cfRule>
    <cfRule type="cellIs" dxfId="52" priority="48" operator="lessThanOrEqual">
      <formula>$E$121</formula>
    </cfRule>
  </conditionalFormatting>
  <conditionalFormatting sqref="H124:Q124">
    <cfRule type="cellIs" dxfId="51" priority="45" stopIfTrue="1" operator="greaterThanOrEqual">
      <formula>$E$124</formula>
    </cfRule>
    <cfRule type="cellIs" dxfId="50" priority="46" stopIfTrue="1" operator="lessThan">
      <formula>$E$124</formula>
    </cfRule>
  </conditionalFormatting>
  <conditionalFormatting sqref="H126:Q126">
    <cfRule type="cellIs" dxfId="49" priority="43" stopIfTrue="1" operator="lessThan">
      <formula>$E$126</formula>
    </cfRule>
    <cfRule type="cellIs" dxfId="48" priority="44" stopIfTrue="1" operator="greaterThanOrEqual">
      <formula>$E$126</formula>
    </cfRule>
  </conditionalFormatting>
  <conditionalFormatting sqref="H125:Q125">
    <cfRule type="cellIs" dxfId="47" priority="41" stopIfTrue="1" operator="greaterThan">
      <formula>$E$125</formula>
    </cfRule>
    <cfRule type="cellIs" dxfId="46" priority="42" stopIfTrue="1" operator="lessThanOrEqual">
      <formula>$E$125</formula>
    </cfRule>
  </conditionalFormatting>
  <conditionalFormatting sqref="H122:Q122">
    <cfRule type="cellIs" dxfId="45" priority="30" stopIfTrue="1" operator="between">
      <formula>$D$122</formula>
      <formula>$E$122</formula>
    </cfRule>
    <cfRule type="cellIs" dxfId="44" priority="39" stopIfTrue="1" operator="lessThanOrEqual">
      <formula>$D$122</formula>
    </cfRule>
    <cfRule type="cellIs" dxfId="43" priority="40" stopIfTrue="1" operator="greaterThan">
      <formula>$E$122</formula>
    </cfRule>
  </conditionalFormatting>
  <conditionalFormatting sqref="H142:Q142">
    <cfRule type="cellIs" dxfId="42" priority="37" stopIfTrue="1" operator="greaterThan">
      <formula>$E$142</formula>
    </cfRule>
    <cfRule type="cellIs" dxfId="41" priority="38" stopIfTrue="1" operator="lessThanOrEqual">
      <formula>$E$142</formula>
    </cfRule>
  </conditionalFormatting>
  <conditionalFormatting sqref="H130:Q130">
    <cfRule type="cellIs" dxfId="40" priority="35" stopIfTrue="1" operator="greaterThan">
      <formula>$E$130</formula>
    </cfRule>
    <cfRule type="cellIs" dxfId="39" priority="36" stopIfTrue="1" operator="lessThanOrEqual">
      <formula>$E$130</formula>
    </cfRule>
  </conditionalFormatting>
  <conditionalFormatting sqref="H131:Q131">
    <cfRule type="cellIs" dxfId="38" priority="33" stopIfTrue="1" operator="lessThan">
      <formula>$E$131</formula>
    </cfRule>
    <cfRule type="cellIs" dxfId="37" priority="34" stopIfTrue="1" operator="greaterThanOrEqual">
      <formula>$E$131</formula>
    </cfRule>
  </conditionalFormatting>
  <conditionalFormatting sqref="H114:Q114">
    <cfRule type="cellIs" dxfId="36" priority="53" stopIfTrue="1" operator="lessThan">
      <formula>$D$114</formula>
    </cfRule>
    <cfRule type="cellIs" dxfId="35" priority="54" stopIfTrue="1" operator="between">
      <formula>$D$114</formula>
      <formula>$E$114</formula>
    </cfRule>
    <cfRule type="cellIs" dxfId="34" priority="55" stopIfTrue="1" operator="greaterThan">
      <formula>$E$114</formula>
    </cfRule>
  </conditionalFormatting>
  <conditionalFormatting sqref="H138:Q138">
    <cfRule type="cellIs" dxfId="33" priority="56" stopIfTrue="1" operator="lessThan">
      <formula>$E$138</formula>
    </cfRule>
    <cfRule type="cellIs" dxfId="32" priority="57" stopIfTrue="1" operator="between">
      <formula>$D$138</formula>
      <formula>$E$138</formula>
    </cfRule>
    <cfRule type="cellIs" dxfId="31" priority="58" stopIfTrue="1" operator="greaterThanOrEqual">
      <formula>$D$138</formula>
    </cfRule>
  </conditionalFormatting>
  <conditionalFormatting sqref="H111:Q111">
    <cfRule type="cellIs" dxfId="30" priority="31" stopIfTrue="1" operator="lessThan">
      <formula>$E$111</formula>
    </cfRule>
    <cfRule type="cellIs" dxfId="29" priority="32" stopIfTrue="1" operator="greaterThan">
      <formula>$E$111</formula>
    </cfRule>
  </conditionalFormatting>
  <conditionalFormatting sqref="R141:S141">
    <cfRule type="cellIs" dxfId="28" priority="22" stopIfTrue="1" operator="greaterThan">
      <formula>$E$141</formula>
    </cfRule>
    <cfRule type="cellIs" dxfId="27" priority="23" stopIfTrue="1" operator="lessThanOrEqual">
      <formula>$E$141</formula>
    </cfRule>
  </conditionalFormatting>
  <conditionalFormatting sqref="R143:S143">
    <cfRule type="cellIs" dxfId="26" priority="20" stopIfTrue="1" operator="lessThanOrEqual">
      <formula>$E$143</formula>
    </cfRule>
    <cfRule type="cellIs" dxfId="25" priority="21" stopIfTrue="1" operator="greaterThan">
      <formula>$E$143</formula>
    </cfRule>
  </conditionalFormatting>
  <conditionalFormatting sqref="R121:S121">
    <cfRule type="cellIs" dxfId="24" priority="18" operator="greaterThan">
      <formula>$E$121</formula>
    </cfRule>
    <cfRule type="cellIs" dxfId="23" priority="19" operator="lessThanOrEqual">
      <formula>$E$121</formula>
    </cfRule>
  </conditionalFormatting>
  <conditionalFormatting sqref="R124:S124">
    <cfRule type="cellIs" dxfId="22" priority="16" stopIfTrue="1" operator="greaterThanOrEqual">
      <formula>$E$124</formula>
    </cfRule>
    <cfRule type="cellIs" dxfId="21" priority="17" stopIfTrue="1" operator="lessThan">
      <formula>$E$124</formula>
    </cfRule>
  </conditionalFormatting>
  <conditionalFormatting sqref="R126:S126">
    <cfRule type="cellIs" dxfId="20" priority="14" stopIfTrue="1" operator="lessThan">
      <formula>$E$126</formula>
    </cfRule>
    <cfRule type="cellIs" dxfId="19" priority="15" stopIfTrue="1" operator="greaterThanOrEqual">
      <formula>$E$126</formula>
    </cfRule>
  </conditionalFormatting>
  <conditionalFormatting sqref="R125:S125">
    <cfRule type="cellIs" dxfId="18" priority="12" stopIfTrue="1" operator="greaterThan">
      <formula>$E$125</formula>
    </cfRule>
    <cfRule type="cellIs" dxfId="17" priority="13" stopIfTrue="1" operator="lessThanOrEqual">
      <formula>$E$125</formula>
    </cfRule>
  </conditionalFormatting>
  <conditionalFormatting sqref="R122:S122">
    <cfRule type="cellIs" dxfId="16" priority="1" stopIfTrue="1" operator="between">
      <formula>$D$122</formula>
      <formula>$E$122</formula>
    </cfRule>
    <cfRule type="cellIs" dxfId="15" priority="10" stopIfTrue="1" operator="lessThanOrEqual">
      <formula>$D$122</formula>
    </cfRule>
    <cfRule type="cellIs" dxfId="14" priority="11" stopIfTrue="1" operator="greaterThan">
      <formula>$E$122</formula>
    </cfRule>
  </conditionalFormatting>
  <conditionalFormatting sqref="R142:S142">
    <cfRule type="cellIs" dxfId="13" priority="8" stopIfTrue="1" operator="greaterThan">
      <formula>$E$142</formula>
    </cfRule>
    <cfRule type="cellIs" dxfId="12" priority="9" stopIfTrue="1" operator="lessThanOrEqual">
      <formula>$E$142</formula>
    </cfRule>
  </conditionalFormatting>
  <conditionalFormatting sqref="R130:S130">
    <cfRule type="cellIs" dxfId="11" priority="6" stopIfTrue="1" operator="greaterThan">
      <formula>$E$130</formula>
    </cfRule>
    <cfRule type="cellIs" dxfId="10" priority="7" stopIfTrue="1" operator="lessThanOrEqual">
      <formula>$E$130</formula>
    </cfRule>
  </conditionalFormatting>
  <conditionalFormatting sqref="R131:S131">
    <cfRule type="cellIs" dxfId="9" priority="4" stopIfTrue="1" operator="lessThan">
      <formula>$E$131</formula>
    </cfRule>
    <cfRule type="cellIs" dxfId="8" priority="5" stopIfTrue="1" operator="greaterThanOrEqual">
      <formula>$E$131</formula>
    </cfRule>
  </conditionalFormatting>
  <conditionalFormatting sqref="R114:S114">
    <cfRule type="cellIs" dxfId="7" priority="24" stopIfTrue="1" operator="lessThan">
      <formula>$D$114</formula>
    </cfRule>
    <cfRule type="cellIs" dxfId="6" priority="25" stopIfTrue="1" operator="between">
      <formula>$D$114</formula>
      <formula>$E$114</formula>
    </cfRule>
    <cfRule type="cellIs" dxfId="5" priority="26" stopIfTrue="1" operator="greaterThan">
      <formula>$E$114</formula>
    </cfRule>
  </conditionalFormatting>
  <conditionalFormatting sqref="R138:S138">
    <cfRule type="cellIs" dxfId="4" priority="27" stopIfTrue="1" operator="lessThan">
      <formula>$E$138</formula>
    </cfRule>
    <cfRule type="cellIs" dxfId="3" priority="28" stopIfTrue="1" operator="between">
      <formula>$D$138</formula>
      <formula>$E$138</formula>
    </cfRule>
    <cfRule type="cellIs" dxfId="2" priority="29" stopIfTrue="1" operator="greaterThanOrEqual">
      <formula>$D$138</formula>
    </cfRule>
  </conditionalFormatting>
  <conditionalFormatting sqref="R111:S111">
    <cfRule type="cellIs" dxfId="1" priority="2" stopIfTrue="1" operator="lessThan">
      <formula>$E$111</formula>
    </cfRule>
    <cfRule type="cellIs" dxfId="0" priority="3" stopIfTrue="1" operator="greaterThan">
      <formula>$E$111</formula>
    </cfRule>
  </conditionalFormatting>
  <pageMargins left="0.7" right="0.7" top="0.75" bottom="0.75" header="0.3" footer="0.3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4BEEFA-CD6F-41AB-8A5A-F7DF79899C15}">
  <sheetPr>
    <pageSetUpPr fitToPage="1"/>
  </sheetPr>
  <dimension ref="A1:V202"/>
  <sheetViews>
    <sheetView zoomScaleNormal="100" workbookViewId="0">
      <selection activeCell="G2" sqref="G2"/>
    </sheetView>
  </sheetViews>
  <sheetFormatPr defaultRowHeight="11.25" outlineLevelCol="1" x14ac:dyDescent="0.2"/>
  <cols>
    <col min="1" max="1" width="6.140625" style="47" customWidth="1"/>
    <col min="2" max="2" width="4.7109375" style="47" bestFit="1" customWidth="1"/>
    <col min="3" max="3" width="9.140625" style="47"/>
    <col min="4" max="5" width="5.140625" style="47" bestFit="1" customWidth="1"/>
    <col min="6" max="6" width="2" style="8" bestFit="1" customWidth="1"/>
    <col min="7" max="7" width="29.28515625" style="47" customWidth="1"/>
    <col min="8" max="12" width="8.7109375" style="47" hidden="1" customWidth="1" outlineLevel="1"/>
    <col min="13" max="13" width="8.7109375" style="47" bestFit="1" customWidth="1" collapsed="1"/>
    <col min="14" max="14" width="9.42578125" style="47" customWidth="1"/>
    <col min="15" max="19" width="8.7109375" style="47" bestFit="1" customWidth="1"/>
    <col min="20" max="20" width="4.28515625" style="47" customWidth="1"/>
    <col min="21" max="256" width="9.140625" style="47"/>
    <col min="257" max="257" width="6.140625" style="47" customWidth="1"/>
    <col min="258" max="258" width="4.7109375" style="47" bestFit="1" customWidth="1"/>
    <col min="259" max="259" width="9.140625" style="47"/>
    <col min="260" max="261" width="5.140625" style="47" bestFit="1" customWidth="1"/>
    <col min="262" max="262" width="2" style="47" bestFit="1" customWidth="1"/>
    <col min="263" max="263" width="29.28515625" style="47" customWidth="1"/>
    <col min="264" max="268" width="0" style="47" hidden="1" customWidth="1"/>
    <col min="269" max="269" width="8.7109375" style="47" bestFit="1" customWidth="1"/>
    <col min="270" max="270" width="9.42578125" style="47" customWidth="1"/>
    <col min="271" max="275" width="8.7109375" style="47" bestFit="1" customWidth="1"/>
    <col min="276" max="276" width="4.28515625" style="47" customWidth="1"/>
    <col min="277" max="512" width="9.140625" style="47"/>
    <col min="513" max="513" width="6.140625" style="47" customWidth="1"/>
    <col min="514" max="514" width="4.7109375" style="47" bestFit="1" customWidth="1"/>
    <col min="515" max="515" width="9.140625" style="47"/>
    <col min="516" max="517" width="5.140625" style="47" bestFit="1" customWidth="1"/>
    <col min="518" max="518" width="2" style="47" bestFit="1" customWidth="1"/>
    <col min="519" max="519" width="29.28515625" style="47" customWidth="1"/>
    <col min="520" max="524" width="0" style="47" hidden="1" customWidth="1"/>
    <col min="525" max="525" width="8.7109375" style="47" bestFit="1" customWidth="1"/>
    <col min="526" max="526" width="9.42578125" style="47" customWidth="1"/>
    <col min="527" max="531" width="8.7109375" style="47" bestFit="1" customWidth="1"/>
    <col min="532" max="532" width="4.28515625" style="47" customWidth="1"/>
    <col min="533" max="768" width="9.140625" style="47"/>
    <col min="769" max="769" width="6.140625" style="47" customWidth="1"/>
    <col min="770" max="770" width="4.7109375" style="47" bestFit="1" customWidth="1"/>
    <col min="771" max="771" width="9.140625" style="47"/>
    <col min="772" max="773" width="5.140625" style="47" bestFit="1" customWidth="1"/>
    <col min="774" max="774" width="2" style="47" bestFit="1" customWidth="1"/>
    <col min="775" max="775" width="29.28515625" style="47" customWidth="1"/>
    <col min="776" max="780" width="0" style="47" hidden="1" customWidth="1"/>
    <col min="781" max="781" width="8.7109375" style="47" bestFit="1" customWidth="1"/>
    <col min="782" max="782" width="9.42578125" style="47" customWidth="1"/>
    <col min="783" max="787" width="8.7109375" style="47" bestFit="1" customWidth="1"/>
    <col min="788" max="788" width="4.28515625" style="47" customWidth="1"/>
    <col min="789" max="1024" width="9.140625" style="47"/>
    <col min="1025" max="1025" width="6.140625" style="47" customWidth="1"/>
    <col min="1026" max="1026" width="4.7109375" style="47" bestFit="1" customWidth="1"/>
    <col min="1027" max="1027" width="9.140625" style="47"/>
    <col min="1028" max="1029" width="5.140625" style="47" bestFit="1" customWidth="1"/>
    <col min="1030" max="1030" width="2" style="47" bestFit="1" customWidth="1"/>
    <col min="1031" max="1031" width="29.28515625" style="47" customWidth="1"/>
    <col min="1032" max="1036" width="0" style="47" hidden="1" customWidth="1"/>
    <col min="1037" max="1037" width="8.7109375" style="47" bestFit="1" customWidth="1"/>
    <col min="1038" max="1038" width="9.42578125" style="47" customWidth="1"/>
    <col min="1039" max="1043" width="8.7109375" style="47" bestFit="1" customWidth="1"/>
    <col min="1044" max="1044" width="4.28515625" style="47" customWidth="1"/>
    <col min="1045" max="1280" width="9.140625" style="47"/>
    <col min="1281" max="1281" width="6.140625" style="47" customWidth="1"/>
    <col min="1282" max="1282" width="4.7109375" style="47" bestFit="1" customWidth="1"/>
    <col min="1283" max="1283" width="9.140625" style="47"/>
    <col min="1284" max="1285" width="5.140625" style="47" bestFit="1" customWidth="1"/>
    <col min="1286" max="1286" width="2" style="47" bestFit="1" customWidth="1"/>
    <col min="1287" max="1287" width="29.28515625" style="47" customWidth="1"/>
    <col min="1288" max="1292" width="0" style="47" hidden="1" customWidth="1"/>
    <col min="1293" max="1293" width="8.7109375" style="47" bestFit="1" customWidth="1"/>
    <col min="1294" max="1294" width="9.42578125" style="47" customWidth="1"/>
    <col min="1295" max="1299" width="8.7109375" style="47" bestFit="1" customWidth="1"/>
    <col min="1300" max="1300" width="4.28515625" style="47" customWidth="1"/>
    <col min="1301" max="1536" width="9.140625" style="47"/>
    <col min="1537" max="1537" width="6.140625" style="47" customWidth="1"/>
    <col min="1538" max="1538" width="4.7109375" style="47" bestFit="1" customWidth="1"/>
    <col min="1539" max="1539" width="9.140625" style="47"/>
    <col min="1540" max="1541" width="5.140625" style="47" bestFit="1" customWidth="1"/>
    <col min="1542" max="1542" width="2" style="47" bestFit="1" customWidth="1"/>
    <col min="1543" max="1543" width="29.28515625" style="47" customWidth="1"/>
    <col min="1544" max="1548" width="0" style="47" hidden="1" customWidth="1"/>
    <col min="1549" max="1549" width="8.7109375" style="47" bestFit="1" customWidth="1"/>
    <col min="1550" max="1550" width="9.42578125" style="47" customWidth="1"/>
    <col min="1551" max="1555" width="8.7109375" style="47" bestFit="1" customWidth="1"/>
    <col min="1556" max="1556" width="4.28515625" style="47" customWidth="1"/>
    <col min="1557" max="1792" width="9.140625" style="47"/>
    <col min="1793" max="1793" width="6.140625" style="47" customWidth="1"/>
    <col min="1794" max="1794" width="4.7109375" style="47" bestFit="1" customWidth="1"/>
    <col min="1795" max="1795" width="9.140625" style="47"/>
    <col min="1796" max="1797" width="5.140625" style="47" bestFit="1" customWidth="1"/>
    <col min="1798" max="1798" width="2" style="47" bestFit="1" customWidth="1"/>
    <col min="1799" max="1799" width="29.28515625" style="47" customWidth="1"/>
    <col min="1800" max="1804" width="0" style="47" hidden="1" customWidth="1"/>
    <col min="1805" max="1805" width="8.7109375" style="47" bestFit="1" customWidth="1"/>
    <col min="1806" max="1806" width="9.42578125" style="47" customWidth="1"/>
    <col min="1807" max="1811" width="8.7109375" style="47" bestFit="1" customWidth="1"/>
    <col min="1812" max="1812" width="4.28515625" style="47" customWidth="1"/>
    <col min="1813" max="2048" width="9.140625" style="47"/>
    <col min="2049" max="2049" width="6.140625" style="47" customWidth="1"/>
    <col min="2050" max="2050" width="4.7109375" style="47" bestFit="1" customWidth="1"/>
    <col min="2051" max="2051" width="9.140625" style="47"/>
    <col min="2052" max="2053" width="5.140625" style="47" bestFit="1" customWidth="1"/>
    <col min="2054" max="2054" width="2" style="47" bestFit="1" customWidth="1"/>
    <col min="2055" max="2055" width="29.28515625" style="47" customWidth="1"/>
    <col min="2056" max="2060" width="0" style="47" hidden="1" customWidth="1"/>
    <col min="2061" max="2061" width="8.7109375" style="47" bestFit="1" customWidth="1"/>
    <col min="2062" max="2062" width="9.42578125" style="47" customWidth="1"/>
    <col min="2063" max="2067" width="8.7109375" style="47" bestFit="1" customWidth="1"/>
    <col min="2068" max="2068" width="4.28515625" style="47" customWidth="1"/>
    <col min="2069" max="2304" width="9.140625" style="47"/>
    <col min="2305" max="2305" width="6.140625" style="47" customWidth="1"/>
    <col min="2306" max="2306" width="4.7109375" style="47" bestFit="1" customWidth="1"/>
    <col min="2307" max="2307" width="9.140625" style="47"/>
    <col min="2308" max="2309" width="5.140625" style="47" bestFit="1" customWidth="1"/>
    <col min="2310" max="2310" width="2" style="47" bestFit="1" customWidth="1"/>
    <col min="2311" max="2311" width="29.28515625" style="47" customWidth="1"/>
    <col min="2312" max="2316" width="0" style="47" hidden="1" customWidth="1"/>
    <col min="2317" max="2317" width="8.7109375" style="47" bestFit="1" customWidth="1"/>
    <col min="2318" max="2318" width="9.42578125" style="47" customWidth="1"/>
    <col min="2319" max="2323" width="8.7109375" style="47" bestFit="1" customWidth="1"/>
    <col min="2324" max="2324" width="4.28515625" style="47" customWidth="1"/>
    <col min="2325" max="2560" width="9.140625" style="47"/>
    <col min="2561" max="2561" width="6.140625" style="47" customWidth="1"/>
    <col min="2562" max="2562" width="4.7109375" style="47" bestFit="1" customWidth="1"/>
    <col min="2563" max="2563" width="9.140625" style="47"/>
    <col min="2564" max="2565" width="5.140625" style="47" bestFit="1" customWidth="1"/>
    <col min="2566" max="2566" width="2" style="47" bestFit="1" customWidth="1"/>
    <col min="2567" max="2567" width="29.28515625" style="47" customWidth="1"/>
    <col min="2568" max="2572" width="0" style="47" hidden="1" customWidth="1"/>
    <col min="2573" max="2573" width="8.7109375" style="47" bestFit="1" customWidth="1"/>
    <col min="2574" max="2574" width="9.42578125" style="47" customWidth="1"/>
    <col min="2575" max="2579" width="8.7109375" style="47" bestFit="1" customWidth="1"/>
    <col min="2580" max="2580" width="4.28515625" style="47" customWidth="1"/>
    <col min="2581" max="2816" width="9.140625" style="47"/>
    <col min="2817" max="2817" width="6.140625" style="47" customWidth="1"/>
    <col min="2818" max="2818" width="4.7109375" style="47" bestFit="1" customWidth="1"/>
    <col min="2819" max="2819" width="9.140625" style="47"/>
    <col min="2820" max="2821" width="5.140625" style="47" bestFit="1" customWidth="1"/>
    <col min="2822" max="2822" width="2" style="47" bestFit="1" customWidth="1"/>
    <col min="2823" max="2823" width="29.28515625" style="47" customWidth="1"/>
    <col min="2824" max="2828" width="0" style="47" hidden="1" customWidth="1"/>
    <col min="2829" max="2829" width="8.7109375" style="47" bestFit="1" customWidth="1"/>
    <col min="2830" max="2830" width="9.42578125" style="47" customWidth="1"/>
    <col min="2831" max="2835" width="8.7109375" style="47" bestFit="1" customWidth="1"/>
    <col min="2836" max="2836" width="4.28515625" style="47" customWidth="1"/>
    <col min="2837" max="3072" width="9.140625" style="47"/>
    <col min="3073" max="3073" width="6.140625" style="47" customWidth="1"/>
    <col min="3074" max="3074" width="4.7109375" style="47" bestFit="1" customWidth="1"/>
    <col min="3075" max="3075" width="9.140625" style="47"/>
    <col min="3076" max="3077" width="5.140625" style="47" bestFit="1" customWidth="1"/>
    <col min="3078" max="3078" width="2" style="47" bestFit="1" customWidth="1"/>
    <col min="3079" max="3079" width="29.28515625" style="47" customWidth="1"/>
    <col min="3080" max="3084" width="0" style="47" hidden="1" customWidth="1"/>
    <col min="3085" max="3085" width="8.7109375" style="47" bestFit="1" customWidth="1"/>
    <col min="3086" max="3086" width="9.42578125" style="47" customWidth="1"/>
    <col min="3087" max="3091" width="8.7109375" style="47" bestFit="1" customWidth="1"/>
    <col min="3092" max="3092" width="4.28515625" style="47" customWidth="1"/>
    <col min="3093" max="3328" width="9.140625" style="47"/>
    <col min="3329" max="3329" width="6.140625" style="47" customWidth="1"/>
    <col min="3330" max="3330" width="4.7109375" style="47" bestFit="1" customWidth="1"/>
    <col min="3331" max="3331" width="9.140625" style="47"/>
    <col min="3332" max="3333" width="5.140625" style="47" bestFit="1" customWidth="1"/>
    <col min="3334" max="3334" width="2" style="47" bestFit="1" customWidth="1"/>
    <col min="3335" max="3335" width="29.28515625" style="47" customWidth="1"/>
    <col min="3336" max="3340" width="0" style="47" hidden="1" customWidth="1"/>
    <col min="3341" max="3341" width="8.7109375" style="47" bestFit="1" customWidth="1"/>
    <col min="3342" max="3342" width="9.42578125" style="47" customWidth="1"/>
    <col min="3343" max="3347" width="8.7109375" style="47" bestFit="1" customWidth="1"/>
    <col min="3348" max="3348" width="4.28515625" style="47" customWidth="1"/>
    <col min="3349" max="3584" width="9.140625" style="47"/>
    <col min="3585" max="3585" width="6.140625" style="47" customWidth="1"/>
    <col min="3586" max="3586" width="4.7109375" style="47" bestFit="1" customWidth="1"/>
    <col min="3587" max="3587" width="9.140625" style="47"/>
    <col min="3588" max="3589" width="5.140625" style="47" bestFit="1" customWidth="1"/>
    <col min="3590" max="3590" width="2" style="47" bestFit="1" customWidth="1"/>
    <col min="3591" max="3591" width="29.28515625" style="47" customWidth="1"/>
    <col min="3592" max="3596" width="0" style="47" hidden="1" customWidth="1"/>
    <col min="3597" max="3597" width="8.7109375" style="47" bestFit="1" customWidth="1"/>
    <col min="3598" max="3598" width="9.42578125" style="47" customWidth="1"/>
    <col min="3599" max="3603" width="8.7109375" style="47" bestFit="1" customWidth="1"/>
    <col min="3604" max="3604" width="4.28515625" style="47" customWidth="1"/>
    <col min="3605" max="3840" width="9.140625" style="47"/>
    <col min="3841" max="3841" width="6.140625" style="47" customWidth="1"/>
    <col min="3842" max="3842" width="4.7109375" style="47" bestFit="1" customWidth="1"/>
    <col min="3843" max="3843" width="9.140625" style="47"/>
    <col min="3844" max="3845" width="5.140625" style="47" bestFit="1" customWidth="1"/>
    <col min="3846" max="3846" width="2" style="47" bestFit="1" customWidth="1"/>
    <col min="3847" max="3847" width="29.28515625" style="47" customWidth="1"/>
    <col min="3848" max="3852" width="0" style="47" hidden="1" customWidth="1"/>
    <col min="3853" max="3853" width="8.7109375" style="47" bestFit="1" customWidth="1"/>
    <col min="3854" max="3854" width="9.42578125" style="47" customWidth="1"/>
    <col min="3855" max="3859" width="8.7109375" style="47" bestFit="1" customWidth="1"/>
    <col min="3860" max="3860" width="4.28515625" style="47" customWidth="1"/>
    <col min="3861" max="4096" width="9.140625" style="47"/>
    <col min="4097" max="4097" width="6.140625" style="47" customWidth="1"/>
    <col min="4098" max="4098" width="4.7109375" style="47" bestFit="1" customWidth="1"/>
    <col min="4099" max="4099" width="9.140625" style="47"/>
    <col min="4100" max="4101" width="5.140625" style="47" bestFit="1" customWidth="1"/>
    <col min="4102" max="4102" width="2" style="47" bestFit="1" customWidth="1"/>
    <col min="4103" max="4103" width="29.28515625" style="47" customWidth="1"/>
    <col min="4104" max="4108" width="0" style="47" hidden="1" customWidth="1"/>
    <col min="4109" max="4109" width="8.7109375" style="47" bestFit="1" customWidth="1"/>
    <col min="4110" max="4110" width="9.42578125" style="47" customWidth="1"/>
    <col min="4111" max="4115" width="8.7109375" style="47" bestFit="1" customWidth="1"/>
    <col min="4116" max="4116" width="4.28515625" style="47" customWidth="1"/>
    <col min="4117" max="4352" width="9.140625" style="47"/>
    <col min="4353" max="4353" width="6.140625" style="47" customWidth="1"/>
    <col min="4354" max="4354" width="4.7109375" style="47" bestFit="1" customWidth="1"/>
    <col min="4355" max="4355" width="9.140625" style="47"/>
    <col min="4356" max="4357" width="5.140625" style="47" bestFit="1" customWidth="1"/>
    <col min="4358" max="4358" width="2" style="47" bestFit="1" customWidth="1"/>
    <col min="4359" max="4359" width="29.28515625" style="47" customWidth="1"/>
    <col min="4360" max="4364" width="0" style="47" hidden="1" customWidth="1"/>
    <col min="4365" max="4365" width="8.7109375" style="47" bestFit="1" customWidth="1"/>
    <col min="4366" max="4366" width="9.42578125" style="47" customWidth="1"/>
    <col min="4367" max="4371" width="8.7109375" style="47" bestFit="1" customWidth="1"/>
    <col min="4372" max="4372" width="4.28515625" style="47" customWidth="1"/>
    <col min="4373" max="4608" width="9.140625" style="47"/>
    <col min="4609" max="4609" width="6.140625" style="47" customWidth="1"/>
    <col min="4610" max="4610" width="4.7109375" style="47" bestFit="1" customWidth="1"/>
    <col min="4611" max="4611" width="9.140625" style="47"/>
    <col min="4612" max="4613" width="5.140625" style="47" bestFit="1" customWidth="1"/>
    <col min="4614" max="4614" width="2" style="47" bestFit="1" customWidth="1"/>
    <col min="4615" max="4615" width="29.28515625" style="47" customWidth="1"/>
    <col min="4616" max="4620" width="0" style="47" hidden="1" customWidth="1"/>
    <col min="4621" max="4621" width="8.7109375" style="47" bestFit="1" customWidth="1"/>
    <col min="4622" max="4622" width="9.42578125" style="47" customWidth="1"/>
    <col min="4623" max="4627" width="8.7109375" style="47" bestFit="1" customWidth="1"/>
    <col min="4628" max="4628" width="4.28515625" style="47" customWidth="1"/>
    <col min="4629" max="4864" width="9.140625" style="47"/>
    <col min="4865" max="4865" width="6.140625" style="47" customWidth="1"/>
    <col min="4866" max="4866" width="4.7109375" style="47" bestFit="1" customWidth="1"/>
    <col min="4867" max="4867" width="9.140625" style="47"/>
    <col min="4868" max="4869" width="5.140625" style="47" bestFit="1" customWidth="1"/>
    <col min="4870" max="4870" width="2" style="47" bestFit="1" customWidth="1"/>
    <col min="4871" max="4871" width="29.28515625" style="47" customWidth="1"/>
    <col min="4872" max="4876" width="0" style="47" hidden="1" customWidth="1"/>
    <col min="4877" max="4877" width="8.7109375" style="47" bestFit="1" customWidth="1"/>
    <col min="4878" max="4878" width="9.42578125" style="47" customWidth="1"/>
    <col min="4879" max="4883" width="8.7109375" style="47" bestFit="1" customWidth="1"/>
    <col min="4884" max="4884" width="4.28515625" style="47" customWidth="1"/>
    <col min="4885" max="5120" width="9.140625" style="47"/>
    <col min="5121" max="5121" width="6.140625" style="47" customWidth="1"/>
    <col min="5122" max="5122" width="4.7109375" style="47" bestFit="1" customWidth="1"/>
    <col min="5123" max="5123" width="9.140625" style="47"/>
    <col min="5124" max="5125" width="5.140625" style="47" bestFit="1" customWidth="1"/>
    <col min="5126" max="5126" width="2" style="47" bestFit="1" customWidth="1"/>
    <col min="5127" max="5127" width="29.28515625" style="47" customWidth="1"/>
    <col min="5128" max="5132" width="0" style="47" hidden="1" customWidth="1"/>
    <col min="5133" max="5133" width="8.7109375" style="47" bestFit="1" customWidth="1"/>
    <col min="5134" max="5134" width="9.42578125" style="47" customWidth="1"/>
    <col min="5135" max="5139" width="8.7109375" style="47" bestFit="1" customWidth="1"/>
    <col min="5140" max="5140" width="4.28515625" style="47" customWidth="1"/>
    <col min="5141" max="5376" width="9.140625" style="47"/>
    <col min="5377" max="5377" width="6.140625" style="47" customWidth="1"/>
    <col min="5378" max="5378" width="4.7109375" style="47" bestFit="1" customWidth="1"/>
    <col min="5379" max="5379" width="9.140625" style="47"/>
    <col min="5380" max="5381" width="5.140625" style="47" bestFit="1" customWidth="1"/>
    <col min="5382" max="5382" width="2" style="47" bestFit="1" customWidth="1"/>
    <col min="5383" max="5383" width="29.28515625" style="47" customWidth="1"/>
    <col min="5384" max="5388" width="0" style="47" hidden="1" customWidth="1"/>
    <col min="5389" max="5389" width="8.7109375" style="47" bestFit="1" customWidth="1"/>
    <col min="5390" max="5390" width="9.42578125" style="47" customWidth="1"/>
    <col min="5391" max="5395" width="8.7109375" style="47" bestFit="1" customWidth="1"/>
    <col min="5396" max="5396" width="4.28515625" style="47" customWidth="1"/>
    <col min="5397" max="5632" width="9.140625" style="47"/>
    <col min="5633" max="5633" width="6.140625" style="47" customWidth="1"/>
    <col min="5634" max="5634" width="4.7109375" style="47" bestFit="1" customWidth="1"/>
    <col min="5635" max="5635" width="9.140625" style="47"/>
    <col min="5636" max="5637" width="5.140625" style="47" bestFit="1" customWidth="1"/>
    <col min="5638" max="5638" width="2" style="47" bestFit="1" customWidth="1"/>
    <col min="5639" max="5639" width="29.28515625" style="47" customWidth="1"/>
    <col min="5640" max="5644" width="0" style="47" hidden="1" customWidth="1"/>
    <col min="5645" max="5645" width="8.7109375" style="47" bestFit="1" customWidth="1"/>
    <col min="5646" max="5646" width="9.42578125" style="47" customWidth="1"/>
    <col min="5647" max="5651" width="8.7109375" style="47" bestFit="1" customWidth="1"/>
    <col min="5652" max="5652" width="4.28515625" style="47" customWidth="1"/>
    <col min="5653" max="5888" width="9.140625" style="47"/>
    <col min="5889" max="5889" width="6.140625" style="47" customWidth="1"/>
    <col min="5890" max="5890" width="4.7109375" style="47" bestFit="1" customWidth="1"/>
    <col min="5891" max="5891" width="9.140625" style="47"/>
    <col min="5892" max="5893" width="5.140625" style="47" bestFit="1" customWidth="1"/>
    <col min="5894" max="5894" width="2" style="47" bestFit="1" customWidth="1"/>
    <col min="5895" max="5895" width="29.28515625" style="47" customWidth="1"/>
    <col min="5896" max="5900" width="0" style="47" hidden="1" customWidth="1"/>
    <col min="5901" max="5901" width="8.7109375" style="47" bestFit="1" customWidth="1"/>
    <col min="5902" max="5902" width="9.42578125" style="47" customWidth="1"/>
    <col min="5903" max="5907" width="8.7109375" style="47" bestFit="1" customWidth="1"/>
    <col min="5908" max="5908" width="4.28515625" style="47" customWidth="1"/>
    <col min="5909" max="6144" width="9.140625" style="47"/>
    <col min="6145" max="6145" width="6.140625" style="47" customWidth="1"/>
    <col min="6146" max="6146" width="4.7109375" style="47" bestFit="1" customWidth="1"/>
    <col min="6147" max="6147" width="9.140625" style="47"/>
    <col min="6148" max="6149" width="5.140625" style="47" bestFit="1" customWidth="1"/>
    <col min="6150" max="6150" width="2" style="47" bestFit="1" customWidth="1"/>
    <col min="6151" max="6151" width="29.28515625" style="47" customWidth="1"/>
    <col min="6152" max="6156" width="0" style="47" hidden="1" customWidth="1"/>
    <col min="6157" max="6157" width="8.7109375" style="47" bestFit="1" customWidth="1"/>
    <col min="6158" max="6158" width="9.42578125" style="47" customWidth="1"/>
    <col min="6159" max="6163" width="8.7109375" style="47" bestFit="1" customWidth="1"/>
    <col min="6164" max="6164" width="4.28515625" style="47" customWidth="1"/>
    <col min="6165" max="6400" width="9.140625" style="47"/>
    <col min="6401" max="6401" width="6.140625" style="47" customWidth="1"/>
    <col min="6402" max="6402" width="4.7109375" style="47" bestFit="1" customWidth="1"/>
    <col min="6403" max="6403" width="9.140625" style="47"/>
    <col min="6404" max="6405" width="5.140625" style="47" bestFit="1" customWidth="1"/>
    <col min="6406" max="6406" width="2" style="47" bestFit="1" customWidth="1"/>
    <col min="6407" max="6407" width="29.28515625" style="47" customWidth="1"/>
    <col min="6408" max="6412" width="0" style="47" hidden="1" customWidth="1"/>
    <col min="6413" max="6413" width="8.7109375" style="47" bestFit="1" customWidth="1"/>
    <col min="6414" max="6414" width="9.42578125" style="47" customWidth="1"/>
    <col min="6415" max="6419" width="8.7109375" style="47" bestFit="1" customWidth="1"/>
    <col min="6420" max="6420" width="4.28515625" style="47" customWidth="1"/>
    <col min="6421" max="6656" width="9.140625" style="47"/>
    <col min="6657" max="6657" width="6.140625" style="47" customWidth="1"/>
    <col min="6658" max="6658" width="4.7109375" style="47" bestFit="1" customWidth="1"/>
    <col min="6659" max="6659" width="9.140625" style="47"/>
    <col min="6660" max="6661" width="5.140625" style="47" bestFit="1" customWidth="1"/>
    <col min="6662" max="6662" width="2" style="47" bestFit="1" customWidth="1"/>
    <col min="6663" max="6663" width="29.28515625" style="47" customWidth="1"/>
    <col min="6664" max="6668" width="0" style="47" hidden="1" customWidth="1"/>
    <col min="6669" max="6669" width="8.7109375" style="47" bestFit="1" customWidth="1"/>
    <col min="6670" max="6670" width="9.42578125" style="47" customWidth="1"/>
    <col min="6671" max="6675" width="8.7109375" style="47" bestFit="1" customWidth="1"/>
    <col min="6676" max="6676" width="4.28515625" style="47" customWidth="1"/>
    <col min="6677" max="6912" width="9.140625" style="47"/>
    <col min="6913" max="6913" width="6.140625" style="47" customWidth="1"/>
    <col min="6914" max="6914" width="4.7109375" style="47" bestFit="1" customWidth="1"/>
    <col min="6915" max="6915" width="9.140625" style="47"/>
    <col min="6916" max="6917" width="5.140625" style="47" bestFit="1" customWidth="1"/>
    <col min="6918" max="6918" width="2" style="47" bestFit="1" customWidth="1"/>
    <col min="6919" max="6919" width="29.28515625" style="47" customWidth="1"/>
    <col min="6920" max="6924" width="0" style="47" hidden="1" customWidth="1"/>
    <col min="6925" max="6925" width="8.7109375" style="47" bestFit="1" customWidth="1"/>
    <col min="6926" max="6926" width="9.42578125" style="47" customWidth="1"/>
    <col min="6927" max="6931" width="8.7109375" style="47" bestFit="1" customWidth="1"/>
    <col min="6932" max="6932" width="4.28515625" style="47" customWidth="1"/>
    <col min="6933" max="7168" width="9.140625" style="47"/>
    <col min="7169" max="7169" width="6.140625" style="47" customWidth="1"/>
    <col min="7170" max="7170" width="4.7109375" style="47" bestFit="1" customWidth="1"/>
    <col min="7171" max="7171" width="9.140625" style="47"/>
    <col min="7172" max="7173" width="5.140625" style="47" bestFit="1" customWidth="1"/>
    <col min="7174" max="7174" width="2" style="47" bestFit="1" customWidth="1"/>
    <col min="7175" max="7175" width="29.28515625" style="47" customWidth="1"/>
    <col min="7176" max="7180" width="0" style="47" hidden="1" customWidth="1"/>
    <col min="7181" max="7181" width="8.7109375" style="47" bestFit="1" customWidth="1"/>
    <col min="7182" max="7182" width="9.42578125" style="47" customWidth="1"/>
    <col min="7183" max="7187" width="8.7109375" style="47" bestFit="1" customWidth="1"/>
    <col min="7188" max="7188" width="4.28515625" style="47" customWidth="1"/>
    <col min="7189" max="7424" width="9.140625" style="47"/>
    <col min="7425" max="7425" width="6.140625" style="47" customWidth="1"/>
    <col min="7426" max="7426" width="4.7109375" style="47" bestFit="1" customWidth="1"/>
    <col min="7427" max="7427" width="9.140625" style="47"/>
    <col min="7428" max="7429" width="5.140625" style="47" bestFit="1" customWidth="1"/>
    <col min="7430" max="7430" width="2" style="47" bestFit="1" customWidth="1"/>
    <col min="7431" max="7431" width="29.28515625" style="47" customWidth="1"/>
    <col min="7432" max="7436" width="0" style="47" hidden="1" customWidth="1"/>
    <col min="7437" max="7437" width="8.7109375" style="47" bestFit="1" customWidth="1"/>
    <col min="7438" max="7438" width="9.42578125" style="47" customWidth="1"/>
    <col min="7439" max="7443" width="8.7109375" style="47" bestFit="1" customWidth="1"/>
    <col min="7444" max="7444" width="4.28515625" style="47" customWidth="1"/>
    <col min="7445" max="7680" width="9.140625" style="47"/>
    <col min="7681" max="7681" width="6.140625" style="47" customWidth="1"/>
    <col min="7682" max="7682" width="4.7109375" style="47" bestFit="1" customWidth="1"/>
    <col min="7683" max="7683" width="9.140625" style="47"/>
    <col min="7684" max="7685" width="5.140625" style="47" bestFit="1" customWidth="1"/>
    <col min="7686" max="7686" width="2" style="47" bestFit="1" customWidth="1"/>
    <col min="7687" max="7687" width="29.28515625" style="47" customWidth="1"/>
    <col min="7688" max="7692" width="0" style="47" hidden="1" customWidth="1"/>
    <col min="7693" max="7693" width="8.7109375" style="47" bestFit="1" customWidth="1"/>
    <col min="7694" max="7694" width="9.42578125" style="47" customWidth="1"/>
    <col min="7695" max="7699" width="8.7109375" style="47" bestFit="1" customWidth="1"/>
    <col min="7700" max="7700" width="4.28515625" style="47" customWidth="1"/>
    <col min="7701" max="7936" width="9.140625" style="47"/>
    <col min="7937" max="7937" width="6.140625" style="47" customWidth="1"/>
    <col min="7938" max="7938" width="4.7109375" style="47" bestFit="1" customWidth="1"/>
    <col min="7939" max="7939" width="9.140625" style="47"/>
    <col min="7940" max="7941" width="5.140625" style="47" bestFit="1" customWidth="1"/>
    <col min="7942" max="7942" width="2" style="47" bestFit="1" customWidth="1"/>
    <col min="7943" max="7943" width="29.28515625" style="47" customWidth="1"/>
    <col min="7944" max="7948" width="0" style="47" hidden="1" customWidth="1"/>
    <col min="7949" max="7949" width="8.7109375" style="47" bestFit="1" customWidth="1"/>
    <col min="7950" max="7950" width="9.42578125" style="47" customWidth="1"/>
    <col min="7951" max="7955" width="8.7109375" style="47" bestFit="1" customWidth="1"/>
    <col min="7956" max="7956" width="4.28515625" style="47" customWidth="1"/>
    <col min="7957" max="8192" width="9.140625" style="47"/>
    <col min="8193" max="8193" width="6.140625" style="47" customWidth="1"/>
    <col min="8194" max="8194" width="4.7109375" style="47" bestFit="1" customWidth="1"/>
    <col min="8195" max="8195" width="9.140625" style="47"/>
    <col min="8196" max="8197" width="5.140625" style="47" bestFit="1" customWidth="1"/>
    <col min="8198" max="8198" width="2" style="47" bestFit="1" customWidth="1"/>
    <col min="8199" max="8199" width="29.28515625" style="47" customWidth="1"/>
    <col min="8200" max="8204" width="0" style="47" hidden="1" customWidth="1"/>
    <col min="8205" max="8205" width="8.7109375" style="47" bestFit="1" customWidth="1"/>
    <col min="8206" max="8206" width="9.42578125" style="47" customWidth="1"/>
    <col min="8207" max="8211" width="8.7109375" style="47" bestFit="1" customWidth="1"/>
    <col min="8212" max="8212" width="4.28515625" style="47" customWidth="1"/>
    <col min="8213" max="8448" width="9.140625" style="47"/>
    <col min="8449" max="8449" width="6.140625" style="47" customWidth="1"/>
    <col min="8450" max="8450" width="4.7109375" style="47" bestFit="1" customWidth="1"/>
    <col min="8451" max="8451" width="9.140625" style="47"/>
    <col min="8452" max="8453" width="5.140625" style="47" bestFit="1" customWidth="1"/>
    <col min="8454" max="8454" width="2" style="47" bestFit="1" customWidth="1"/>
    <col min="8455" max="8455" width="29.28515625" style="47" customWidth="1"/>
    <col min="8456" max="8460" width="0" style="47" hidden="1" customWidth="1"/>
    <col min="8461" max="8461" width="8.7109375" style="47" bestFit="1" customWidth="1"/>
    <col min="8462" max="8462" width="9.42578125" style="47" customWidth="1"/>
    <col min="8463" max="8467" width="8.7109375" style="47" bestFit="1" customWidth="1"/>
    <col min="8468" max="8468" width="4.28515625" style="47" customWidth="1"/>
    <col min="8469" max="8704" width="9.140625" style="47"/>
    <col min="8705" max="8705" width="6.140625" style="47" customWidth="1"/>
    <col min="8706" max="8706" width="4.7109375" style="47" bestFit="1" customWidth="1"/>
    <col min="8707" max="8707" width="9.140625" style="47"/>
    <col min="8708" max="8709" width="5.140625" style="47" bestFit="1" customWidth="1"/>
    <col min="8710" max="8710" width="2" style="47" bestFit="1" customWidth="1"/>
    <col min="8711" max="8711" width="29.28515625" style="47" customWidth="1"/>
    <col min="8712" max="8716" width="0" style="47" hidden="1" customWidth="1"/>
    <col min="8717" max="8717" width="8.7109375" style="47" bestFit="1" customWidth="1"/>
    <col min="8718" max="8718" width="9.42578125" style="47" customWidth="1"/>
    <col min="8719" max="8723" width="8.7109375" style="47" bestFit="1" customWidth="1"/>
    <col min="8724" max="8724" width="4.28515625" style="47" customWidth="1"/>
    <col min="8725" max="8960" width="9.140625" style="47"/>
    <col min="8961" max="8961" width="6.140625" style="47" customWidth="1"/>
    <col min="8962" max="8962" width="4.7109375" style="47" bestFit="1" customWidth="1"/>
    <col min="8963" max="8963" width="9.140625" style="47"/>
    <col min="8964" max="8965" width="5.140625" style="47" bestFit="1" customWidth="1"/>
    <col min="8966" max="8966" width="2" style="47" bestFit="1" customWidth="1"/>
    <col min="8967" max="8967" width="29.28515625" style="47" customWidth="1"/>
    <col min="8968" max="8972" width="0" style="47" hidden="1" customWidth="1"/>
    <col min="8973" max="8973" width="8.7109375" style="47" bestFit="1" customWidth="1"/>
    <col min="8974" max="8974" width="9.42578125" style="47" customWidth="1"/>
    <col min="8975" max="8979" width="8.7109375" style="47" bestFit="1" customWidth="1"/>
    <col min="8980" max="8980" width="4.28515625" style="47" customWidth="1"/>
    <col min="8981" max="9216" width="9.140625" style="47"/>
    <col min="9217" max="9217" width="6.140625" style="47" customWidth="1"/>
    <col min="9218" max="9218" width="4.7109375" style="47" bestFit="1" customWidth="1"/>
    <col min="9219" max="9219" width="9.140625" style="47"/>
    <col min="9220" max="9221" width="5.140625" style="47" bestFit="1" customWidth="1"/>
    <col min="9222" max="9222" width="2" style="47" bestFit="1" customWidth="1"/>
    <col min="9223" max="9223" width="29.28515625" style="47" customWidth="1"/>
    <col min="9224" max="9228" width="0" style="47" hidden="1" customWidth="1"/>
    <col min="9229" max="9229" width="8.7109375" style="47" bestFit="1" customWidth="1"/>
    <col min="9230" max="9230" width="9.42578125" style="47" customWidth="1"/>
    <col min="9231" max="9235" width="8.7109375" style="47" bestFit="1" customWidth="1"/>
    <col min="9236" max="9236" width="4.28515625" style="47" customWidth="1"/>
    <col min="9237" max="9472" width="9.140625" style="47"/>
    <col min="9473" max="9473" width="6.140625" style="47" customWidth="1"/>
    <col min="9474" max="9474" width="4.7109375" style="47" bestFit="1" customWidth="1"/>
    <col min="9475" max="9475" width="9.140625" style="47"/>
    <col min="9476" max="9477" width="5.140625" style="47" bestFit="1" customWidth="1"/>
    <col min="9478" max="9478" width="2" style="47" bestFit="1" customWidth="1"/>
    <col min="9479" max="9479" width="29.28515625" style="47" customWidth="1"/>
    <col min="9480" max="9484" width="0" style="47" hidden="1" customWidth="1"/>
    <col min="9485" max="9485" width="8.7109375" style="47" bestFit="1" customWidth="1"/>
    <col min="9486" max="9486" width="9.42578125" style="47" customWidth="1"/>
    <col min="9487" max="9491" width="8.7109375" style="47" bestFit="1" customWidth="1"/>
    <col min="9492" max="9492" width="4.28515625" style="47" customWidth="1"/>
    <col min="9493" max="9728" width="9.140625" style="47"/>
    <col min="9729" max="9729" width="6.140625" style="47" customWidth="1"/>
    <col min="9730" max="9730" width="4.7109375" style="47" bestFit="1" customWidth="1"/>
    <col min="9731" max="9731" width="9.140625" style="47"/>
    <col min="9732" max="9733" width="5.140625" style="47" bestFit="1" customWidth="1"/>
    <col min="9734" max="9734" width="2" style="47" bestFit="1" customWidth="1"/>
    <col min="9735" max="9735" width="29.28515625" style="47" customWidth="1"/>
    <col min="9736" max="9740" width="0" style="47" hidden="1" customWidth="1"/>
    <col min="9741" max="9741" width="8.7109375" style="47" bestFit="1" customWidth="1"/>
    <col min="9742" max="9742" width="9.42578125" style="47" customWidth="1"/>
    <col min="9743" max="9747" width="8.7109375" style="47" bestFit="1" customWidth="1"/>
    <col min="9748" max="9748" width="4.28515625" style="47" customWidth="1"/>
    <col min="9749" max="9984" width="9.140625" style="47"/>
    <col min="9985" max="9985" width="6.140625" style="47" customWidth="1"/>
    <col min="9986" max="9986" width="4.7109375" style="47" bestFit="1" customWidth="1"/>
    <col min="9987" max="9987" width="9.140625" style="47"/>
    <col min="9988" max="9989" width="5.140625" style="47" bestFit="1" customWidth="1"/>
    <col min="9990" max="9990" width="2" style="47" bestFit="1" customWidth="1"/>
    <col min="9991" max="9991" width="29.28515625" style="47" customWidth="1"/>
    <col min="9992" max="9996" width="0" style="47" hidden="1" customWidth="1"/>
    <col min="9997" max="9997" width="8.7109375" style="47" bestFit="1" customWidth="1"/>
    <col min="9998" max="9998" width="9.42578125" style="47" customWidth="1"/>
    <col min="9999" max="10003" width="8.7109375" style="47" bestFit="1" customWidth="1"/>
    <col min="10004" max="10004" width="4.28515625" style="47" customWidth="1"/>
    <col min="10005" max="10240" width="9.140625" style="47"/>
    <col min="10241" max="10241" width="6.140625" style="47" customWidth="1"/>
    <col min="10242" max="10242" width="4.7109375" style="47" bestFit="1" customWidth="1"/>
    <col min="10243" max="10243" width="9.140625" style="47"/>
    <col min="10244" max="10245" width="5.140625" style="47" bestFit="1" customWidth="1"/>
    <col min="10246" max="10246" width="2" style="47" bestFit="1" customWidth="1"/>
    <col min="10247" max="10247" width="29.28515625" style="47" customWidth="1"/>
    <col min="10248" max="10252" width="0" style="47" hidden="1" customWidth="1"/>
    <col min="10253" max="10253" width="8.7109375" style="47" bestFit="1" customWidth="1"/>
    <col min="10254" max="10254" width="9.42578125" style="47" customWidth="1"/>
    <col min="10255" max="10259" width="8.7109375" style="47" bestFit="1" customWidth="1"/>
    <col min="10260" max="10260" width="4.28515625" style="47" customWidth="1"/>
    <col min="10261" max="10496" width="9.140625" style="47"/>
    <col min="10497" max="10497" width="6.140625" style="47" customWidth="1"/>
    <col min="10498" max="10498" width="4.7109375" style="47" bestFit="1" customWidth="1"/>
    <col min="10499" max="10499" width="9.140625" style="47"/>
    <col min="10500" max="10501" width="5.140625" style="47" bestFit="1" customWidth="1"/>
    <col min="10502" max="10502" width="2" style="47" bestFit="1" customWidth="1"/>
    <col min="10503" max="10503" width="29.28515625" style="47" customWidth="1"/>
    <col min="10504" max="10508" width="0" style="47" hidden="1" customWidth="1"/>
    <col min="10509" max="10509" width="8.7109375" style="47" bestFit="1" customWidth="1"/>
    <col min="10510" max="10510" width="9.42578125" style="47" customWidth="1"/>
    <col min="10511" max="10515" width="8.7109375" style="47" bestFit="1" customWidth="1"/>
    <col min="10516" max="10516" width="4.28515625" style="47" customWidth="1"/>
    <col min="10517" max="10752" width="9.140625" style="47"/>
    <col min="10753" max="10753" width="6.140625" style="47" customWidth="1"/>
    <col min="10754" max="10754" width="4.7109375" style="47" bestFit="1" customWidth="1"/>
    <col min="10755" max="10755" width="9.140625" style="47"/>
    <col min="10756" max="10757" width="5.140625" style="47" bestFit="1" customWidth="1"/>
    <col min="10758" max="10758" width="2" style="47" bestFit="1" customWidth="1"/>
    <col min="10759" max="10759" width="29.28515625" style="47" customWidth="1"/>
    <col min="10760" max="10764" width="0" style="47" hidden="1" customWidth="1"/>
    <col min="10765" max="10765" width="8.7109375" style="47" bestFit="1" customWidth="1"/>
    <col min="10766" max="10766" width="9.42578125" style="47" customWidth="1"/>
    <col min="10767" max="10771" width="8.7109375" style="47" bestFit="1" customWidth="1"/>
    <col min="10772" max="10772" width="4.28515625" style="47" customWidth="1"/>
    <col min="10773" max="11008" width="9.140625" style="47"/>
    <col min="11009" max="11009" width="6.140625" style="47" customWidth="1"/>
    <col min="11010" max="11010" width="4.7109375" style="47" bestFit="1" customWidth="1"/>
    <col min="11011" max="11011" width="9.140625" style="47"/>
    <col min="11012" max="11013" width="5.140625" style="47" bestFit="1" customWidth="1"/>
    <col min="11014" max="11014" width="2" style="47" bestFit="1" customWidth="1"/>
    <col min="11015" max="11015" width="29.28515625" style="47" customWidth="1"/>
    <col min="11016" max="11020" width="0" style="47" hidden="1" customWidth="1"/>
    <col min="11021" max="11021" width="8.7109375" style="47" bestFit="1" customWidth="1"/>
    <col min="11022" max="11022" width="9.42578125" style="47" customWidth="1"/>
    <col min="11023" max="11027" width="8.7109375" style="47" bestFit="1" customWidth="1"/>
    <col min="11028" max="11028" width="4.28515625" style="47" customWidth="1"/>
    <col min="11029" max="11264" width="9.140625" style="47"/>
    <col min="11265" max="11265" width="6.140625" style="47" customWidth="1"/>
    <col min="11266" max="11266" width="4.7109375" style="47" bestFit="1" customWidth="1"/>
    <col min="11267" max="11267" width="9.140625" style="47"/>
    <col min="11268" max="11269" width="5.140625" style="47" bestFit="1" customWidth="1"/>
    <col min="11270" max="11270" width="2" style="47" bestFit="1" customWidth="1"/>
    <col min="11271" max="11271" width="29.28515625" style="47" customWidth="1"/>
    <col min="11272" max="11276" width="0" style="47" hidden="1" customWidth="1"/>
    <col min="11277" max="11277" width="8.7109375" style="47" bestFit="1" customWidth="1"/>
    <col min="11278" max="11278" width="9.42578125" style="47" customWidth="1"/>
    <col min="11279" max="11283" width="8.7109375" style="47" bestFit="1" customWidth="1"/>
    <col min="11284" max="11284" width="4.28515625" style="47" customWidth="1"/>
    <col min="11285" max="11520" width="9.140625" style="47"/>
    <col min="11521" max="11521" width="6.140625" style="47" customWidth="1"/>
    <col min="11522" max="11522" width="4.7109375" style="47" bestFit="1" customWidth="1"/>
    <col min="11523" max="11523" width="9.140625" style="47"/>
    <col min="11524" max="11525" width="5.140625" style="47" bestFit="1" customWidth="1"/>
    <col min="11526" max="11526" width="2" style="47" bestFit="1" customWidth="1"/>
    <col min="11527" max="11527" width="29.28515625" style="47" customWidth="1"/>
    <col min="11528" max="11532" width="0" style="47" hidden="1" customWidth="1"/>
    <col min="11533" max="11533" width="8.7109375" style="47" bestFit="1" customWidth="1"/>
    <col min="11534" max="11534" width="9.42578125" style="47" customWidth="1"/>
    <col min="11535" max="11539" width="8.7109375" style="47" bestFit="1" customWidth="1"/>
    <col min="11540" max="11540" width="4.28515625" style="47" customWidth="1"/>
    <col min="11541" max="11776" width="9.140625" style="47"/>
    <col min="11777" max="11777" width="6.140625" style="47" customWidth="1"/>
    <col min="11778" max="11778" width="4.7109375" style="47" bestFit="1" customWidth="1"/>
    <col min="11779" max="11779" width="9.140625" style="47"/>
    <col min="11780" max="11781" width="5.140625" style="47" bestFit="1" customWidth="1"/>
    <col min="11782" max="11782" width="2" style="47" bestFit="1" customWidth="1"/>
    <col min="11783" max="11783" width="29.28515625" style="47" customWidth="1"/>
    <col min="11784" max="11788" width="0" style="47" hidden="1" customWidth="1"/>
    <col min="11789" max="11789" width="8.7109375" style="47" bestFit="1" customWidth="1"/>
    <col min="11790" max="11790" width="9.42578125" style="47" customWidth="1"/>
    <col min="11791" max="11795" width="8.7109375" style="47" bestFit="1" customWidth="1"/>
    <col min="11796" max="11796" width="4.28515625" style="47" customWidth="1"/>
    <col min="11797" max="12032" width="9.140625" style="47"/>
    <col min="12033" max="12033" width="6.140625" style="47" customWidth="1"/>
    <col min="12034" max="12034" width="4.7109375" style="47" bestFit="1" customWidth="1"/>
    <col min="12035" max="12035" width="9.140625" style="47"/>
    <col min="12036" max="12037" width="5.140625" style="47" bestFit="1" customWidth="1"/>
    <col min="12038" max="12038" width="2" style="47" bestFit="1" customWidth="1"/>
    <col min="12039" max="12039" width="29.28515625" style="47" customWidth="1"/>
    <col min="12040" max="12044" width="0" style="47" hidden="1" customWidth="1"/>
    <col min="12045" max="12045" width="8.7109375" style="47" bestFit="1" customWidth="1"/>
    <col min="12046" max="12046" width="9.42578125" style="47" customWidth="1"/>
    <col min="12047" max="12051" width="8.7109375" style="47" bestFit="1" customWidth="1"/>
    <col min="12052" max="12052" width="4.28515625" style="47" customWidth="1"/>
    <col min="12053" max="12288" width="9.140625" style="47"/>
    <col min="12289" max="12289" width="6.140625" style="47" customWidth="1"/>
    <col min="12290" max="12290" width="4.7109375" style="47" bestFit="1" customWidth="1"/>
    <col min="12291" max="12291" width="9.140625" style="47"/>
    <col min="12292" max="12293" width="5.140625" style="47" bestFit="1" customWidth="1"/>
    <col min="12294" max="12294" width="2" style="47" bestFit="1" customWidth="1"/>
    <col min="12295" max="12295" width="29.28515625" style="47" customWidth="1"/>
    <col min="12296" max="12300" width="0" style="47" hidden="1" customWidth="1"/>
    <col min="12301" max="12301" width="8.7109375" style="47" bestFit="1" customWidth="1"/>
    <col min="12302" max="12302" width="9.42578125" style="47" customWidth="1"/>
    <col min="12303" max="12307" width="8.7109375" style="47" bestFit="1" customWidth="1"/>
    <col min="12308" max="12308" width="4.28515625" style="47" customWidth="1"/>
    <col min="12309" max="12544" width="9.140625" style="47"/>
    <col min="12545" max="12545" width="6.140625" style="47" customWidth="1"/>
    <col min="12546" max="12546" width="4.7109375" style="47" bestFit="1" customWidth="1"/>
    <col min="12547" max="12547" width="9.140625" style="47"/>
    <col min="12548" max="12549" width="5.140625" style="47" bestFit="1" customWidth="1"/>
    <col min="12550" max="12550" width="2" style="47" bestFit="1" customWidth="1"/>
    <col min="12551" max="12551" width="29.28515625" style="47" customWidth="1"/>
    <col min="12552" max="12556" width="0" style="47" hidden="1" customWidth="1"/>
    <col min="12557" max="12557" width="8.7109375" style="47" bestFit="1" customWidth="1"/>
    <col min="12558" max="12558" width="9.42578125" style="47" customWidth="1"/>
    <col min="12559" max="12563" width="8.7109375" style="47" bestFit="1" customWidth="1"/>
    <col min="12564" max="12564" width="4.28515625" style="47" customWidth="1"/>
    <col min="12565" max="12800" width="9.140625" style="47"/>
    <col min="12801" max="12801" width="6.140625" style="47" customWidth="1"/>
    <col min="12802" max="12802" width="4.7109375" style="47" bestFit="1" customWidth="1"/>
    <col min="12803" max="12803" width="9.140625" style="47"/>
    <col min="12804" max="12805" width="5.140625" style="47" bestFit="1" customWidth="1"/>
    <col min="12806" max="12806" width="2" style="47" bestFit="1" customWidth="1"/>
    <col min="12807" max="12807" width="29.28515625" style="47" customWidth="1"/>
    <col min="12808" max="12812" width="0" style="47" hidden="1" customWidth="1"/>
    <col min="12813" max="12813" width="8.7109375" style="47" bestFit="1" customWidth="1"/>
    <col min="12814" max="12814" width="9.42578125" style="47" customWidth="1"/>
    <col min="12815" max="12819" width="8.7109375" style="47" bestFit="1" customWidth="1"/>
    <col min="12820" max="12820" width="4.28515625" style="47" customWidth="1"/>
    <col min="12821" max="13056" width="9.140625" style="47"/>
    <col min="13057" max="13057" width="6.140625" style="47" customWidth="1"/>
    <col min="13058" max="13058" width="4.7109375" style="47" bestFit="1" customWidth="1"/>
    <col min="13059" max="13059" width="9.140625" style="47"/>
    <col min="13060" max="13061" width="5.140625" style="47" bestFit="1" customWidth="1"/>
    <col min="13062" max="13062" width="2" style="47" bestFit="1" customWidth="1"/>
    <col min="13063" max="13063" width="29.28515625" style="47" customWidth="1"/>
    <col min="13064" max="13068" width="0" style="47" hidden="1" customWidth="1"/>
    <col min="13069" max="13069" width="8.7109375" style="47" bestFit="1" customWidth="1"/>
    <col min="13070" max="13070" width="9.42578125" style="47" customWidth="1"/>
    <col min="13071" max="13075" width="8.7109375" style="47" bestFit="1" customWidth="1"/>
    <col min="13076" max="13076" width="4.28515625" style="47" customWidth="1"/>
    <col min="13077" max="13312" width="9.140625" style="47"/>
    <col min="13313" max="13313" width="6.140625" style="47" customWidth="1"/>
    <col min="13314" max="13314" width="4.7109375" style="47" bestFit="1" customWidth="1"/>
    <col min="13315" max="13315" width="9.140625" style="47"/>
    <col min="13316" max="13317" width="5.140625" style="47" bestFit="1" customWidth="1"/>
    <col min="13318" max="13318" width="2" style="47" bestFit="1" customWidth="1"/>
    <col min="13319" max="13319" width="29.28515625" style="47" customWidth="1"/>
    <col min="13320" max="13324" width="0" style="47" hidden="1" customWidth="1"/>
    <col min="13325" max="13325" width="8.7109375" style="47" bestFit="1" customWidth="1"/>
    <col min="13326" max="13326" width="9.42578125" style="47" customWidth="1"/>
    <col min="13327" max="13331" width="8.7109375" style="47" bestFit="1" customWidth="1"/>
    <col min="13332" max="13332" width="4.28515625" style="47" customWidth="1"/>
    <col min="13333" max="13568" width="9.140625" style="47"/>
    <col min="13569" max="13569" width="6.140625" style="47" customWidth="1"/>
    <col min="13570" max="13570" width="4.7109375" style="47" bestFit="1" customWidth="1"/>
    <col min="13571" max="13571" width="9.140625" style="47"/>
    <col min="13572" max="13573" width="5.140625" style="47" bestFit="1" customWidth="1"/>
    <col min="13574" max="13574" width="2" style="47" bestFit="1" customWidth="1"/>
    <col min="13575" max="13575" width="29.28515625" style="47" customWidth="1"/>
    <col min="13576" max="13580" width="0" style="47" hidden="1" customWidth="1"/>
    <col min="13581" max="13581" width="8.7109375" style="47" bestFit="1" customWidth="1"/>
    <col min="13582" max="13582" width="9.42578125" style="47" customWidth="1"/>
    <col min="13583" max="13587" width="8.7109375" style="47" bestFit="1" customWidth="1"/>
    <col min="13588" max="13588" width="4.28515625" style="47" customWidth="1"/>
    <col min="13589" max="13824" width="9.140625" style="47"/>
    <col min="13825" max="13825" width="6.140625" style="47" customWidth="1"/>
    <col min="13826" max="13826" width="4.7109375" style="47" bestFit="1" customWidth="1"/>
    <col min="13827" max="13827" width="9.140625" style="47"/>
    <col min="13828" max="13829" width="5.140625" style="47" bestFit="1" customWidth="1"/>
    <col min="13830" max="13830" width="2" style="47" bestFit="1" customWidth="1"/>
    <col min="13831" max="13831" width="29.28515625" style="47" customWidth="1"/>
    <col min="13832" max="13836" width="0" style="47" hidden="1" customWidth="1"/>
    <col min="13837" max="13837" width="8.7109375" style="47" bestFit="1" customWidth="1"/>
    <col min="13838" max="13838" width="9.42578125" style="47" customWidth="1"/>
    <col min="13839" max="13843" width="8.7109375" style="47" bestFit="1" customWidth="1"/>
    <col min="13844" max="13844" width="4.28515625" style="47" customWidth="1"/>
    <col min="13845" max="14080" width="9.140625" style="47"/>
    <col min="14081" max="14081" width="6.140625" style="47" customWidth="1"/>
    <col min="14082" max="14082" width="4.7109375" style="47" bestFit="1" customWidth="1"/>
    <col min="14083" max="14083" width="9.140625" style="47"/>
    <col min="14084" max="14085" width="5.140625" style="47" bestFit="1" customWidth="1"/>
    <col min="14086" max="14086" width="2" style="47" bestFit="1" customWidth="1"/>
    <col min="14087" max="14087" width="29.28515625" style="47" customWidth="1"/>
    <col min="14088" max="14092" width="0" style="47" hidden="1" customWidth="1"/>
    <col min="14093" max="14093" width="8.7109375" style="47" bestFit="1" customWidth="1"/>
    <col min="14094" max="14094" width="9.42578125" style="47" customWidth="1"/>
    <col min="14095" max="14099" width="8.7109375" style="47" bestFit="1" customWidth="1"/>
    <col min="14100" max="14100" width="4.28515625" style="47" customWidth="1"/>
    <col min="14101" max="14336" width="9.140625" style="47"/>
    <col min="14337" max="14337" width="6.140625" style="47" customWidth="1"/>
    <col min="14338" max="14338" width="4.7109375" style="47" bestFit="1" customWidth="1"/>
    <col min="14339" max="14339" width="9.140625" style="47"/>
    <col min="14340" max="14341" width="5.140625" style="47" bestFit="1" customWidth="1"/>
    <col min="14342" max="14342" width="2" style="47" bestFit="1" customWidth="1"/>
    <col min="14343" max="14343" width="29.28515625" style="47" customWidth="1"/>
    <col min="14344" max="14348" width="0" style="47" hidden="1" customWidth="1"/>
    <col min="14349" max="14349" width="8.7109375" style="47" bestFit="1" customWidth="1"/>
    <col min="14350" max="14350" width="9.42578125" style="47" customWidth="1"/>
    <col min="14351" max="14355" width="8.7109375" style="47" bestFit="1" customWidth="1"/>
    <col min="14356" max="14356" width="4.28515625" style="47" customWidth="1"/>
    <col min="14357" max="14592" width="9.140625" style="47"/>
    <col min="14593" max="14593" width="6.140625" style="47" customWidth="1"/>
    <col min="14594" max="14594" width="4.7109375" style="47" bestFit="1" customWidth="1"/>
    <col min="14595" max="14595" width="9.140625" style="47"/>
    <col min="14596" max="14597" width="5.140625" style="47" bestFit="1" customWidth="1"/>
    <col min="14598" max="14598" width="2" style="47" bestFit="1" customWidth="1"/>
    <col min="14599" max="14599" width="29.28515625" style="47" customWidth="1"/>
    <col min="14600" max="14604" width="0" style="47" hidden="1" customWidth="1"/>
    <col min="14605" max="14605" width="8.7109375" style="47" bestFit="1" customWidth="1"/>
    <col min="14606" max="14606" width="9.42578125" style="47" customWidth="1"/>
    <col min="14607" max="14611" width="8.7109375" style="47" bestFit="1" customWidth="1"/>
    <col min="14612" max="14612" width="4.28515625" style="47" customWidth="1"/>
    <col min="14613" max="14848" width="9.140625" style="47"/>
    <col min="14849" max="14849" width="6.140625" style="47" customWidth="1"/>
    <col min="14850" max="14850" width="4.7109375" style="47" bestFit="1" customWidth="1"/>
    <col min="14851" max="14851" width="9.140625" style="47"/>
    <col min="14852" max="14853" width="5.140625" style="47" bestFit="1" customWidth="1"/>
    <col min="14854" max="14854" width="2" style="47" bestFit="1" customWidth="1"/>
    <col min="14855" max="14855" width="29.28515625" style="47" customWidth="1"/>
    <col min="14856" max="14860" width="0" style="47" hidden="1" customWidth="1"/>
    <col min="14861" max="14861" width="8.7109375" style="47" bestFit="1" customWidth="1"/>
    <col min="14862" max="14862" width="9.42578125" style="47" customWidth="1"/>
    <col min="14863" max="14867" width="8.7109375" style="47" bestFit="1" customWidth="1"/>
    <col min="14868" max="14868" width="4.28515625" style="47" customWidth="1"/>
    <col min="14869" max="15104" width="9.140625" style="47"/>
    <col min="15105" max="15105" width="6.140625" style="47" customWidth="1"/>
    <col min="15106" max="15106" width="4.7109375" style="47" bestFit="1" customWidth="1"/>
    <col min="15107" max="15107" width="9.140625" style="47"/>
    <col min="15108" max="15109" width="5.140625" style="47" bestFit="1" customWidth="1"/>
    <col min="15110" max="15110" width="2" style="47" bestFit="1" customWidth="1"/>
    <col min="15111" max="15111" width="29.28515625" style="47" customWidth="1"/>
    <col min="15112" max="15116" width="0" style="47" hidden="1" customWidth="1"/>
    <col min="15117" max="15117" width="8.7109375" style="47" bestFit="1" customWidth="1"/>
    <col min="15118" max="15118" width="9.42578125" style="47" customWidth="1"/>
    <col min="15119" max="15123" width="8.7109375" style="47" bestFit="1" customWidth="1"/>
    <col min="15124" max="15124" width="4.28515625" style="47" customWidth="1"/>
    <col min="15125" max="15360" width="9.140625" style="47"/>
    <col min="15361" max="15361" width="6.140625" style="47" customWidth="1"/>
    <col min="15362" max="15362" width="4.7109375" style="47" bestFit="1" customWidth="1"/>
    <col min="15363" max="15363" width="9.140625" style="47"/>
    <col min="15364" max="15365" width="5.140625" style="47" bestFit="1" customWidth="1"/>
    <col min="15366" max="15366" width="2" style="47" bestFit="1" customWidth="1"/>
    <col min="15367" max="15367" width="29.28515625" style="47" customWidth="1"/>
    <col min="15368" max="15372" width="0" style="47" hidden="1" customWidth="1"/>
    <col min="15373" max="15373" width="8.7109375" style="47" bestFit="1" customWidth="1"/>
    <col min="15374" max="15374" width="9.42578125" style="47" customWidth="1"/>
    <col min="15375" max="15379" width="8.7109375" style="47" bestFit="1" customWidth="1"/>
    <col min="15380" max="15380" width="4.28515625" style="47" customWidth="1"/>
    <col min="15381" max="15616" width="9.140625" style="47"/>
    <col min="15617" max="15617" width="6.140625" style="47" customWidth="1"/>
    <col min="15618" max="15618" width="4.7109375" style="47" bestFit="1" customWidth="1"/>
    <col min="15619" max="15619" width="9.140625" style="47"/>
    <col min="15620" max="15621" width="5.140625" style="47" bestFit="1" customWidth="1"/>
    <col min="15622" max="15622" width="2" style="47" bestFit="1" customWidth="1"/>
    <col min="15623" max="15623" width="29.28515625" style="47" customWidth="1"/>
    <col min="15624" max="15628" width="0" style="47" hidden="1" customWidth="1"/>
    <col min="15629" max="15629" width="8.7109375" style="47" bestFit="1" customWidth="1"/>
    <col min="15630" max="15630" width="9.42578125" style="47" customWidth="1"/>
    <col min="15631" max="15635" width="8.7109375" style="47" bestFit="1" customWidth="1"/>
    <col min="15636" max="15636" width="4.28515625" style="47" customWidth="1"/>
    <col min="15637" max="15872" width="9.140625" style="47"/>
    <col min="15873" max="15873" width="6.140625" style="47" customWidth="1"/>
    <col min="15874" max="15874" width="4.7109375" style="47" bestFit="1" customWidth="1"/>
    <col min="15875" max="15875" width="9.140625" style="47"/>
    <col min="15876" max="15877" width="5.140625" style="47" bestFit="1" customWidth="1"/>
    <col min="15878" max="15878" width="2" style="47" bestFit="1" customWidth="1"/>
    <col min="15879" max="15879" width="29.28515625" style="47" customWidth="1"/>
    <col min="15880" max="15884" width="0" style="47" hidden="1" customWidth="1"/>
    <col min="15885" max="15885" width="8.7109375" style="47" bestFit="1" customWidth="1"/>
    <col min="15886" max="15886" width="9.42578125" style="47" customWidth="1"/>
    <col min="15887" max="15891" width="8.7109375" style="47" bestFit="1" customWidth="1"/>
    <col min="15892" max="15892" width="4.28515625" style="47" customWidth="1"/>
    <col min="15893" max="16128" width="9.140625" style="47"/>
    <col min="16129" max="16129" width="6.140625" style="47" customWidth="1"/>
    <col min="16130" max="16130" width="4.7109375" style="47" bestFit="1" customWidth="1"/>
    <col min="16131" max="16131" width="9.140625" style="47"/>
    <col min="16132" max="16133" width="5.140625" style="47" bestFit="1" customWidth="1"/>
    <col min="16134" max="16134" width="2" style="47" bestFit="1" customWidth="1"/>
    <col min="16135" max="16135" width="29.28515625" style="47" customWidth="1"/>
    <col min="16136" max="16140" width="0" style="47" hidden="1" customWidth="1"/>
    <col min="16141" max="16141" width="8.7109375" style="47" bestFit="1" customWidth="1"/>
    <col min="16142" max="16142" width="9.42578125" style="47" customWidth="1"/>
    <col min="16143" max="16147" width="8.7109375" style="47" bestFit="1" customWidth="1"/>
    <col min="16148" max="16148" width="4.28515625" style="47" customWidth="1"/>
    <col min="16149" max="16384" width="9.140625" style="47"/>
  </cols>
  <sheetData>
    <row r="1" spans="1:19" x14ac:dyDescent="0.2">
      <c r="A1" s="1"/>
      <c r="B1" s="2"/>
      <c r="C1" s="3"/>
      <c r="D1" s="3"/>
      <c r="E1" s="1"/>
      <c r="F1" s="1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</row>
    <row r="2" spans="1:19" x14ac:dyDescent="0.2">
      <c r="A2" s="3" t="s">
        <v>0</v>
      </c>
      <c r="B2" s="5" t="s">
        <v>1</v>
      </c>
      <c r="C2" s="3" t="s">
        <v>2</v>
      </c>
      <c r="D2" s="3"/>
      <c r="E2" s="1" t="s">
        <v>3</v>
      </c>
      <c r="F2" s="1"/>
      <c r="G2" s="185" t="s">
        <v>588</v>
      </c>
      <c r="H2" s="50"/>
      <c r="I2" s="51"/>
      <c r="J2" s="51"/>
      <c r="K2" s="50"/>
      <c r="L2" s="52"/>
      <c r="M2" s="71" t="s">
        <v>366</v>
      </c>
      <c r="N2" s="122" t="s">
        <v>589</v>
      </c>
      <c r="O2" s="72"/>
      <c r="P2" s="72"/>
      <c r="Q2" s="72"/>
      <c r="R2" s="73"/>
    </row>
    <row r="3" spans="1:19" x14ac:dyDescent="0.2">
      <c r="A3" s="1"/>
      <c r="B3" s="6"/>
      <c r="C3" s="3"/>
      <c r="D3" s="3"/>
      <c r="E3" s="1"/>
      <c r="F3" s="1"/>
      <c r="G3" s="53" t="s">
        <v>4</v>
      </c>
      <c r="H3" s="186">
        <v>40908</v>
      </c>
      <c r="I3" s="186">
        <v>41274</v>
      </c>
      <c r="J3" s="186">
        <v>41639</v>
      </c>
      <c r="K3" s="186">
        <v>42004</v>
      </c>
      <c r="L3" s="54">
        <v>42369</v>
      </c>
      <c r="M3" s="54">
        <v>42735</v>
      </c>
      <c r="N3" s="54">
        <v>43100</v>
      </c>
      <c r="O3" s="54">
        <v>43465</v>
      </c>
      <c r="P3" s="54">
        <v>43830</v>
      </c>
      <c r="Q3" s="54">
        <v>44196</v>
      </c>
      <c r="R3" s="54">
        <v>44561</v>
      </c>
      <c r="S3" s="54">
        <v>44926</v>
      </c>
    </row>
    <row r="4" spans="1:19" x14ac:dyDescent="0.2">
      <c r="A4" s="7"/>
      <c r="B4" s="2" t="s">
        <v>5</v>
      </c>
      <c r="C4" s="3">
        <v>1</v>
      </c>
      <c r="D4" s="3"/>
      <c r="E4" s="5"/>
      <c r="F4" s="7"/>
      <c r="G4" s="55" t="s">
        <v>6</v>
      </c>
      <c r="H4" s="56">
        <f t="shared" ref="H4:S4" si="0">H5+H10</f>
        <v>398.11599999999999</v>
      </c>
      <c r="I4" s="56">
        <f t="shared" si="0"/>
        <v>410.91500000000002</v>
      </c>
      <c r="J4" s="56">
        <f t="shared" si="0"/>
        <v>385.97699999999998</v>
      </c>
      <c r="K4" s="56">
        <f t="shared" si="0"/>
        <v>357.05400000000003</v>
      </c>
      <c r="L4" s="56">
        <f t="shared" si="0"/>
        <v>338.26099999999997</v>
      </c>
      <c r="M4" s="56">
        <f t="shared" si="0"/>
        <v>380.61599999999999</v>
      </c>
      <c r="N4" s="56">
        <f t="shared" si="0"/>
        <v>429.101</v>
      </c>
      <c r="O4" s="56">
        <f t="shared" si="0"/>
        <v>382.94799999999998</v>
      </c>
      <c r="P4" s="56">
        <f t="shared" si="0"/>
        <v>386.14800000000002</v>
      </c>
      <c r="Q4" s="56">
        <f t="shared" si="0"/>
        <v>396.24799999999999</v>
      </c>
      <c r="R4" s="56">
        <f t="shared" si="0"/>
        <v>401.14800000000002</v>
      </c>
      <c r="S4" s="56">
        <f t="shared" si="0"/>
        <v>405.34800000000001</v>
      </c>
    </row>
    <row r="5" spans="1:19" x14ac:dyDescent="0.2">
      <c r="A5" s="8"/>
      <c r="B5" s="2" t="s">
        <v>7</v>
      </c>
      <c r="C5" s="3">
        <v>10</v>
      </c>
      <c r="D5" s="3"/>
      <c r="E5" s="9"/>
      <c r="G5" s="57" t="s">
        <v>8</v>
      </c>
      <c r="H5" s="56">
        <f t="shared" ref="H5:R5" si="1">SUM(H6:H9)</f>
        <v>3.9850000000000003</v>
      </c>
      <c r="I5" s="56">
        <f t="shared" si="1"/>
        <v>2.3719999999999999</v>
      </c>
      <c r="J5" s="56">
        <f t="shared" si="1"/>
        <v>2.9260000000000002</v>
      </c>
      <c r="K5" s="56">
        <f t="shared" si="1"/>
        <v>9.1820000000000004</v>
      </c>
      <c r="L5" s="56">
        <f t="shared" si="1"/>
        <v>14.745999999999999</v>
      </c>
      <c r="M5" s="56">
        <f t="shared" si="1"/>
        <v>71.457999999999998</v>
      </c>
      <c r="N5" s="56">
        <f t="shared" si="1"/>
        <v>70.552999999999997</v>
      </c>
      <c r="O5" s="56">
        <f t="shared" si="1"/>
        <v>8</v>
      </c>
      <c r="P5" s="56">
        <f t="shared" si="1"/>
        <v>26.8</v>
      </c>
      <c r="Q5" s="56">
        <f t="shared" si="1"/>
        <v>28.5</v>
      </c>
      <c r="R5" s="56">
        <f t="shared" si="1"/>
        <v>31.8</v>
      </c>
      <c r="S5" s="56">
        <f>SUM(S6:S9)</f>
        <v>60.8</v>
      </c>
    </row>
    <row r="6" spans="1:19" ht="12" x14ac:dyDescent="0.2">
      <c r="A6" s="8"/>
      <c r="B6" s="2" t="s">
        <v>9</v>
      </c>
      <c r="C6" s="10" t="s">
        <v>10</v>
      </c>
      <c r="D6" s="10"/>
      <c r="E6" s="11" t="s">
        <v>11</v>
      </c>
      <c r="G6" s="57" t="s">
        <v>12</v>
      </c>
      <c r="H6" s="58">
        <v>2.1110000000000002</v>
      </c>
      <c r="I6" s="58">
        <v>0.92500000000000004</v>
      </c>
      <c r="J6" s="58">
        <v>1.736</v>
      </c>
      <c r="K6" s="58">
        <v>7.4829999999999997</v>
      </c>
      <c r="L6" s="58">
        <v>12.79</v>
      </c>
      <c r="M6" s="58">
        <v>68.516000000000005</v>
      </c>
      <c r="N6" s="76">
        <v>62.265999999999998</v>
      </c>
      <c r="O6" s="76">
        <v>3</v>
      </c>
      <c r="P6" s="76">
        <v>17</v>
      </c>
      <c r="Q6" s="76">
        <v>16</v>
      </c>
      <c r="R6" s="76">
        <v>22</v>
      </c>
      <c r="S6" s="58">
        <v>48</v>
      </c>
    </row>
    <row r="7" spans="1:19" ht="12" x14ac:dyDescent="0.2">
      <c r="A7" s="8"/>
      <c r="B7" s="2" t="s">
        <v>13</v>
      </c>
      <c r="C7" s="10" t="s">
        <v>14</v>
      </c>
      <c r="D7" s="10"/>
      <c r="E7" s="11" t="s">
        <v>11</v>
      </c>
      <c r="G7" s="57" t="s">
        <v>15</v>
      </c>
      <c r="H7" s="58">
        <v>1.8740000000000001</v>
      </c>
      <c r="I7" s="58">
        <v>1.4470000000000001</v>
      </c>
      <c r="J7" s="58">
        <v>1.19</v>
      </c>
      <c r="K7" s="58">
        <v>1.6990000000000001</v>
      </c>
      <c r="L7" s="58">
        <v>1.956</v>
      </c>
      <c r="M7" s="58">
        <v>2.9420000000000002</v>
      </c>
      <c r="N7" s="76">
        <v>8.2870000000000008</v>
      </c>
      <c r="O7" s="76">
        <v>5</v>
      </c>
      <c r="P7" s="76">
        <v>9.8000000000000007</v>
      </c>
      <c r="Q7" s="76">
        <v>12.5</v>
      </c>
      <c r="R7" s="76">
        <v>9.8000000000000007</v>
      </c>
      <c r="S7" s="58">
        <v>12.8</v>
      </c>
    </row>
    <row r="8" spans="1:19" ht="12" x14ac:dyDescent="0.2">
      <c r="A8" s="8"/>
      <c r="B8" s="2" t="s">
        <v>16</v>
      </c>
      <c r="C8" s="10" t="s">
        <v>17</v>
      </c>
      <c r="D8" s="10"/>
      <c r="E8" s="11" t="s">
        <v>11</v>
      </c>
      <c r="G8" s="57" t="s">
        <v>18</v>
      </c>
      <c r="H8" s="58">
        <v>0</v>
      </c>
      <c r="I8" s="58">
        <v>0</v>
      </c>
      <c r="J8" s="58">
        <v>0</v>
      </c>
      <c r="K8" s="58">
        <v>0</v>
      </c>
      <c r="L8" s="58">
        <v>0</v>
      </c>
      <c r="M8" s="58">
        <v>0</v>
      </c>
      <c r="N8" s="76">
        <v>0</v>
      </c>
      <c r="O8" s="76">
        <v>0</v>
      </c>
      <c r="P8" s="76">
        <v>0</v>
      </c>
      <c r="Q8" s="76">
        <v>0</v>
      </c>
      <c r="R8" s="76">
        <v>0</v>
      </c>
      <c r="S8" s="58">
        <v>0</v>
      </c>
    </row>
    <row r="9" spans="1:19" x14ac:dyDescent="0.2">
      <c r="A9" s="8"/>
      <c r="B9" s="2" t="s">
        <v>19</v>
      </c>
      <c r="C9" s="10">
        <v>108</v>
      </c>
      <c r="D9" s="10"/>
      <c r="E9" s="12"/>
      <c r="G9" s="57" t="s">
        <v>20</v>
      </c>
      <c r="H9" s="58">
        <v>0</v>
      </c>
      <c r="I9" s="58">
        <v>0</v>
      </c>
      <c r="J9" s="58">
        <v>0</v>
      </c>
      <c r="K9" s="58">
        <v>0</v>
      </c>
      <c r="L9" s="58">
        <v>0</v>
      </c>
      <c r="M9" s="58">
        <v>0</v>
      </c>
      <c r="N9" s="76">
        <v>0</v>
      </c>
      <c r="O9" s="76">
        <v>0</v>
      </c>
      <c r="P9" s="76">
        <v>0</v>
      </c>
      <c r="Q9" s="76">
        <v>0</v>
      </c>
      <c r="R9" s="76">
        <v>0</v>
      </c>
      <c r="S9" s="58">
        <v>0</v>
      </c>
    </row>
    <row r="10" spans="1:19" x14ac:dyDescent="0.2">
      <c r="A10" s="13"/>
      <c r="B10" s="2" t="s">
        <v>21</v>
      </c>
      <c r="C10" s="14">
        <v>15</v>
      </c>
      <c r="D10" s="14"/>
      <c r="E10" s="12"/>
      <c r="F10" s="13"/>
      <c r="G10" s="57" t="s">
        <v>22</v>
      </c>
      <c r="H10" s="56">
        <f t="shared" ref="H10:S10" si="2">SUM(H11:H16)</f>
        <v>394.13099999999997</v>
      </c>
      <c r="I10" s="56">
        <f t="shared" si="2"/>
        <v>408.54300000000001</v>
      </c>
      <c r="J10" s="56">
        <f t="shared" si="2"/>
        <v>383.05099999999999</v>
      </c>
      <c r="K10" s="56">
        <f t="shared" si="2"/>
        <v>347.87200000000001</v>
      </c>
      <c r="L10" s="56">
        <f t="shared" si="2"/>
        <v>323.51499999999999</v>
      </c>
      <c r="M10" s="56">
        <f t="shared" si="2"/>
        <v>309.15800000000002</v>
      </c>
      <c r="N10" s="77">
        <f t="shared" si="2"/>
        <v>358.548</v>
      </c>
      <c r="O10" s="77">
        <f t="shared" si="2"/>
        <v>374.94799999999998</v>
      </c>
      <c r="P10" s="77">
        <f t="shared" si="2"/>
        <v>359.34800000000001</v>
      </c>
      <c r="Q10" s="77">
        <f t="shared" si="2"/>
        <v>367.74799999999999</v>
      </c>
      <c r="R10" s="77">
        <f t="shared" si="2"/>
        <v>369.34800000000001</v>
      </c>
      <c r="S10" s="56">
        <f t="shared" si="2"/>
        <v>344.548</v>
      </c>
    </row>
    <row r="11" spans="1:19" ht="12" x14ac:dyDescent="0.2">
      <c r="A11" s="13"/>
      <c r="B11" s="2" t="s">
        <v>23</v>
      </c>
      <c r="C11" s="14">
        <v>150</v>
      </c>
      <c r="D11" s="14"/>
      <c r="E11" s="11" t="s">
        <v>11</v>
      </c>
      <c r="F11" s="13"/>
      <c r="G11" s="57" t="s">
        <v>24</v>
      </c>
      <c r="H11" s="58">
        <v>0</v>
      </c>
      <c r="I11" s="58">
        <v>0</v>
      </c>
      <c r="J11" s="58">
        <v>0</v>
      </c>
      <c r="K11" s="58">
        <v>0</v>
      </c>
      <c r="L11" s="58">
        <v>0</v>
      </c>
      <c r="M11" s="58">
        <v>0</v>
      </c>
      <c r="N11" s="76">
        <v>0</v>
      </c>
      <c r="O11" s="76">
        <v>0</v>
      </c>
      <c r="P11" s="76">
        <v>0</v>
      </c>
      <c r="Q11" s="76">
        <v>0</v>
      </c>
      <c r="R11" s="76">
        <v>0</v>
      </c>
      <c r="S11" s="58">
        <v>0</v>
      </c>
    </row>
    <row r="12" spans="1:19" ht="12" x14ac:dyDescent="0.2">
      <c r="A12" s="13"/>
      <c r="B12" s="2" t="s">
        <v>25</v>
      </c>
      <c r="C12" s="14">
        <v>151</v>
      </c>
      <c r="D12" s="14"/>
      <c r="E12" s="11" t="s">
        <v>11</v>
      </c>
      <c r="F12" s="13"/>
      <c r="G12" s="57" t="s">
        <v>26</v>
      </c>
      <c r="H12" s="58">
        <v>0</v>
      </c>
      <c r="I12" s="58">
        <v>0</v>
      </c>
      <c r="J12" s="58">
        <v>0</v>
      </c>
      <c r="K12" s="58">
        <v>0</v>
      </c>
      <c r="L12" s="58">
        <v>0</v>
      </c>
      <c r="M12" s="58">
        <v>0</v>
      </c>
      <c r="N12" s="76">
        <v>0</v>
      </c>
      <c r="O12" s="76">
        <v>0</v>
      </c>
      <c r="P12" s="76">
        <v>0</v>
      </c>
      <c r="Q12" s="76">
        <v>0</v>
      </c>
      <c r="R12" s="76">
        <v>0</v>
      </c>
      <c r="S12" s="58">
        <v>0</v>
      </c>
    </row>
    <row r="13" spans="1:19" ht="12" x14ac:dyDescent="0.2">
      <c r="A13" s="8"/>
      <c r="B13" s="2" t="s">
        <v>27</v>
      </c>
      <c r="C13" s="10" t="s">
        <v>28</v>
      </c>
      <c r="D13" s="10"/>
      <c r="E13" s="11" t="s">
        <v>11</v>
      </c>
      <c r="G13" s="57" t="s">
        <v>29</v>
      </c>
      <c r="H13" s="58">
        <v>0</v>
      </c>
      <c r="I13" s="58">
        <v>0</v>
      </c>
      <c r="J13" s="58">
        <v>0</v>
      </c>
      <c r="K13" s="58">
        <v>0</v>
      </c>
      <c r="L13" s="58">
        <v>0</v>
      </c>
      <c r="M13" s="58">
        <v>0</v>
      </c>
      <c r="N13" s="76">
        <v>0</v>
      </c>
      <c r="O13" s="76">
        <v>0</v>
      </c>
      <c r="P13" s="76">
        <v>0</v>
      </c>
      <c r="Q13" s="76">
        <v>0</v>
      </c>
      <c r="R13" s="76">
        <v>0</v>
      </c>
      <c r="S13" s="58">
        <v>0</v>
      </c>
    </row>
    <row r="14" spans="1:19" ht="12" x14ac:dyDescent="0.2">
      <c r="A14" s="8"/>
      <c r="B14" s="2" t="s">
        <v>30</v>
      </c>
      <c r="C14" s="10">
        <v>154</v>
      </c>
      <c r="D14" s="10"/>
      <c r="E14" s="11" t="s">
        <v>11</v>
      </c>
      <c r="G14" s="57" t="s">
        <v>31</v>
      </c>
      <c r="H14" s="58">
        <v>0</v>
      </c>
      <c r="I14" s="58">
        <v>0</v>
      </c>
      <c r="J14" s="58">
        <v>0</v>
      </c>
      <c r="K14" s="58">
        <v>0</v>
      </c>
      <c r="L14" s="58">
        <v>0</v>
      </c>
      <c r="M14" s="58">
        <v>0</v>
      </c>
      <c r="N14" s="76">
        <v>0</v>
      </c>
      <c r="O14" s="76">
        <v>0</v>
      </c>
      <c r="P14" s="76">
        <v>0</v>
      </c>
      <c r="Q14" s="76">
        <v>0</v>
      </c>
      <c r="R14" s="76">
        <v>0</v>
      </c>
      <c r="S14" s="58">
        <v>0</v>
      </c>
    </row>
    <row r="15" spans="1:19" ht="12" x14ac:dyDescent="0.2">
      <c r="A15" s="8"/>
      <c r="B15" s="2" t="s">
        <v>32</v>
      </c>
      <c r="C15" s="10" t="s">
        <v>33</v>
      </c>
      <c r="D15" s="10"/>
      <c r="E15" s="11" t="s">
        <v>11</v>
      </c>
      <c r="G15" s="57" t="s">
        <v>34</v>
      </c>
      <c r="H15" s="58">
        <v>394.13099999999997</v>
      </c>
      <c r="I15" s="58">
        <v>408.54300000000001</v>
      </c>
      <c r="J15" s="58">
        <v>383.05099999999999</v>
      </c>
      <c r="K15" s="58">
        <v>347.87200000000001</v>
      </c>
      <c r="L15" s="58">
        <v>323.51499999999999</v>
      </c>
      <c r="M15" s="58">
        <v>309.15800000000002</v>
      </c>
      <c r="N15" s="76">
        <v>358.548</v>
      </c>
      <c r="O15" s="76">
        <v>374.94799999999998</v>
      </c>
      <c r="P15" s="76">
        <v>359.34800000000001</v>
      </c>
      <c r="Q15" s="76">
        <v>367.74799999999999</v>
      </c>
      <c r="R15" s="76">
        <v>369.34800000000001</v>
      </c>
      <c r="S15" s="58">
        <v>344.548</v>
      </c>
    </row>
    <row r="16" spans="1:19" ht="12" x14ac:dyDescent="0.2">
      <c r="A16" s="8"/>
      <c r="B16" s="2" t="s">
        <v>35</v>
      </c>
      <c r="C16" s="10">
        <v>157</v>
      </c>
      <c r="D16" s="10"/>
      <c r="E16" s="11" t="s">
        <v>11</v>
      </c>
      <c r="G16" s="57" t="s">
        <v>36</v>
      </c>
      <c r="H16" s="58">
        <v>0</v>
      </c>
      <c r="I16" s="58">
        <v>0</v>
      </c>
      <c r="J16" s="58">
        <v>0</v>
      </c>
      <c r="K16" s="58">
        <v>0</v>
      </c>
      <c r="L16" s="58">
        <v>0</v>
      </c>
      <c r="M16" s="58">
        <v>0</v>
      </c>
      <c r="N16" s="76">
        <v>0</v>
      </c>
      <c r="O16" s="76">
        <v>0</v>
      </c>
      <c r="P16" s="76">
        <v>0</v>
      </c>
      <c r="Q16" s="76">
        <v>0</v>
      </c>
      <c r="R16" s="76">
        <v>0</v>
      </c>
      <c r="S16" s="58">
        <v>0</v>
      </c>
    </row>
    <row r="17" spans="1:19" ht="12" x14ac:dyDescent="0.2">
      <c r="A17" s="15"/>
      <c r="B17" s="2" t="s">
        <v>37</v>
      </c>
      <c r="C17" s="78" t="s">
        <v>38</v>
      </c>
      <c r="D17" s="15"/>
      <c r="E17" s="11" t="s">
        <v>11</v>
      </c>
      <c r="F17" s="16"/>
      <c r="G17" s="59" t="s">
        <v>39</v>
      </c>
      <c r="H17" s="60">
        <v>0</v>
      </c>
      <c r="I17" s="60">
        <v>0</v>
      </c>
      <c r="J17" s="60">
        <v>0</v>
      </c>
      <c r="K17" s="60">
        <v>0</v>
      </c>
      <c r="L17" s="60">
        <v>0</v>
      </c>
      <c r="M17" s="60">
        <v>0</v>
      </c>
      <c r="N17" s="80">
        <v>0</v>
      </c>
      <c r="O17" s="80">
        <v>0</v>
      </c>
      <c r="P17" s="80">
        <v>0</v>
      </c>
      <c r="Q17" s="80">
        <v>0</v>
      </c>
      <c r="R17" s="80">
        <v>0</v>
      </c>
      <c r="S17" s="60">
        <v>0</v>
      </c>
    </row>
    <row r="18" spans="1:19" x14ac:dyDescent="0.2">
      <c r="A18" s="8"/>
      <c r="B18" s="2" t="s">
        <v>40</v>
      </c>
      <c r="C18" s="10">
        <v>2</v>
      </c>
      <c r="D18" s="10"/>
      <c r="E18" s="12"/>
      <c r="G18" s="57" t="s">
        <v>41</v>
      </c>
      <c r="H18" s="56">
        <f t="shared" ref="H18:S18" si="3">H19+H27</f>
        <v>398.11500000000001</v>
      </c>
      <c r="I18" s="56">
        <f t="shared" si="3"/>
        <v>410.91500000000002</v>
      </c>
      <c r="J18" s="56">
        <f t="shared" si="3"/>
        <v>385.97699999999998</v>
      </c>
      <c r="K18" s="56">
        <f t="shared" si="3"/>
        <v>357.05500000000001</v>
      </c>
      <c r="L18" s="56">
        <f t="shared" si="3"/>
        <v>338.26199999999994</v>
      </c>
      <c r="M18" s="56">
        <f t="shared" si="3"/>
        <v>380.61600000000004</v>
      </c>
      <c r="N18" s="77">
        <f t="shared" si="3"/>
        <v>429.10099999999994</v>
      </c>
      <c r="O18" s="77">
        <f t="shared" si="3"/>
        <v>383.15200000000004</v>
      </c>
      <c r="P18" s="77">
        <f t="shared" si="3"/>
        <v>385.9910000000001</v>
      </c>
      <c r="Q18" s="77">
        <f t="shared" si="3"/>
        <v>396.4860000000001</v>
      </c>
      <c r="R18" s="77">
        <f t="shared" si="3"/>
        <v>401.2240000000001</v>
      </c>
      <c r="S18" s="56">
        <f t="shared" si="3"/>
        <v>405.60500000000002</v>
      </c>
    </row>
    <row r="19" spans="1:19" x14ac:dyDescent="0.2">
      <c r="A19" s="8"/>
      <c r="B19" s="2" t="s">
        <v>42</v>
      </c>
      <c r="C19" s="10" t="s">
        <v>43</v>
      </c>
      <c r="D19" s="10"/>
      <c r="E19" s="12"/>
      <c r="G19" s="57" t="s">
        <v>44</v>
      </c>
      <c r="H19" s="56">
        <f t="shared" ref="H19:S19" si="4">SUM(H21:H26)</f>
        <v>10.050000000000001</v>
      </c>
      <c r="I19" s="56">
        <f t="shared" si="4"/>
        <v>14.765000000000001</v>
      </c>
      <c r="J19" s="56">
        <f t="shared" si="4"/>
        <v>2.617</v>
      </c>
      <c r="K19" s="56">
        <f t="shared" si="4"/>
        <v>4.6379999999999999</v>
      </c>
      <c r="L19" s="56">
        <f t="shared" si="4"/>
        <v>3.46</v>
      </c>
      <c r="M19" s="56">
        <f t="shared" si="4"/>
        <v>4.9130000000000003</v>
      </c>
      <c r="N19" s="77">
        <f t="shared" si="4"/>
        <v>45.875999999999998</v>
      </c>
      <c r="O19" s="77">
        <f t="shared" si="4"/>
        <v>6</v>
      </c>
      <c r="P19" s="77">
        <f t="shared" si="4"/>
        <v>7</v>
      </c>
      <c r="Q19" s="77">
        <f t="shared" si="4"/>
        <v>7</v>
      </c>
      <c r="R19" s="77">
        <f t="shared" si="4"/>
        <v>9</v>
      </c>
      <c r="S19" s="56">
        <f t="shared" si="4"/>
        <v>9</v>
      </c>
    </row>
    <row r="20" spans="1:19" ht="12" x14ac:dyDescent="0.2">
      <c r="A20" s="17"/>
      <c r="B20" s="2" t="s">
        <v>45</v>
      </c>
      <c r="C20" s="78" t="s">
        <v>46</v>
      </c>
      <c r="D20" s="15"/>
      <c r="E20" s="11" t="s">
        <v>11</v>
      </c>
      <c r="F20" s="17"/>
      <c r="G20" s="59" t="s">
        <v>47</v>
      </c>
      <c r="H20" s="61">
        <v>10.050000000000001</v>
      </c>
      <c r="I20" s="61">
        <v>14.765000000000001</v>
      </c>
      <c r="J20" s="61">
        <v>2.617</v>
      </c>
      <c r="K20" s="61">
        <v>4.6379999999999999</v>
      </c>
      <c r="L20" s="61">
        <v>3.46</v>
      </c>
      <c r="M20" s="61">
        <v>4.9130000000000003</v>
      </c>
      <c r="N20" s="82">
        <v>0</v>
      </c>
      <c r="O20" s="82">
        <v>0</v>
      </c>
      <c r="P20" s="82">
        <v>0</v>
      </c>
      <c r="Q20" s="82">
        <v>0</v>
      </c>
      <c r="R20" s="82">
        <v>0</v>
      </c>
      <c r="S20" s="61">
        <v>0</v>
      </c>
    </row>
    <row r="21" spans="1:19" ht="12" x14ac:dyDescent="0.2">
      <c r="A21" s="8"/>
      <c r="B21" s="2" t="s">
        <v>48</v>
      </c>
      <c r="C21" s="18" t="s">
        <v>49</v>
      </c>
      <c r="D21" s="18"/>
      <c r="E21" s="11" t="s">
        <v>11</v>
      </c>
      <c r="G21" s="57" t="s">
        <v>50</v>
      </c>
      <c r="H21" s="58">
        <v>10.050000000000001</v>
      </c>
      <c r="I21" s="58">
        <v>14.765000000000001</v>
      </c>
      <c r="J21" s="58">
        <v>2.617</v>
      </c>
      <c r="K21" s="58">
        <v>4.6379999999999999</v>
      </c>
      <c r="L21" s="58">
        <v>3.46</v>
      </c>
      <c r="M21" s="58">
        <v>4.9130000000000003</v>
      </c>
      <c r="N21" s="76">
        <v>45.875999999999998</v>
      </c>
      <c r="O21" s="76">
        <v>6</v>
      </c>
      <c r="P21" s="76">
        <v>7</v>
      </c>
      <c r="Q21" s="76">
        <v>7</v>
      </c>
      <c r="R21" s="76">
        <v>9</v>
      </c>
      <c r="S21" s="58">
        <v>9</v>
      </c>
    </row>
    <row r="22" spans="1:19" ht="12" x14ac:dyDescent="0.2">
      <c r="A22" s="8"/>
      <c r="B22" s="2" t="s">
        <v>51</v>
      </c>
      <c r="C22" s="10" t="s">
        <v>52</v>
      </c>
      <c r="D22" s="10"/>
      <c r="E22" s="11" t="s">
        <v>11</v>
      </c>
      <c r="G22" s="57" t="s">
        <v>53</v>
      </c>
      <c r="H22" s="58">
        <v>0</v>
      </c>
      <c r="I22" s="58">
        <v>0</v>
      </c>
      <c r="J22" s="58">
        <v>0</v>
      </c>
      <c r="K22" s="58">
        <v>0</v>
      </c>
      <c r="L22" s="58">
        <v>0</v>
      </c>
      <c r="M22" s="58">
        <v>0</v>
      </c>
      <c r="N22" s="76">
        <v>0</v>
      </c>
      <c r="O22" s="76">
        <v>0</v>
      </c>
      <c r="P22" s="76">
        <v>0</v>
      </c>
      <c r="Q22" s="76">
        <v>0</v>
      </c>
      <c r="R22" s="76">
        <v>0</v>
      </c>
      <c r="S22" s="58">
        <v>0</v>
      </c>
    </row>
    <row r="23" spans="1:19" ht="12" x14ac:dyDescent="0.2">
      <c r="A23" s="8"/>
      <c r="B23" s="2" t="s">
        <v>54</v>
      </c>
      <c r="C23" s="10">
        <v>257</v>
      </c>
      <c r="D23" s="10"/>
      <c r="E23" s="11" t="s">
        <v>11</v>
      </c>
      <c r="G23" s="57" t="s">
        <v>55</v>
      </c>
      <c r="H23" s="58">
        <v>0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76">
        <v>0</v>
      </c>
      <c r="O23" s="76">
        <v>0</v>
      </c>
      <c r="P23" s="76">
        <v>0</v>
      </c>
      <c r="Q23" s="76">
        <v>0</v>
      </c>
      <c r="R23" s="76">
        <v>0</v>
      </c>
      <c r="S23" s="58">
        <v>0</v>
      </c>
    </row>
    <row r="24" spans="1:19" ht="12" x14ac:dyDescent="0.2">
      <c r="A24" s="19"/>
      <c r="B24" s="2" t="s">
        <v>56</v>
      </c>
      <c r="C24" s="10" t="s">
        <v>57</v>
      </c>
      <c r="D24" s="10"/>
      <c r="E24" s="11" t="s">
        <v>11</v>
      </c>
      <c r="F24" s="19"/>
      <c r="G24" s="57" t="s">
        <v>58</v>
      </c>
      <c r="H24" s="58">
        <v>0</v>
      </c>
      <c r="I24" s="58">
        <v>0</v>
      </c>
      <c r="J24" s="58">
        <v>0</v>
      </c>
      <c r="K24" s="58">
        <v>0</v>
      </c>
      <c r="L24" s="58">
        <v>0</v>
      </c>
      <c r="M24" s="58">
        <v>0</v>
      </c>
      <c r="N24" s="76">
        <v>0</v>
      </c>
      <c r="O24" s="76">
        <v>0</v>
      </c>
      <c r="P24" s="76">
        <v>0</v>
      </c>
      <c r="Q24" s="76">
        <v>0</v>
      </c>
      <c r="R24" s="76">
        <v>0</v>
      </c>
      <c r="S24" s="58">
        <v>0</v>
      </c>
    </row>
    <row r="25" spans="1:19" ht="12" x14ac:dyDescent="0.2">
      <c r="A25" s="19"/>
      <c r="B25" s="2" t="s">
        <v>59</v>
      </c>
      <c r="C25" s="10" t="s">
        <v>60</v>
      </c>
      <c r="D25" s="10"/>
      <c r="E25" s="11" t="s">
        <v>11</v>
      </c>
      <c r="F25" s="19"/>
      <c r="G25" s="57" t="s">
        <v>61</v>
      </c>
      <c r="H25" s="58">
        <v>0</v>
      </c>
      <c r="I25" s="58">
        <v>0</v>
      </c>
      <c r="J25" s="58">
        <v>0</v>
      </c>
      <c r="K25" s="58">
        <v>0</v>
      </c>
      <c r="L25" s="58">
        <v>0</v>
      </c>
      <c r="M25" s="58">
        <v>0</v>
      </c>
      <c r="N25" s="76">
        <v>0</v>
      </c>
      <c r="O25" s="76">
        <v>0</v>
      </c>
      <c r="P25" s="76">
        <v>0</v>
      </c>
      <c r="Q25" s="76">
        <v>0</v>
      </c>
      <c r="R25" s="76">
        <v>0</v>
      </c>
      <c r="S25" s="58">
        <v>0</v>
      </c>
    </row>
    <row r="26" spans="1:19" ht="12" x14ac:dyDescent="0.2">
      <c r="A26" s="8"/>
      <c r="B26" s="2" t="s">
        <v>62</v>
      </c>
      <c r="C26" s="10">
        <v>28</v>
      </c>
      <c r="D26" s="10"/>
      <c r="E26" s="11" t="s">
        <v>11</v>
      </c>
      <c r="G26" s="57" t="s">
        <v>63</v>
      </c>
      <c r="H26" s="58">
        <v>0</v>
      </c>
      <c r="I26" s="58">
        <v>0</v>
      </c>
      <c r="J26" s="58">
        <v>0</v>
      </c>
      <c r="K26" s="58">
        <v>0</v>
      </c>
      <c r="L26" s="58">
        <v>0</v>
      </c>
      <c r="M26" s="58">
        <v>0</v>
      </c>
      <c r="N26" s="76">
        <v>0</v>
      </c>
      <c r="O26" s="76">
        <v>0</v>
      </c>
      <c r="P26" s="76">
        <v>0</v>
      </c>
      <c r="Q26" s="76">
        <v>0</v>
      </c>
      <c r="R26" s="76">
        <v>0</v>
      </c>
      <c r="S26" s="58">
        <v>0</v>
      </c>
    </row>
    <row r="27" spans="1:19" x14ac:dyDescent="0.2">
      <c r="A27" s="8"/>
      <c r="B27" s="2" t="s">
        <v>64</v>
      </c>
      <c r="C27" s="10">
        <v>29</v>
      </c>
      <c r="D27" s="10"/>
      <c r="E27" s="12"/>
      <c r="G27" s="57" t="s">
        <v>65</v>
      </c>
      <c r="H27" s="56">
        <f t="shared" ref="H27:S27" si="5">SUM(H28:H30)</f>
        <v>388.065</v>
      </c>
      <c r="I27" s="56">
        <f t="shared" si="5"/>
        <v>396.15000000000003</v>
      </c>
      <c r="J27" s="56">
        <f t="shared" si="5"/>
        <v>383.35999999999996</v>
      </c>
      <c r="K27" s="56">
        <f t="shared" si="5"/>
        <v>352.41700000000003</v>
      </c>
      <c r="L27" s="56">
        <f t="shared" si="5"/>
        <v>334.80199999999996</v>
      </c>
      <c r="M27" s="56">
        <f t="shared" si="5"/>
        <v>375.70300000000003</v>
      </c>
      <c r="N27" s="77">
        <f t="shared" si="5"/>
        <v>383.22499999999997</v>
      </c>
      <c r="O27" s="77">
        <f t="shared" si="5"/>
        <v>377.15200000000004</v>
      </c>
      <c r="P27" s="77">
        <f t="shared" si="5"/>
        <v>378.9910000000001</v>
      </c>
      <c r="Q27" s="77">
        <f t="shared" si="5"/>
        <v>389.4860000000001</v>
      </c>
      <c r="R27" s="77">
        <f t="shared" si="5"/>
        <v>392.2240000000001</v>
      </c>
      <c r="S27" s="56">
        <f t="shared" si="5"/>
        <v>396.60500000000002</v>
      </c>
    </row>
    <row r="28" spans="1:19" ht="12" x14ac:dyDescent="0.2">
      <c r="A28" s="8"/>
      <c r="B28" s="2" t="s">
        <v>66</v>
      </c>
      <c r="C28" s="8" t="s">
        <v>67</v>
      </c>
      <c r="D28" s="8"/>
      <c r="E28" s="11" t="s">
        <v>11</v>
      </c>
      <c r="G28" s="57" t="s">
        <v>68</v>
      </c>
      <c r="H28" s="58">
        <v>103.965</v>
      </c>
      <c r="I28" s="58">
        <v>103.965</v>
      </c>
      <c r="J28" s="58">
        <v>103.965</v>
      </c>
      <c r="K28" s="58">
        <v>103.965</v>
      </c>
      <c r="L28" s="58">
        <v>103.965</v>
      </c>
      <c r="M28" s="58">
        <v>103.965</v>
      </c>
      <c r="N28" s="76">
        <v>103.965</v>
      </c>
      <c r="O28" s="76">
        <v>103.965</v>
      </c>
      <c r="P28" s="76">
        <v>103.965</v>
      </c>
      <c r="Q28" s="76">
        <v>103.965</v>
      </c>
      <c r="R28" s="76">
        <v>103.965</v>
      </c>
      <c r="S28" s="58">
        <v>103.965</v>
      </c>
    </row>
    <row r="29" spans="1:19" ht="12" x14ac:dyDescent="0.2">
      <c r="A29" s="8"/>
      <c r="B29" s="2" t="s">
        <v>69</v>
      </c>
      <c r="C29" s="10">
        <v>298</v>
      </c>
      <c r="D29" s="10"/>
      <c r="E29" s="11" t="s">
        <v>11</v>
      </c>
      <c r="G29" s="57" t="s">
        <v>70</v>
      </c>
      <c r="H29" s="58">
        <v>300.47800000000001</v>
      </c>
      <c r="I29" s="58">
        <f>H29+H30</f>
        <v>284.10000000000002</v>
      </c>
      <c r="J29" s="58">
        <f>I29+I30</f>
        <v>292.185</v>
      </c>
      <c r="K29" s="58">
        <f>J29+J30</f>
        <v>279.39499999999998</v>
      </c>
      <c r="L29" s="58">
        <f>K29+K30</f>
        <v>248.45199999999997</v>
      </c>
      <c r="M29" s="58">
        <v>230.83600000000001</v>
      </c>
      <c r="N29" s="76">
        <v>271.738</v>
      </c>
      <c r="O29" s="76">
        <v>279.26</v>
      </c>
      <c r="P29" s="76">
        <v>273.18600000000004</v>
      </c>
      <c r="Q29" s="76">
        <v>275.02600000000007</v>
      </c>
      <c r="R29" s="76">
        <v>285.52100000000007</v>
      </c>
      <c r="S29" s="76">
        <v>288.25900000000007</v>
      </c>
    </row>
    <row r="30" spans="1:19" ht="12" x14ac:dyDescent="0.2">
      <c r="A30" s="8"/>
      <c r="B30" s="2" t="s">
        <v>71</v>
      </c>
      <c r="C30" s="10">
        <v>299</v>
      </c>
      <c r="D30" s="10"/>
      <c r="E30" s="11" t="s">
        <v>72</v>
      </c>
      <c r="G30" s="57" t="s">
        <v>73</v>
      </c>
      <c r="H30" s="58">
        <v>-16.378</v>
      </c>
      <c r="I30" s="58">
        <v>8.0850000000000009</v>
      </c>
      <c r="J30" s="58">
        <v>-12.79</v>
      </c>
      <c r="K30" s="58">
        <v>-30.943000000000001</v>
      </c>
      <c r="L30" s="58">
        <v>-17.614999999999998</v>
      </c>
      <c r="M30" s="58">
        <v>40.902000000000001</v>
      </c>
      <c r="N30" s="76">
        <v>7.5220000000000002</v>
      </c>
      <c r="O30" s="76">
        <v>-6.0730000000000004</v>
      </c>
      <c r="P30" s="76">
        <v>1.8400000000000034</v>
      </c>
      <c r="Q30" s="76">
        <v>10.495000000000005</v>
      </c>
      <c r="R30" s="76">
        <v>2.7379999999999995</v>
      </c>
      <c r="S30" s="76">
        <v>4.3810000000000002</v>
      </c>
    </row>
    <row r="31" spans="1:19" x14ac:dyDescent="0.2">
      <c r="A31" s="20"/>
      <c r="B31" s="2" t="s">
        <v>368</v>
      </c>
      <c r="C31" s="83" t="s">
        <v>369</v>
      </c>
      <c r="D31" s="21"/>
      <c r="E31" s="22"/>
      <c r="F31" s="20"/>
      <c r="G31" s="62" t="s">
        <v>74</v>
      </c>
      <c r="H31" s="63">
        <f t="shared" ref="H31:S31" si="6">H4-H18</f>
        <v>9.9999999997635314E-4</v>
      </c>
      <c r="I31" s="63">
        <f t="shared" si="6"/>
        <v>0</v>
      </c>
      <c r="J31" s="63">
        <f t="shared" si="6"/>
        <v>0</v>
      </c>
      <c r="K31" s="63">
        <f t="shared" si="6"/>
        <v>-9.9999999997635314E-4</v>
      </c>
      <c r="L31" s="63">
        <f t="shared" si="6"/>
        <v>-9.9999999997635314E-4</v>
      </c>
      <c r="M31" s="63">
        <f t="shared" si="6"/>
        <v>0</v>
      </c>
      <c r="N31" s="85">
        <f t="shared" si="6"/>
        <v>0</v>
      </c>
      <c r="O31" s="85">
        <f t="shared" si="6"/>
        <v>-0.20400000000006457</v>
      </c>
      <c r="P31" s="85">
        <f t="shared" si="6"/>
        <v>0.15699999999992542</v>
      </c>
      <c r="Q31" s="85">
        <f t="shared" si="6"/>
        <v>-0.23800000000011323</v>
      </c>
      <c r="R31" s="85">
        <f t="shared" si="6"/>
        <v>-7.6000000000078671E-2</v>
      </c>
      <c r="S31" s="63">
        <f t="shared" si="6"/>
        <v>-0.257000000000005</v>
      </c>
    </row>
    <row r="32" spans="1:19" x14ac:dyDescent="0.2">
      <c r="A32" s="8"/>
      <c r="B32" s="2"/>
      <c r="C32" s="10"/>
      <c r="D32" s="10"/>
      <c r="E32" s="9"/>
      <c r="G32" s="53" t="s">
        <v>75</v>
      </c>
      <c r="H32" s="64">
        <v>2011</v>
      </c>
      <c r="I32" s="64">
        <f t="shared" ref="I32:S32" si="7">H32+1</f>
        <v>2012</v>
      </c>
      <c r="J32" s="64">
        <f t="shared" si="7"/>
        <v>2013</v>
      </c>
      <c r="K32" s="64">
        <f t="shared" si="7"/>
        <v>2014</v>
      </c>
      <c r="L32" s="64">
        <f t="shared" si="7"/>
        <v>2015</v>
      </c>
      <c r="M32" s="64">
        <f t="shared" si="7"/>
        <v>2016</v>
      </c>
      <c r="N32" s="87">
        <f t="shared" si="7"/>
        <v>2017</v>
      </c>
      <c r="O32" s="87">
        <f t="shared" si="7"/>
        <v>2018</v>
      </c>
      <c r="P32" s="87">
        <f t="shared" si="7"/>
        <v>2019</v>
      </c>
      <c r="Q32" s="87">
        <f t="shared" si="7"/>
        <v>2020</v>
      </c>
      <c r="R32" s="87">
        <f t="shared" si="7"/>
        <v>2021</v>
      </c>
      <c r="S32" s="64">
        <f t="shared" si="7"/>
        <v>2022</v>
      </c>
    </row>
    <row r="33" spans="1:19" x14ac:dyDescent="0.2">
      <c r="A33" s="8"/>
      <c r="B33" s="2" t="s">
        <v>76</v>
      </c>
      <c r="C33" s="10">
        <v>3</v>
      </c>
      <c r="D33" s="10"/>
      <c r="E33" s="9"/>
      <c r="G33" s="55" t="s">
        <v>77</v>
      </c>
      <c r="H33" s="56">
        <f t="shared" ref="H33:S33" si="8">SUM(H34:H37)</f>
        <v>82.899000000000001</v>
      </c>
      <c r="I33" s="56">
        <f t="shared" si="8"/>
        <v>118.697</v>
      </c>
      <c r="J33" s="56">
        <f t="shared" si="8"/>
        <v>95.220999999999989</v>
      </c>
      <c r="K33" s="56">
        <f t="shared" si="8"/>
        <v>80.42</v>
      </c>
      <c r="L33" s="56">
        <f t="shared" si="8"/>
        <v>90.760999999999996</v>
      </c>
      <c r="M33" s="56">
        <f t="shared" si="8"/>
        <v>156.08699999999999</v>
      </c>
      <c r="N33" s="77">
        <f t="shared" si="8"/>
        <v>122.604</v>
      </c>
      <c r="O33" s="77">
        <f t="shared" si="8"/>
        <v>140.47400000000002</v>
      </c>
      <c r="P33" s="77">
        <f t="shared" si="8"/>
        <v>169.952</v>
      </c>
      <c r="Q33" s="77">
        <f t="shared" si="8"/>
        <v>162.50700000000001</v>
      </c>
      <c r="R33" s="77">
        <f t="shared" si="8"/>
        <v>171.34399999999999</v>
      </c>
      <c r="S33" s="56">
        <f t="shared" si="8"/>
        <v>183.51799999999997</v>
      </c>
    </row>
    <row r="34" spans="1:19" ht="12" x14ac:dyDescent="0.2">
      <c r="A34" s="8"/>
      <c r="B34" s="2" t="s">
        <v>78</v>
      </c>
      <c r="C34" s="10">
        <v>30</v>
      </c>
      <c r="D34" s="10"/>
      <c r="E34" s="11" t="s">
        <v>11</v>
      </c>
      <c r="G34" s="57" t="s">
        <v>79</v>
      </c>
      <c r="H34" s="58">
        <v>0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76">
        <v>0</v>
      </c>
      <c r="O34" s="76">
        <v>0</v>
      </c>
      <c r="P34" s="76">
        <v>0</v>
      </c>
      <c r="Q34" s="76">
        <v>0</v>
      </c>
      <c r="R34" s="76">
        <v>0</v>
      </c>
      <c r="S34" s="58">
        <v>0</v>
      </c>
    </row>
    <row r="35" spans="1:19" ht="12" x14ac:dyDescent="0.2">
      <c r="A35" s="8"/>
      <c r="B35" s="2" t="s">
        <v>80</v>
      </c>
      <c r="C35" s="10">
        <v>32</v>
      </c>
      <c r="D35" s="10"/>
      <c r="E35" s="11" t="s">
        <v>11</v>
      </c>
      <c r="G35" s="57" t="s">
        <v>81</v>
      </c>
      <c r="H35" s="58">
        <v>15.678000000000001</v>
      </c>
      <c r="I35" s="58">
        <v>14.984999999999999</v>
      </c>
      <c r="J35" s="58">
        <v>27.282</v>
      </c>
      <c r="K35" s="58">
        <v>20.849</v>
      </c>
      <c r="L35" s="58">
        <v>29.5</v>
      </c>
      <c r="M35" s="58">
        <v>31.684999999999999</v>
      </c>
      <c r="N35" s="76">
        <v>34.709000000000003</v>
      </c>
      <c r="O35" s="76">
        <v>31.541</v>
      </c>
      <c r="P35" s="76">
        <v>33.118000000000002</v>
      </c>
      <c r="Q35" s="76">
        <v>34.773000000000003</v>
      </c>
      <c r="R35" s="76">
        <v>35.816000000000003</v>
      </c>
      <c r="S35" s="58">
        <v>36.89</v>
      </c>
    </row>
    <row r="36" spans="1:19" ht="12" x14ac:dyDescent="0.2">
      <c r="A36" s="13"/>
      <c r="B36" s="2" t="s">
        <v>82</v>
      </c>
      <c r="C36" s="10">
        <v>35</v>
      </c>
      <c r="D36" s="10"/>
      <c r="E36" s="11" t="s">
        <v>11</v>
      </c>
      <c r="F36" s="13"/>
      <c r="G36" s="57" t="s">
        <v>83</v>
      </c>
      <c r="H36" s="58">
        <v>67.174999999999997</v>
      </c>
      <c r="I36" s="58">
        <v>103.631</v>
      </c>
      <c r="J36" s="58">
        <v>67.938999999999993</v>
      </c>
      <c r="K36" s="58">
        <v>59.570999999999998</v>
      </c>
      <c r="L36" s="58">
        <v>61.261000000000003</v>
      </c>
      <c r="M36" s="58">
        <v>124.402</v>
      </c>
      <c r="N36" s="76">
        <v>87.894999999999996</v>
      </c>
      <c r="O36" s="76">
        <v>108.93300000000001</v>
      </c>
      <c r="P36" s="76">
        <v>136.834</v>
      </c>
      <c r="Q36" s="76">
        <v>127.73399999999999</v>
      </c>
      <c r="R36" s="76">
        <v>135.52799999999999</v>
      </c>
      <c r="S36" s="58">
        <v>146.62799999999999</v>
      </c>
    </row>
    <row r="37" spans="1:19" ht="12" x14ac:dyDescent="0.2">
      <c r="A37" s="8"/>
      <c r="B37" s="2" t="s">
        <v>84</v>
      </c>
      <c r="C37" s="10">
        <v>38</v>
      </c>
      <c r="D37" s="10"/>
      <c r="E37" s="11" t="s">
        <v>72</v>
      </c>
      <c r="G37" s="57" t="s">
        <v>85</v>
      </c>
      <c r="H37" s="58">
        <v>4.5999999999999999E-2</v>
      </c>
      <c r="I37" s="58">
        <v>8.1000000000000003E-2</v>
      </c>
      <c r="J37" s="58">
        <v>0</v>
      </c>
      <c r="K37" s="58">
        <v>0</v>
      </c>
      <c r="L37" s="58">
        <v>0</v>
      </c>
      <c r="M37" s="58">
        <v>0</v>
      </c>
      <c r="N37" s="76">
        <v>0</v>
      </c>
      <c r="O37" s="76">
        <v>0</v>
      </c>
      <c r="P37" s="76">
        <v>0</v>
      </c>
      <c r="Q37" s="76">
        <v>0</v>
      </c>
      <c r="R37" s="76">
        <v>0</v>
      </c>
      <c r="S37" s="58">
        <v>0</v>
      </c>
    </row>
    <row r="38" spans="1:19" x14ac:dyDescent="0.2">
      <c r="A38" s="8"/>
      <c r="B38" s="2" t="s">
        <v>86</v>
      </c>
      <c r="C38" s="10">
        <v>4</v>
      </c>
      <c r="D38" s="10"/>
      <c r="E38" s="23"/>
      <c r="G38" s="57" t="s">
        <v>87</v>
      </c>
      <c r="H38" s="56">
        <f t="shared" ref="H38:S38" si="9">H39+H40</f>
        <v>0</v>
      </c>
      <c r="I38" s="56">
        <f t="shared" si="9"/>
        <v>0</v>
      </c>
      <c r="J38" s="56">
        <f t="shared" si="9"/>
        <v>0</v>
      </c>
      <c r="K38" s="56">
        <f t="shared" si="9"/>
        <v>0</v>
      </c>
      <c r="L38" s="56">
        <f t="shared" si="9"/>
        <v>-0.48</v>
      </c>
      <c r="M38" s="56">
        <f t="shared" si="9"/>
        <v>0</v>
      </c>
      <c r="N38" s="77">
        <f t="shared" si="9"/>
        <v>0</v>
      </c>
      <c r="O38" s="77">
        <f t="shared" si="9"/>
        <v>0</v>
      </c>
      <c r="P38" s="77">
        <f t="shared" si="9"/>
        <v>0</v>
      </c>
      <c r="Q38" s="77">
        <f t="shared" si="9"/>
        <v>0</v>
      </c>
      <c r="R38" s="77">
        <f t="shared" si="9"/>
        <v>0</v>
      </c>
      <c r="S38" s="56">
        <f t="shared" si="9"/>
        <v>0</v>
      </c>
    </row>
    <row r="39" spans="1:19" ht="12" x14ac:dyDescent="0.2">
      <c r="A39" s="8"/>
      <c r="B39" s="2" t="s">
        <v>88</v>
      </c>
      <c r="C39" s="10">
        <v>41</v>
      </c>
      <c r="D39" s="10"/>
      <c r="E39" s="11" t="s">
        <v>89</v>
      </c>
      <c r="G39" s="57" t="s">
        <v>90</v>
      </c>
      <c r="H39" s="58">
        <v>0</v>
      </c>
      <c r="I39" s="58">
        <v>0</v>
      </c>
      <c r="J39" s="58">
        <v>0</v>
      </c>
      <c r="K39" s="58">
        <v>0</v>
      </c>
      <c r="L39" s="58">
        <v>0</v>
      </c>
      <c r="M39" s="58">
        <v>0</v>
      </c>
      <c r="N39" s="76">
        <v>0</v>
      </c>
      <c r="O39" s="76">
        <v>0</v>
      </c>
      <c r="P39" s="76">
        <v>0</v>
      </c>
      <c r="Q39" s="76">
        <v>0</v>
      </c>
      <c r="R39" s="76">
        <v>0</v>
      </c>
      <c r="S39" s="58">
        <v>0</v>
      </c>
    </row>
    <row r="40" spans="1:19" ht="12" x14ac:dyDescent="0.2">
      <c r="A40" s="8"/>
      <c r="B40" s="2" t="s">
        <v>91</v>
      </c>
      <c r="C40" s="10">
        <v>45</v>
      </c>
      <c r="D40" s="10"/>
      <c r="E40" s="11" t="s">
        <v>89</v>
      </c>
      <c r="G40" s="57" t="s">
        <v>92</v>
      </c>
      <c r="H40" s="58">
        <v>0</v>
      </c>
      <c r="I40" s="58">
        <v>0</v>
      </c>
      <c r="J40" s="58">
        <v>0</v>
      </c>
      <c r="K40" s="58">
        <v>0</v>
      </c>
      <c r="L40" s="58">
        <v>-0.48</v>
      </c>
      <c r="M40" s="58">
        <v>0</v>
      </c>
      <c r="N40" s="76">
        <v>0</v>
      </c>
      <c r="O40" s="76">
        <v>0</v>
      </c>
      <c r="P40" s="76">
        <v>0</v>
      </c>
      <c r="Q40" s="76">
        <v>0</v>
      </c>
      <c r="R40" s="76">
        <v>0</v>
      </c>
      <c r="S40" s="58">
        <v>0</v>
      </c>
    </row>
    <row r="41" spans="1:19" x14ac:dyDescent="0.2">
      <c r="A41" s="13"/>
      <c r="B41" s="2" t="s">
        <v>93</v>
      </c>
      <c r="C41" s="10" t="s">
        <v>94</v>
      </c>
      <c r="D41" s="10"/>
      <c r="E41" s="23"/>
      <c r="F41" s="13"/>
      <c r="G41" s="57" t="s">
        <v>95</v>
      </c>
      <c r="H41" s="56">
        <f t="shared" ref="H41:S41" si="10">SUM(H42:H45)</f>
        <v>-99.278999999999996</v>
      </c>
      <c r="I41" s="56">
        <f t="shared" si="10"/>
        <v>-110.30499999999999</v>
      </c>
      <c r="J41" s="56">
        <f t="shared" si="10"/>
        <v>-108.012</v>
      </c>
      <c r="K41" s="56">
        <f t="shared" si="10"/>
        <v>-111.36399999999999</v>
      </c>
      <c r="L41" s="56">
        <f t="shared" si="10"/>
        <v>-108.38300000000001</v>
      </c>
      <c r="M41" s="56">
        <f t="shared" si="10"/>
        <v>-115.214</v>
      </c>
      <c r="N41" s="77">
        <f t="shared" si="10"/>
        <v>-115.11099999999999</v>
      </c>
      <c r="O41" s="77">
        <f t="shared" si="10"/>
        <v>-146.548</v>
      </c>
      <c r="P41" s="77">
        <f t="shared" si="10"/>
        <v>-168.11199999999999</v>
      </c>
      <c r="Q41" s="77">
        <f t="shared" si="10"/>
        <v>-152.012</v>
      </c>
      <c r="R41" s="77">
        <f t="shared" si="10"/>
        <v>-168.60599999999999</v>
      </c>
      <c r="S41" s="56">
        <f t="shared" si="10"/>
        <v>-179.136</v>
      </c>
    </row>
    <row r="42" spans="1:19" ht="12" x14ac:dyDescent="0.2">
      <c r="A42" s="8"/>
      <c r="B42" s="2" t="s">
        <v>96</v>
      </c>
      <c r="C42" s="10">
        <v>50</v>
      </c>
      <c r="D42" s="10"/>
      <c r="E42" s="11" t="s">
        <v>89</v>
      </c>
      <c r="G42" s="57" t="s">
        <v>97</v>
      </c>
      <c r="H42" s="58">
        <v>-38.087000000000003</v>
      </c>
      <c r="I42" s="58">
        <v>-40.552</v>
      </c>
      <c r="J42" s="58">
        <v>-37.646000000000001</v>
      </c>
      <c r="K42" s="58">
        <v>-46.774999999999999</v>
      </c>
      <c r="L42" s="58">
        <v>-48.372</v>
      </c>
      <c r="M42" s="58">
        <v>-56.420999999999999</v>
      </c>
      <c r="N42" s="76">
        <v>-63.219000000000001</v>
      </c>
      <c r="O42" s="76">
        <v>-81.281000000000006</v>
      </c>
      <c r="P42" s="76">
        <v>-99.745000000000005</v>
      </c>
      <c r="Q42" s="76">
        <v>-99.745000000000005</v>
      </c>
      <c r="R42" s="76">
        <v>-109.539</v>
      </c>
      <c r="S42" s="58">
        <v>-109.539</v>
      </c>
    </row>
    <row r="43" spans="1:19" ht="12" x14ac:dyDescent="0.2">
      <c r="A43" s="8"/>
      <c r="B43" s="2" t="s">
        <v>98</v>
      </c>
      <c r="C43" s="10">
        <v>55</v>
      </c>
      <c r="D43" s="10"/>
      <c r="E43" s="11" t="s">
        <v>89</v>
      </c>
      <c r="G43" s="57" t="s">
        <v>99</v>
      </c>
      <c r="H43" s="58">
        <v>-23.678999999999998</v>
      </c>
      <c r="I43" s="58">
        <v>-24.390999999999998</v>
      </c>
      <c r="J43" s="58">
        <v>-30.291</v>
      </c>
      <c r="K43" s="58">
        <v>-26.45</v>
      </c>
      <c r="L43" s="58">
        <v>-31.907</v>
      </c>
      <c r="M43" s="58">
        <v>-39.026000000000003</v>
      </c>
      <c r="N43" s="76">
        <v>-35.765999999999998</v>
      </c>
      <c r="O43" s="76">
        <v>-49.567</v>
      </c>
      <c r="P43" s="76">
        <v>-52.667000000000002</v>
      </c>
      <c r="Q43" s="76">
        <v>-36.567</v>
      </c>
      <c r="R43" s="76">
        <v>-38.567</v>
      </c>
      <c r="S43" s="58">
        <v>-44.697000000000003</v>
      </c>
    </row>
    <row r="44" spans="1:19" ht="12" x14ac:dyDescent="0.2">
      <c r="A44" s="13"/>
      <c r="B44" s="2" t="s">
        <v>100</v>
      </c>
      <c r="C44" s="10">
        <v>60</v>
      </c>
      <c r="D44" s="10"/>
      <c r="E44" s="11" t="s">
        <v>89</v>
      </c>
      <c r="F44" s="13"/>
      <c r="G44" s="57" t="s">
        <v>101</v>
      </c>
      <c r="H44" s="58">
        <v>-6.9509999999999996</v>
      </c>
      <c r="I44" s="58">
        <v>-13.340999999999999</v>
      </c>
      <c r="J44" s="58">
        <v>-5.3410000000000002</v>
      </c>
      <c r="K44" s="58">
        <v>-2.96</v>
      </c>
      <c r="L44" s="58">
        <v>-3.7480000000000002</v>
      </c>
      <c r="M44" s="58">
        <v>-4.41</v>
      </c>
      <c r="N44" s="76">
        <v>-6.8000000000000005E-2</v>
      </c>
      <c r="O44" s="76">
        <v>-0.1</v>
      </c>
      <c r="P44" s="76">
        <v>-0.1</v>
      </c>
      <c r="Q44" s="76">
        <v>-0.1</v>
      </c>
      <c r="R44" s="76">
        <v>-0.1</v>
      </c>
      <c r="S44" s="76">
        <v>-0.1</v>
      </c>
    </row>
    <row r="45" spans="1:19" ht="12" x14ac:dyDescent="0.2">
      <c r="A45" s="8"/>
      <c r="B45" s="2" t="s">
        <v>102</v>
      </c>
      <c r="C45" s="10">
        <v>61</v>
      </c>
      <c r="D45" s="10"/>
      <c r="E45" s="11" t="s">
        <v>89</v>
      </c>
      <c r="G45" s="57" t="s">
        <v>103</v>
      </c>
      <c r="H45" s="58">
        <v>-30.562000000000001</v>
      </c>
      <c r="I45" s="58">
        <v>-32.021000000000001</v>
      </c>
      <c r="J45" s="58">
        <v>-34.734000000000002</v>
      </c>
      <c r="K45" s="58">
        <v>-35.179000000000002</v>
      </c>
      <c r="L45" s="58">
        <v>-24.356000000000002</v>
      </c>
      <c r="M45" s="58">
        <v>-15.356999999999999</v>
      </c>
      <c r="N45" s="76">
        <v>-16.058</v>
      </c>
      <c r="O45" s="76">
        <v>-15.6</v>
      </c>
      <c r="P45" s="76">
        <v>-15.6</v>
      </c>
      <c r="Q45" s="76">
        <v>-15.6</v>
      </c>
      <c r="R45" s="76">
        <v>-20.399999999999999</v>
      </c>
      <c r="S45" s="58">
        <v>-24.8</v>
      </c>
    </row>
    <row r="46" spans="1:19" x14ac:dyDescent="0.2">
      <c r="A46" s="8"/>
      <c r="B46" s="2" t="s">
        <v>104</v>
      </c>
      <c r="C46" s="10"/>
      <c r="D46" s="10"/>
      <c r="E46" s="9"/>
      <c r="G46" s="57" t="s">
        <v>105</v>
      </c>
      <c r="H46" s="56">
        <f t="shared" ref="H46:S46" si="11">H33+H38+H41</f>
        <v>-16.379999999999995</v>
      </c>
      <c r="I46" s="56">
        <f t="shared" si="11"/>
        <v>8.3920000000000101</v>
      </c>
      <c r="J46" s="56">
        <f t="shared" si="11"/>
        <v>-12.791000000000011</v>
      </c>
      <c r="K46" s="56">
        <f t="shared" si="11"/>
        <v>-30.943999999999988</v>
      </c>
      <c r="L46" s="56">
        <f t="shared" si="11"/>
        <v>-18.102000000000018</v>
      </c>
      <c r="M46" s="56">
        <f t="shared" si="11"/>
        <v>40.87299999999999</v>
      </c>
      <c r="N46" s="77">
        <f t="shared" si="11"/>
        <v>7.4930000000000092</v>
      </c>
      <c r="O46" s="77">
        <f t="shared" si="11"/>
        <v>-6.0739999999999839</v>
      </c>
      <c r="P46" s="77">
        <f t="shared" si="11"/>
        <v>1.8400000000000034</v>
      </c>
      <c r="Q46" s="77">
        <f t="shared" si="11"/>
        <v>10.495000000000005</v>
      </c>
      <c r="R46" s="77">
        <f t="shared" si="11"/>
        <v>2.7379999999999995</v>
      </c>
      <c r="S46" s="56">
        <f t="shared" si="11"/>
        <v>4.3819999999999766</v>
      </c>
    </row>
    <row r="47" spans="1:19" ht="12" x14ac:dyDescent="0.2">
      <c r="A47" s="8"/>
      <c r="B47" s="2" t="s">
        <v>106</v>
      </c>
      <c r="C47" s="10">
        <v>65</v>
      </c>
      <c r="D47" s="10"/>
      <c r="E47" s="11" t="s">
        <v>72</v>
      </c>
      <c r="G47" s="57" t="s">
        <v>107</v>
      </c>
      <c r="H47" s="58">
        <v>2E-3</v>
      </c>
      <c r="I47" s="58">
        <v>0</v>
      </c>
      <c r="J47" s="58">
        <v>0</v>
      </c>
      <c r="K47" s="58">
        <v>0</v>
      </c>
      <c r="L47" s="58">
        <v>8.0000000000000002E-3</v>
      </c>
      <c r="M47" s="58">
        <v>0</v>
      </c>
      <c r="N47" s="58">
        <v>2.9000000000000001E-2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</row>
    <row r="48" spans="1:19" x14ac:dyDescent="0.2">
      <c r="A48" s="8"/>
      <c r="B48" s="2" t="s">
        <v>108</v>
      </c>
      <c r="C48" s="10"/>
      <c r="D48" s="10"/>
      <c r="E48" s="9"/>
      <c r="G48" s="57" t="s">
        <v>109</v>
      </c>
      <c r="H48" s="56">
        <f t="shared" ref="H48:S48" si="12">H46+H47</f>
        <v>-16.377999999999997</v>
      </c>
      <c r="I48" s="56">
        <f t="shared" si="12"/>
        <v>8.3920000000000101</v>
      </c>
      <c r="J48" s="56">
        <f t="shared" si="12"/>
        <v>-12.791000000000011</v>
      </c>
      <c r="K48" s="56">
        <f t="shared" si="12"/>
        <v>-30.943999999999988</v>
      </c>
      <c r="L48" s="56">
        <f t="shared" si="12"/>
        <v>-18.094000000000019</v>
      </c>
      <c r="M48" s="56">
        <f t="shared" si="12"/>
        <v>40.87299999999999</v>
      </c>
      <c r="N48" s="77">
        <f t="shared" si="12"/>
        <v>7.5220000000000091</v>
      </c>
      <c r="O48" s="77">
        <f t="shared" si="12"/>
        <v>-6.0739999999999839</v>
      </c>
      <c r="P48" s="77">
        <f t="shared" si="12"/>
        <v>1.8400000000000034</v>
      </c>
      <c r="Q48" s="77">
        <f t="shared" si="12"/>
        <v>10.495000000000005</v>
      </c>
      <c r="R48" s="77">
        <f t="shared" si="12"/>
        <v>2.7379999999999995</v>
      </c>
      <c r="S48" s="56">
        <f t="shared" si="12"/>
        <v>4.3819999999999766</v>
      </c>
    </row>
    <row r="49" spans="1:19" ht="12" x14ac:dyDescent="0.2">
      <c r="A49" s="8"/>
      <c r="B49" s="2" t="s">
        <v>110</v>
      </c>
      <c r="C49" s="10">
        <v>68</v>
      </c>
      <c r="D49" s="10"/>
      <c r="E49" s="11" t="s">
        <v>89</v>
      </c>
      <c r="G49" s="57" t="s">
        <v>111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76">
        <v>0</v>
      </c>
      <c r="O49" s="76">
        <v>0</v>
      </c>
      <c r="P49" s="76">
        <v>0</v>
      </c>
      <c r="Q49" s="76">
        <v>0</v>
      </c>
      <c r="R49" s="76">
        <v>0</v>
      </c>
      <c r="S49" s="58">
        <v>0</v>
      </c>
    </row>
    <row r="50" spans="1:19" ht="12" x14ac:dyDescent="0.2">
      <c r="A50" s="8"/>
      <c r="B50" s="2" t="s">
        <v>112</v>
      </c>
      <c r="C50" s="10">
        <v>69</v>
      </c>
      <c r="D50" s="10"/>
      <c r="E50" s="11" t="s">
        <v>11</v>
      </c>
      <c r="G50" s="57" t="s">
        <v>113</v>
      </c>
      <c r="H50" s="58">
        <v>0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76">
        <v>0</v>
      </c>
      <c r="O50" s="76">
        <v>0</v>
      </c>
      <c r="P50" s="76">
        <v>0</v>
      </c>
      <c r="Q50" s="76">
        <v>0</v>
      </c>
      <c r="R50" s="76">
        <v>0</v>
      </c>
      <c r="S50" s="58">
        <v>0</v>
      </c>
    </row>
    <row r="51" spans="1:19" x14ac:dyDescent="0.2">
      <c r="A51" s="8"/>
      <c r="B51" s="2" t="s">
        <v>114</v>
      </c>
      <c r="C51" s="10"/>
      <c r="D51" s="10"/>
      <c r="E51" s="9"/>
      <c r="G51" s="57" t="s">
        <v>115</v>
      </c>
      <c r="H51" s="56">
        <f t="shared" ref="H51:S51" si="13">H48+H49+H50</f>
        <v>-16.377999999999997</v>
      </c>
      <c r="I51" s="56">
        <f t="shared" si="13"/>
        <v>8.3920000000000101</v>
      </c>
      <c r="J51" s="56">
        <f t="shared" si="13"/>
        <v>-12.791000000000011</v>
      </c>
      <c r="K51" s="56">
        <f t="shared" si="13"/>
        <v>-30.943999999999988</v>
      </c>
      <c r="L51" s="56">
        <f t="shared" si="13"/>
        <v>-18.094000000000019</v>
      </c>
      <c r="M51" s="56">
        <f t="shared" si="13"/>
        <v>40.87299999999999</v>
      </c>
      <c r="N51" s="77">
        <f t="shared" si="13"/>
        <v>7.5220000000000091</v>
      </c>
      <c r="O51" s="77">
        <f t="shared" si="13"/>
        <v>-6.0739999999999839</v>
      </c>
      <c r="P51" s="77">
        <f t="shared" si="13"/>
        <v>1.8400000000000034</v>
      </c>
      <c r="Q51" s="77">
        <f t="shared" si="13"/>
        <v>10.495000000000005</v>
      </c>
      <c r="R51" s="77">
        <f t="shared" si="13"/>
        <v>2.7379999999999995</v>
      </c>
      <c r="S51" s="56">
        <f t="shared" si="13"/>
        <v>4.3819999999999766</v>
      </c>
    </row>
    <row r="52" spans="1:19" x14ac:dyDescent="0.2">
      <c r="A52" s="24"/>
      <c r="B52" s="2" t="s">
        <v>370</v>
      </c>
      <c r="C52" s="83" t="s">
        <v>371</v>
      </c>
      <c r="D52" s="25"/>
      <c r="E52" s="26"/>
      <c r="F52" s="24"/>
      <c r="G52" s="62" t="s">
        <v>116</v>
      </c>
      <c r="H52" s="63">
        <f t="shared" ref="H52:S52" si="14">H30-H51</f>
        <v>0</v>
      </c>
      <c r="I52" s="63">
        <f t="shared" si="14"/>
        <v>-0.30700000000000927</v>
      </c>
      <c r="J52" s="63">
        <f t="shared" si="14"/>
        <v>1.0000000000118803E-3</v>
      </c>
      <c r="K52" s="63">
        <f t="shared" si="14"/>
        <v>9.9999999998701128E-4</v>
      </c>
      <c r="L52" s="63">
        <f t="shared" si="14"/>
        <v>0.47900000000002052</v>
      </c>
      <c r="M52" s="63">
        <f t="shared" si="14"/>
        <v>2.9000000000010573E-2</v>
      </c>
      <c r="N52" s="85">
        <f t="shared" si="14"/>
        <v>-8.8817841970012523E-15</v>
      </c>
      <c r="O52" s="85">
        <f t="shared" si="14"/>
        <v>9.9999999998345857E-4</v>
      </c>
      <c r="P52" s="85">
        <f t="shared" si="14"/>
        <v>0</v>
      </c>
      <c r="Q52" s="85">
        <f t="shared" si="14"/>
        <v>0</v>
      </c>
      <c r="R52" s="85">
        <f t="shared" si="14"/>
        <v>0</v>
      </c>
      <c r="S52" s="63">
        <f t="shared" si="14"/>
        <v>-9.9999999997635314E-4</v>
      </c>
    </row>
    <row r="53" spans="1:19" x14ac:dyDescent="0.2">
      <c r="A53" s="8"/>
      <c r="B53" s="2"/>
      <c r="C53" s="10"/>
      <c r="D53" s="10"/>
      <c r="E53" s="9"/>
      <c r="G53" s="65" t="s">
        <v>117</v>
      </c>
      <c r="H53" s="48"/>
      <c r="I53" s="48"/>
      <c r="J53" s="48"/>
      <c r="K53" s="48"/>
      <c r="L53" s="48"/>
      <c r="M53" s="48"/>
      <c r="N53" s="4"/>
      <c r="O53" s="4"/>
      <c r="P53" s="4"/>
      <c r="Q53" s="4"/>
      <c r="R53" s="4"/>
      <c r="S53" s="48"/>
    </row>
    <row r="54" spans="1:19" ht="12" x14ac:dyDescent="0.2">
      <c r="A54" s="8"/>
      <c r="B54" s="2"/>
      <c r="C54" s="10">
        <v>90</v>
      </c>
      <c r="D54" s="10"/>
      <c r="E54" s="11" t="s">
        <v>11</v>
      </c>
      <c r="G54" s="65" t="s">
        <v>118</v>
      </c>
      <c r="H54" s="58">
        <v>3</v>
      </c>
      <c r="I54" s="58">
        <v>3</v>
      </c>
      <c r="J54" s="58">
        <v>3</v>
      </c>
      <c r="K54" s="58">
        <v>3</v>
      </c>
      <c r="L54" s="58">
        <v>3</v>
      </c>
      <c r="M54" s="58">
        <v>3</v>
      </c>
      <c r="N54" s="76">
        <v>3</v>
      </c>
      <c r="O54" s="76">
        <v>4</v>
      </c>
      <c r="P54" s="76">
        <v>4</v>
      </c>
      <c r="Q54" s="76">
        <v>4</v>
      </c>
      <c r="R54" s="76">
        <v>5</v>
      </c>
      <c r="S54" s="58">
        <v>5</v>
      </c>
    </row>
    <row r="55" spans="1:19" ht="12" x14ac:dyDescent="0.2">
      <c r="A55" s="8"/>
      <c r="B55" s="2"/>
      <c r="C55" s="10"/>
      <c r="D55" s="10"/>
      <c r="E55" s="11" t="s">
        <v>11</v>
      </c>
      <c r="G55" s="65" t="s">
        <v>119</v>
      </c>
      <c r="H55" s="58"/>
      <c r="I55" s="58"/>
      <c r="J55" s="58"/>
      <c r="K55" s="58"/>
      <c r="L55" s="66"/>
      <c r="M55" s="66"/>
      <c r="N55" s="88"/>
      <c r="O55" s="88"/>
      <c r="P55" s="88"/>
      <c r="Q55" s="88"/>
      <c r="R55" s="88"/>
      <c r="S55" s="66"/>
    </row>
    <row r="56" spans="1:19" x14ac:dyDescent="0.2">
      <c r="A56" s="8"/>
      <c r="B56" s="2"/>
      <c r="C56" s="10"/>
      <c r="D56" s="10"/>
      <c r="E56" s="9"/>
      <c r="G56" s="67"/>
      <c r="H56" s="48"/>
      <c r="I56" s="48"/>
      <c r="J56" s="48"/>
      <c r="K56" s="48"/>
      <c r="L56" s="48"/>
      <c r="M56" s="48"/>
      <c r="N56" s="4"/>
      <c r="O56" s="4"/>
      <c r="P56" s="4"/>
      <c r="Q56" s="4"/>
      <c r="R56" s="4"/>
      <c r="S56" s="48"/>
    </row>
    <row r="57" spans="1:19" x14ac:dyDescent="0.2">
      <c r="A57" s="8"/>
      <c r="B57" s="2"/>
      <c r="C57" s="10"/>
      <c r="D57" s="29" t="s">
        <v>120</v>
      </c>
      <c r="E57" s="30" t="s">
        <v>3</v>
      </c>
      <c r="F57" s="9"/>
      <c r="G57" s="53" t="s">
        <v>121</v>
      </c>
      <c r="H57" s="64">
        <f t="shared" ref="H57:S57" si="15">H32</f>
        <v>2011</v>
      </c>
      <c r="I57" s="64">
        <f t="shared" si="15"/>
        <v>2012</v>
      </c>
      <c r="J57" s="64">
        <f t="shared" si="15"/>
        <v>2013</v>
      </c>
      <c r="K57" s="64">
        <f t="shared" si="15"/>
        <v>2014</v>
      </c>
      <c r="L57" s="64">
        <f t="shared" si="15"/>
        <v>2015</v>
      </c>
      <c r="M57" s="64">
        <f t="shared" si="15"/>
        <v>2016</v>
      </c>
      <c r="N57" s="87">
        <f t="shared" si="15"/>
        <v>2017</v>
      </c>
      <c r="O57" s="87">
        <f t="shared" si="15"/>
        <v>2018</v>
      </c>
      <c r="P57" s="87">
        <f t="shared" si="15"/>
        <v>2019</v>
      </c>
      <c r="Q57" s="87">
        <f t="shared" si="15"/>
        <v>2020</v>
      </c>
      <c r="R57" s="87">
        <f t="shared" si="15"/>
        <v>2021</v>
      </c>
      <c r="S57" s="64">
        <f t="shared" si="15"/>
        <v>2022</v>
      </c>
    </row>
    <row r="58" spans="1:19" ht="12" x14ac:dyDescent="0.2">
      <c r="A58" s="8"/>
      <c r="B58" s="31" t="s">
        <v>122</v>
      </c>
      <c r="C58" s="8" t="s">
        <v>123</v>
      </c>
      <c r="D58" s="32" t="s">
        <v>124</v>
      </c>
      <c r="E58" s="11" t="s">
        <v>89</v>
      </c>
      <c r="F58" s="12"/>
      <c r="G58" s="55" t="s">
        <v>125</v>
      </c>
      <c r="H58" s="58">
        <v>-17.573</v>
      </c>
      <c r="I58" s="58">
        <v>-39.637999999999998</v>
      </c>
      <c r="J58" s="58">
        <v>-22.550999999999998</v>
      </c>
      <c r="K58" s="58">
        <v>0</v>
      </c>
      <c r="L58" s="58">
        <v>0</v>
      </c>
      <c r="M58" s="58">
        <v>-1</v>
      </c>
      <c r="N58" s="76">
        <v>-65.447999999999993</v>
      </c>
      <c r="O58" s="76">
        <v>-32</v>
      </c>
      <c r="P58" s="76">
        <v>0</v>
      </c>
      <c r="Q58" s="76">
        <v>-24</v>
      </c>
      <c r="R58" s="76">
        <v>-22</v>
      </c>
      <c r="S58" s="58">
        <v>0</v>
      </c>
    </row>
    <row r="59" spans="1:19" ht="12" x14ac:dyDescent="0.2">
      <c r="A59" s="8"/>
      <c r="B59" s="31" t="s">
        <v>126</v>
      </c>
      <c r="C59" s="33" t="s">
        <v>127</v>
      </c>
      <c r="D59" s="32" t="s">
        <v>128</v>
      </c>
      <c r="E59" s="11" t="s">
        <v>11</v>
      </c>
      <c r="F59" s="12"/>
      <c r="G59" s="68" t="s">
        <v>129</v>
      </c>
      <c r="H59" s="58">
        <v>0</v>
      </c>
      <c r="I59" s="58">
        <v>0</v>
      </c>
      <c r="J59" s="58">
        <v>0.377</v>
      </c>
      <c r="K59" s="58">
        <v>0</v>
      </c>
      <c r="L59" s="58">
        <v>0</v>
      </c>
      <c r="M59" s="58">
        <v>0.377</v>
      </c>
      <c r="N59" s="76">
        <v>0</v>
      </c>
      <c r="O59" s="76">
        <v>0</v>
      </c>
      <c r="P59" s="76">
        <v>0</v>
      </c>
      <c r="Q59" s="76">
        <v>0</v>
      </c>
      <c r="R59" s="76">
        <v>0</v>
      </c>
      <c r="S59" s="58">
        <v>0</v>
      </c>
    </row>
    <row r="60" spans="1:19" ht="12" x14ac:dyDescent="0.2">
      <c r="A60" s="8"/>
      <c r="B60" s="31" t="s">
        <v>130</v>
      </c>
      <c r="C60" s="34" t="s">
        <v>372</v>
      </c>
      <c r="D60" s="32" t="s">
        <v>131</v>
      </c>
      <c r="E60" s="11" t="s">
        <v>11</v>
      </c>
      <c r="F60" s="12"/>
      <c r="G60" s="57" t="s">
        <v>132</v>
      </c>
      <c r="H60" s="58">
        <v>25.596</v>
      </c>
      <c r="I60" s="58">
        <v>35.823999999999998</v>
      </c>
      <c r="J60" s="58">
        <v>6.3</v>
      </c>
      <c r="K60" s="58">
        <v>0</v>
      </c>
      <c r="L60" s="58">
        <v>0</v>
      </c>
      <c r="M60" s="58">
        <v>0</v>
      </c>
      <c r="N60" s="76">
        <v>0</v>
      </c>
      <c r="O60" s="76">
        <v>0</v>
      </c>
      <c r="P60" s="76">
        <v>0</v>
      </c>
      <c r="Q60" s="76">
        <v>0</v>
      </c>
      <c r="R60" s="76">
        <v>0</v>
      </c>
      <c r="S60" s="58">
        <v>0</v>
      </c>
    </row>
    <row r="61" spans="1:19" ht="12" x14ac:dyDescent="0.2">
      <c r="A61" s="8"/>
      <c r="B61" s="31" t="s">
        <v>133</v>
      </c>
      <c r="C61" s="34" t="s">
        <v>134</v>
      </c>
      <c r="D61" s="34" t="s">
        <v>135</v>
      </c>
      <c r="E61" s="11" t="s">
        <v>89</v>
      </c>
      <c r="F61" s="12"/>
      <c r="G61" s="57" t="s">
        <v>136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76">
        <v>0</v>
      </c>
      <c r="O61" s="76">
        <v>0</v>
      </c>
      <c r="P61" s="76">
        <v>0</v>
      </c>
      <c r="Q61" s="76">
        <v>0</v>
      </c>
      <c r="R61" s="76">
        <v>0</v>
      </c>
      <c r="S61" s="58">
        <v>0</v>
      </c>
    </row>
    <row r="62" spans="1:19" ht="12" x14ac:dyDescent="0.2">
      <c r="A62" s="8"/>
      <c r="B62" s="31" t="s">
        <v>137</v>
      </c>
      <c r="C62" s="10">
        <v>253800</v>
      </c>
      <c r="D62" s="34" t="s">
        <v>131</v>
      </c>
      <c r="E62" s="11" t="s">
        <v>11</v>
      </c>
      <c r="F62" s="12"/>
      <c r="G62" s="57" t="s">
        <v>138</v>
      </c>
      <c r="H62" s="58">
        <v>0</v>
      </c>
      <c r="I62" s="58">
        <v>0</v>
      </c>
      <c r="J62" s="58">
        <v>0</v>
      </c>
      <c r="K62" s="58">
        <v>0</v>
      </c>
      <c r="L62" s="58">
        <v>0</v>
      </c>
      <c r="M62" s="58">
        <v>0</v>
      </c>
      <c r="N62" s="76">
        <v>0</v>
      </c>
      <c r="O62" s="76">
        <v>0</v>
      </c>
      <c r="P62" s="76">
        <v>0</v>
      </c>
      <c r="Q62" s="76">
        <v>0</v>
      </c>
      <c r="R62" s="76">
        <v>0</v>
      </c>
      <c r="S62" s="58">
        <v>0</v>
      </c>
    </row>
    <row r="63" spans="1:19" ht="12" x14ac:dyDescent="0.2">
      <c r="A63" s="8"/>
      <c r="B63" s="31" t="s">
        <v>139</v>
      </c>
      <c r="C63" s="10">
        <v>150</v>
      </c>
      <c r="D63" s="34" t="s">
        <v>135</v>
      </c>
      <c r="E63" s="11" t="s">
        <v>89</v>
      </c>
      <c r="F63" s="12"/>
      <c r="G63" s="57" t="s">
        <v>140</v>
      </c>
      <c r="H63" s="58">
        <v>0</v>
      </c>
      <c r="I63" s="58">
        <v>0</v>
      </c>
      <c r="J63" s="58">
        <v>0</v>
      </c>
      <c r="K63" s="58">
        <v>0</v>
      </c>
      <c r="L63" s="58">
        <v>0</v>
      </c>
      <c r="M63" s="58">
        <v>0</v>
      </c>
      <c r="N63" s="76">
        <v>0</v>
      </c>
      <c r="O63" s="76">
        <v>0</v>
      </c>
      <c r="P63" s="76">
        <v>0</v>
      </c>
      <c r="Q63" s="76">
        <v>0</v>
      </c>
      <c r="R63" s="76">
        <v>0</v>
      </c>
      <c r="S63" s="58">
        <v>0</v>
      </c>
    </row>
    <row r="64" spans="1:19" ht="12" x14ac:dyDescent="0.2">
      <c r="A64" s="8"/>
      <c r="B64" s="31" t="s">
        <v>141</v>
      </c>
      <c r="C64" s="34" t="s">
        <v>142</v>
      </c>
      <c r="D64" s="34" t="s">
        <v>131</v>
      </c>
      <c r="E64" s="11" t="s">
        <v>11</v>
      </c>
      <c r="F64" s="12"/>
      <c r="G64" s="57" t="s">
        <v>143</v>
      </c>
      <c r="H64" s="58">
        <v>0</v>
      </c>
      <c r="I64" s="58">
        <v>0</v>
      </c>
      <c r="J64" s="58">
        <v>0</v>
      </c>
      <c r="K64" s="58">
        <v>0</v>
      </c>
      <c r="L64" s="58">
        <v>0</v>
      </c>
      <c r="M64" s="58">
        <v>0</v>
      </c>
      <c r="N64" s="76">
        <v>0</v>
      </c>
      <c r="O64" s="76">
        <v>0</v>
      </c>
      <c r="P64" s="76">
        <v>0</v>
      </c>
      <c r="Q64" s="76">
        <v>0</v>
      </c>
      <c r="R64" s="76">
        <v>0</v>
      </c>
      <c r="S64" s="58">
        <v>0</v>
      </c>
    </row>
    <row r="65" spans="1:19" ht="12" x14ac:dyDescent="0.2">
      <c r="A65" s="8"/>
      <c r="B65" s="31" t="s">
        <v>144</v>
      </c>
      <c r="C65" s="8" t="s">
        <v>373</v>
      </c>
      <c r="D65" s="34" t="s">
        <v>135</v>
      </c>
      <c r="E65" s="11" t="s">
        <v>89</v>
      </c>
      <c r="F65" s="12"/>
      <c r="G65" s="57" t="s">
        <v>145</v>
      </c>
      <c r="H65" s="58">
        <v>0</v>
      </c>
      <c r="I65" s="58">
        <v>0</v>
      </c>
      <c r="J65" s="58">
        <v>0</v>
      </c>
      <c r="K65" s="58">
        <v>0</v>
      </c>
      <c r="L65" s="58">
        <v>0</v>
      </c>
      <c r="M65" s="58">
        <v>0</v>
      </c>
      <c r="N65" s="76">
        <v>0</v>
      </c>
      <c r="O65" s="76">
        <v>0</v>
      </c>
      <c r="P65" s="76">
        <v>0</v>
      </c>
      <c r="Q65" s="76">
        <v>0</v>
      </c>
      <c r="R65" s="76">
        <v>0</v>
      </c>
      <c r="S65" s="58">
        <v>0</v>
      </c>
    </row>
    <row r="66" spans="1:19" ht="12" x14ac:dyDescent="0.2">
      <c r="A66" s="8"/>
      <c r="B66" s="31" t="s">
        <v>146</v>
      </c>
      <c r="C66" s="8" t="s">
        <v>373</v>
      </c>
      <c r="D66" s="34" t="s">
        <v>131</v>
      </c>
      <c r="E66" s="11" t="s">
        <v>11</v>
      </c>
      <c r="F66" s="12"/>
      <c r="G66" s="57" t="s">
        <v>147</v>
      </c>
      <c r="H66" s="58">
        <v>0</v>
      </c>
      <c r="I66" s="58">
        <v>0</v>
      </c>
      <c r="J66" s="58">
        <v>0</v>
      </c>
      <c r="K66" s="58">
        <v>0</v>
      </c>
      <c r="L66" s="58">
        <v>0</v>
      </c>
      <c r="M66" s="58">
        <v>0</v>
      </c>
      <c r="N66" s="76">
        <v>0</v>
      </c>
      <c r="O66" s="76">
        <v>0</v>
      </c>
      <c r="P66" s="76">
        <v>0</v>
      </c>
      <c r="Q66" s="76">
        <v>0</v>
      </c>
      <c r="R66" s="76">
        <v>0</v>
      </c>
      <c r="S66" s="58">
        <v>0</v>
      </c>
    </row>
    <row r="67" spans="1:19" ht="12" x14ac:dyDescent="0.2">
      <c r="A67" s="8"/>
      <c r="B67" s="31" t="s">
        <v>148</v>
      </c>
      <c r="C67" s="8" t="s">
        <v>149</v>
      </c>
      <c r="D67" s="34" t="s">
        <v>135</v>
      </c>
      <c r="E67" s="11" t="s">
        <v>89</v>
      </c>
      <c r="F67" s="12"/>
      <c r="G67" s="57" t="s">
        <v>150</v>
      </c>
      <c r="H67" s="58">
        <v>0</v>
      </c>
      <c r="I67" s="58">
        <v>0</v>
      </c>
      <c r="J67" s="58">
        <v>0</v>
      </c>
      <c r="K67" s="58">
        <v>0</v>
      </c>
      <c r="L67" s="58">
        <v>0</v>
      </c>
      <c r="M67" s="58">
        <v>0</v>
      </c>
      <c r="N67" s="76">
        <v>0</v>
      </c>
      <c r="O67" s="76">
        <v>0</v>
      </c>
      <c r="P67" s="76">
        <v>0</v>
      </c>
      <c r="Q67" s="76">
        <v>0</v>
      </c>
      <c r="R67" s="76">
        <v>0</v>
      </c>
      <c r="S67" s="58">
        <v>0</v>
      </c>
    </row>
    <row r="68" spans="1:19" ht="12" x14ac:dyDescent="0.2">
      <c r="A68" s="8"/>
      <c r="B68" s="31" t="s">
        <v>151</v>
      </c>
      <c r="C68" s="8" t="s">
        <v>149</v>
      </c>
      <c r="D68" s="34" t="s">
        <v>131</v>
      </c>
      <c r="E68" s="11" t="s">
        <v>11</v>
      </c>
      <c r="F68" s="12"/>
      <c r="G68" s="57" t="s">
        <v>152</v>
      </c>
      <c r="H68" s="58">
        <v>0</v>
      </c>
      <c r="I68" s="58">
        <v>0</v>
      </c>
      <c r="J68" s="58">
        <v>0</v>
      </c>
      <c r="K68" s="58">
        <v>0</v>
      </c>
      <c r="L68" s="58">
        <v>0</v>
      </c>
      <c r="M68" s="58">
        <v>0</v>
      </c>
      <c r="N68" s="76">
        <v>0</v>
      </c>
      <c r="O68" s="76">
        <v>0</v>
      </c>
      <c r="P68" s="76">
        <v>0</v>
      </c>
      <c r="Q68" s="76">
        <v>0</v>
      </c>
      <c r="R68" s="76">
        <v>0</v>
      </c>
      <c r="S68" s="58">
        <v>0</v>
      </c>
    </row>
    <row r="69" spans="1:19" ht="12" x14ac:dyDescent="0.2">
      <c r="A69" s="8"/>
      <c r="B69" s="31" t="s">
        <v>153</v>
      </c>
      <c r="C69" s="34" t="s">
        <v>142</v>
      </c>
      <c r="D69" s="34" t="s">
        <v>131</v>
      </c>
      <c r="E69" s="11" t="s">
        <v>11</v>
      </c>
      <c r="F69" s="12"/>
      <c r="G69" s="57" t="s">
        <v>154</v>
      </c>
      <c r="H69" s="58">
        <v>0</v>
      </c>
      <c r="I69" s="58">
        <v>0</v>
      </c>
      <c r="J69" s="58">
        <v>0</v>
      </c>
      <c r="K69" s="58">
        <v>0</v>
      </c>
      <c r="L69" s="58">
        <v>0</v>
      </c>
      <c r="M69" s="58">
        <v>0</v>
      </c>
      <c r="N69" s="76">
        <v>0</v>
      </c>
      <c r="O69" s="76">
        <v>0</v>
      </c>
      <c r="P69" s="76">
        <v>0</v>
      </c>
      <c r="Q69" s="76">
        <v>0</v>
      </c>
      <c r="R69" s="76">
        <v>0</v>
      </c>
      <c r="S69" s="58">
        <v>0</v>
      </c>
    </row>
    <row r="70" spans="1:19" ht="12" x14ac:dyDescent="0.2">
      <c r="A70" s="8"/>
      <c r="B70" s="31" t="s">
        <v>155</v>
      </c>
      <c r="C70" s="35" t="s">
        <v>156</v>
      </c>
      <c r="D70" s="8"/>
      <c r="E70" s="11" t="s">
        <v>72</v>
      </c>
      <c r="F70" s="12"/>
      <c r="G70" s="57" t="s">
        <v>107</v>
      </c>
      <c r="H70" s="58">
        <v>2E-3</v>
      </c>
      <c r="I70" s="58">
        <v>4.0000000000000001E-3</v>
      </c>
      <c r="J70" s="58">
        <v>0</v>
      </c>
      <c r="K70" s="58">
        <v>0</v>
      </c>
      <c r="L70" s="58">
        <v>8.0000000000000002E-3</v>
      </c>
      <c r="M70" s="58">
        <v>2.8000000000000001E-2</v>
      </c>
      <c r="N70" s="76">
        <v>0</v>
      </c>
      <c r="O70" s="76">
        <v>0</v>
      </c>
      <c r="P70" s="76">
        <v>0</v>
      </c>
      <c r="Q70" s="76">
        <v>0</v>
      </c>
      <c r="R70" s="76">
        <v>0</v>
      </c>
      <c r="S70" s="58">
        <v>0</v>
      </c>
    </row>
    <row r="71" spans="1:19" x14ac:dyDescent="0.2">
      <c r="A71" s="8"/>
      <c r="B71" s="31" t="s">
        <v>157</v>
      </c>
      <c r="C71" s="10"/>
      <c r="D71" s="8"/>
      <c r="E71" s="12"/>
      <c r="F71" s="12"/>
      <c r="G71" s="69" t="s">
        <v>158</v>
      </c>
      <c r="H71" s="56">
        <f t="shared" ref="H71:S71" si="16">SUM(H58:H70)</f>
        <v>8.0250000000000004</v>
      </c>
      <c r="I71" s="56">
        <f t="shared" si="16"/>
        <v>-3.81</v>
      </c>
      <c r="J71" s="56">
        <f t="shared" si="16"/>
        <v>-15.873999999999999</v>
      </c>
      <c r="K71" s="56">
        <f t="shared" si="16"/>
        <v>0</v>
      </c>
      <c r="L71" s="56">
        <f t="shared" si="16"/>
        <v>8.0000000000000002E-3</v>
      </c>
      <c r="M71" s="56">
        <f t="shared" si="16"/>
        <v>-0.59499999999999997</v>
      </c>
      <c r="N71" s="77">
        <f t="shared" si="16"/>
        <v>-65.447999999999993</v>
      </c>
      <c r="O71" s="77">
        <f t="shared" si="16"/>
        <v>-32</v>
      </c>
      <c r="P71" s="77">
        <f t="shared" si="16"/>
        <v>0</v>
      </c>
      <c r="Q71" s="77">
        <f t="shared" si="16"/>
        <v>-24</v>
      </c>
      <c r="R71" s="77">
        <f t="shared" si="16"/>
        <v>-22</v>
      </c>
      <c r="S71" s="56">
        <f t="shared" si="16"/>
        <v>0</v>
      </c>
    </row>
    <row r="72" spans="1:19" x14ac:dyDescent="0.2">
      <c r="A72" s="8"/>
      <c r="B72" s="2"/>
      <c r="C72" s="10"/>
      <c r="D72" s="8"/>
      <c r="E72" s="9"/>
      <c r="G72" s="67"/>
      <c r="H72" s="48"/>
      <c r="I72" s="48"/>
      <c r="J72" s="48"/>
      <c r="K72" s="48"/>
      <c r="L72" s="48"/>
      <c r="M72" s="48"/>
      <c r="N72" s="4"/>
      <c r="O72" s="4"/>
      <c r="P72" s="4"/>
      <c r="Q72" s="4"/>
      <c r="R72" s="4"/>
      <c r="S72" s="48"/>
    </row>
    <row r="73" spans="1:19" x14ac:dyDescent="0.2">
      <c r="A73" s="8"/>
      <c r="B73" s="2"/>
      <c r="C73" s="10"/>
      <c r="D73" s="29" t="s">
        <v>120</v>
      </c>
      <c r="E73" s="30" t="s">
        <v>3</v>
      </c>
      <c r="F73" s="9"/>
      <c r="G73" s="53" t="s">
        <v>159</v>
      </c>
      <c r="H73" s="64">
        <f t="shared" ref="H73:S73" si="17">H57</f>
        <v>2011</v>
      </c>
      <c r="I73" s="64">
        <f t="shared" si="17"/>
        <v>2012</v>
      </c>
      <c r="J73" s="64">
        <f t="shared" si="17"/>
        <v>2013</v>
      </c>
      <c r="K73" s="64">
        <f t="shared" si="17"/>
        <v>2014</v>
      </c>
      <c r="L73" s="64">
        <f t="shared" si="17"/>
        <v>2015</v>
      </c>
      <c r="M73" s="64">
        <f t="shared" si="17"/>
        <v>2016</v>
      </c>
      <c r="N73" s="87">
        <f t="shared" si="17"/>
        <v>2017</v>
      </c>
      <c r="O73" s="87">
        <f t="shared" si="17"/>
        <v>2018</v>
      </c>
      <c r="P73" s="87">
        <f t="shared" si="17"/>
        <v>2019</v>
      </c>
      <c r="Q73" s="87">
        <f t="shared" si="17"/>
        <v>2020</v>
      </c>
      <c r="R73" s="87">
        <f t="shared" si="17"/>
        <v>2021</v>
      </c>
      <c r="S73" s="64">
        <f t="shared" si="17"/>
        <v>2022</v>
      </c>
    </row>
    <row r="74" spans="1:19" ht="12" x14ac:dyDescent="0.2">
      <c r="A74" s="8"/>
      <c r="B74" s="2" t="s">
        <v>160</v>
      </c>
      <c r="C74" s="34" t="s">
        <v>161</v>
      </c>
      <c r="D74" s="34" t="s">
        <v>128</v>
      </c>
      <c r="E74" s="11" t="s">
        <v>11</v>
      </c>
      <c r="G74" s="55" t="s">
        <v>162</v>
      </c>
      <c r="H74" s="58">
        <v>0</v>
      </c>
      <c r="I74" s="58">
        <v>0</v>
      </c>
      <c r="J74" s="58">
        <v>0</v>
      </c>
      <c r="K74" s="58">
        <v>0</v>
      </c>
      <c r="L74" s="58">
        <v>0</v>
      </c>
      <c r="M74" s="58">
        <v>0</v>
      </c>
      <c r="N74" s="76">
        <v>0</v>
      </c>
      <c r="O74" s="76">
        <v>0</v>
      </c>
      <c r="P74" s="76">
        <v>0</v>
      </c>
      <c r="Q74" s="76">
        <v>0</v>
      </c>
      <c r="R74" s="76">
        <v>0</v>
      </c>
      <c r="S74" s="58">
        <v>0</v>
      </c>
    </row>
    <row r="75" spans="1:19" ht="12" x14ac:dyDescent="0.2">
      <c r="A75" s="8"/>
      <c r="B75" s="2" t="s">
        <v>163</v>
      </c>
      <c r="C75" s="34" t="s">
        <v>161</v>
      </c>
      <c r="D75" s="34" t="s">
        <v>124</v>
      </c>
      <c r="E75" s="11" t="s">
        <v>89</v>
      </c>
      <c r="F75" s="12"/>
      <c r="G75" s="57" t="s">
        <v>164</v>
      </c>
      <c r="H75" s="58">
        <v>0</v>
      </c>
      <c r="I75" s="58">
        <v>0</v>
      </c>
      <c r="J75" s="58">
        <v>0</v>
      </c>
      <c r="K75" s="58">
        <v>0</v>
      </c>
      <c r="L75" s="58">
        <v>0</v>
      </c>
      <c r="M75" s="58">
        <v>0</v>
      </c>
      <c r="N75" s="76">
        <v>0</v>
      </c>
      <c r="O75" s="76">
        <v>0</v>
      </c>
      <c r="P75" s="76">
        <v>0</v>
      </c>
      <c r="Q75" s="76">
        <v>0</v>
      </c>
      <c r="R75" s="76">
        <v>0</v>
      </c>
      <c r="S75" s="58">
        <v>0</v>
      </c>
    </row>
    <row r="76" spans="1:19" ht="12" x14ac:dyDescent="0.2">
      <c r="A76" s="8"/>
      <c r="B76" s="2" t="s">
        <v>165</v>
      </c>
      <c r="C76" s="34" t="s">
        <v>166</v>
      </c>
      <c r="D76" s="34" t="s">
        <v>131</v>
      </c>
      <c r="E76" s="11" t="s">
        <v>11</v>
      </c>
      <c r="G76" s="57" t="s">
        <v>167</v>
      </c>
      <c r="H76" s="58">
        <v>0</v>
      </c>
      <c r="I76" s="58">
        <v>0</v>
      </c>
      <c r="J76" s="58">
        <v>0</v>
      </c>
      <c r="K76" s="58">
        <v>0</v>
      </c>
      <c r="L76" s="58">
        <v>0</v>
      </c>
      <c r="M76" s="58">
        <v>0</v>
      </c>
      <c r="N76" s="76">
        <v>0</v>
      </c>
      <c r="O76" s="76">
        <v>0</v>
      </c>
      <c r="P76" s="76">
        <v>0</v>
      </c>
      <c r="Q76" s="76">
        <v>0</v>
      </c>
      <c r="R76" s="76">
        <v>0</v>
      </c>
      <c r="S76" s="58">
        <v>0</v>
      </c>
    </row>
    <row r="77" spans="1:19" ht="12" x14ac:dyDescent="0.2">
      <c r="A77" s="8"/>
      <c r="B77" s="2" t="s">
        <v>168</v>
      </c>
      <c r="C77" s="34" t="s">
        <v>166</v>
      </c>
      <c r="D77" s="34" t="s">
        <v>135</v>
      </c>
      <c r="E77" s="11" t="s">
        <v>89</v>
      </c>
      <c r="F77" s="12"/>
      <c r="G77" s="57" t="s">
        <v>169</v>
      </c>
      <c r="H77" s="58">
        <v>0</v>
      </c>
      <c r="I77" s="58">
        <v>0</v>
      </c>
      <c r="J77" s="58">
        <v>0</v>
      </c>
      <c r="K77" s="58">
        <v>0</v>
      </c>
      <c r="L77" s="58">
        <v>0</v>
      </c>
      <c r="M77" s="58">
        <v>0</v>
      </c>
      <c r="N77" s="76">
        <v>0</v>
      </c>
      <c r="O77" s="76">
        <v>0</v>
      </c>
      <c r="P77" s="76">
        <v>0</v>
      </c>
      <c r="Q77" s="76">
        <v>0</v>
      </c>
      <c r="R77" s="76">
        <v>0</v>
      </c>
      <c r="S77" s="58">
        <v>0</v>
      </c>
    </row>
    <row r="78" spans="1:19" ht="12" x14ac:dyDescent="0.2">
      <c r="A78" s="8"/>
      <c r="B78" s="2" t="s">
        <v>170</v>
      </c>
      <c r="C78" s="34" t="s">
        <v>171</v>
      </c>
      <c r="D78" s="34" t="s">
        <v>135</v>
      </c>
      <c r="E78" s="11" t="s">
        <v>89</v>
      </c>
      <c r="F78" s="12"/>
      <c r="G78" s="57" t="s">
        <v>172</v>
      </c>
      <c r="H78" s="58">
        <v>0</v>
      </c>
      <c r="I78" s="58">
        <v>0</v>
      </c>
      <c r="J78" s="58">
        <v>0</v>
      </c>
      <c r="K78" s="58">
        <v>0</v>
      </c>
      <c r="L78" s="58">
        <v>0</v>
      </c>
      <c r="M78" s="58">
        <v>0</v>
      </c>
      <c r="N78" s="76">
        <v>0</v>
      </c>
      <c r="O78" s="76">
        <v>0</v>
      </c>
      <c r="P78" s="76">
        <v>0</v>
      </c>
      <c r="Q78" s="76">
        <v>0</v>
      </c>
      <c r="R78" s="76">
        <v>0</v>
      </c>
      <c r="S78" s="58">
        <v>0</v>
      </c>
    </row>
    <row r="79" spans="1:19" ht="12" x14ac:dyDescent="0.2">
      <c r="A79" s="8"/>
      <c r="B79" s="2" t="s">
        <v>173</v>
      </c>
      <c r="C79" s="34" t="s">
        <v>174</v>
      </c>
      <c r="D79" s="34" t="s">
        <v>135</v>
      </c>
      <c r="E79" s="11" t="s">
        <v>89</v>
      </c>
      <c r="F79" s="12"/>
      <c r="G79" s="57" t="s">
        <v>175</v>
      </c>
      <c r="H79" s="58">
        <v>0</v>
      </c>
      <c r="I79" s="58">
        <v>-0.311</v>
      </c>
      <c r="J79" s="58">
        <v>0</v>
      </c>
      <c r="K79" s="58">
        <v>0</v>
      </c>
      <c r="L79" s="58">
        <v>0</v>
      </c>
      <c r="M79" s="58">
        <v>0</v>
      </c>
      <c r="N79" s="76">
        <v>0</v>
      </c>
      <c r="O79" s="76">
        <v>0</v>
      </c>
      <c r="P79" s="76">
        <v>0</v>
      </c>
      <c r="Q79" s="76">
        <v>0</v>
      </c>
      <c r="R79" s="76">
        <v>0</v>
      </c>
      <c r="S79" s="58">
        <v>0</v>
      </c>
    </row>
    <row r="80" spans="1:19" ht="12" x14ac:dyDescent="0.2">
      <c r="A80" s="8"/>
      <c r="B80" s="2" t="s">
        <v>176</v>
      </c>
      <c r="C80" s="34" t="s">
        <v>177</v>
      </c>
      <c r="D80" s="34" t="s">
        <v>135</v>
      </c>
      <c r="E80" s="11" t="s">
        <v>89</v>
      </c>
      <c r="F80" s="12"/>
      <c r="G80" s="57" t="s">
        <v>178</v>
      </c>
      <c r="H80" s="58">
        <v>0</v>
      </c>
      <c r="I80" s="58">
        <v>0</v>
      </c>
      <c r="J80" s="58">
        <v>0</v>
      </c>
      <c r="K80" s="58">
        <v>0</v>
      </c>
      <c r="L80" s="58">
        <v>0</v>
      </c>
      <c r="M80" s="58">
        <v>0</v>
      </c>
      <c r="N80" s="76">
        <v>0</v>
      </c>
      <c r="O80" s="76">
        <v>0</v>
      </c>
      <c r="P80" s="76">
        <v>0</v>
      </c>
      <c r="Q80" s="76">
        <v>0</v>
      </c>
      <c r="R80" s="76">
        <v>0</v>
      </c>
      <c r="S80" s="58">
        <v>0</v>
      </c>
    </row>
    <row r="81" spans="1:22" ht="12" x14ac:dyDescent="0.2">
      <c r="A81" s="8"/>
      <c r="B81" s="2" t="s">
        <v>179</v>
      </c>
      <c r="C81" s="34" t="s">
        <v>52</v>
      </c>
      <c r="D81" s="34" t="s">
        <v>135</v>
      </c>
      <c r="E81" s="11" t="s">
        <v>89</v>
      </c>
      <c r="F81" s="12"/>
      <c r="G81" s="57" t="s">
        <v>180</v>
      </c>
      <c r="H81" s="58">
        <v>0</v>
      </c>
      <c r="I81" s="58">
        <v>0</v>
      </c>
      <c r="J81" s="58">
        <v>0</v>
      </c>
      <c r="K81" s="58">
        <v>0</v>
      </c>
      <c r="L81" s="58">
        <v>0</v>
      </c>
      <c r="M81" s="58">
        <v>0</v>
      </c>
      <c r="N81" s="76">
        <v>0</v>
      </c>
      <c r="O81" s="76">
        <v>0</v>
      </c>
      <c r="P81" s="76">
        <v>0</v>
      </c>
      <c r="Q81" s="76">
        <v>0</v>
      </c>
      <c r="R81" s="76">
        <v>0</v>
      </c>
      <c r="S81" s="58">
        <v>0</v>
      </c>
    </row>
    <row r="82" spans="1:22" ht="12" x14ac:dyDescent="0.2">
      <c r="A82" s="8"/>
      <c r="B82" s="2" t="s">
        <v>181</v>
      </c>
      <c r="C82" s="34" t="s">
        <v>182</v>
      </c>
      <c r="D82" s="34" t="s">
        <v>131</v>
      </c>
      <c r="E82" s="11" t="s">
        <v>11</v>
      </c>
      <c r="G82" s="57" t="s">
        <v>183</v>
      </c>
      <c r="H82" s="58">
        <v>0</v>
      </c>
      <c r="I82" s="58">
        <v>0</v>
      </c>
      <c r="J82" s="58">
        <v>0</v>
      </c>
      <c r="K82" s="58">
        <v>0</v>
      </c>
      <c r="L82" s="58">
        <v>0</v>
      </c>
      <c r="M82" s="58">
        <v>0</v>
      </c>
      <c r="N82" s="76">
        <v>0</v>
      </c>
      <c r="O82" s="76">
        <v>0</v>
      </c>
      <c r="P82" s="76">
        <v>0</v>
      </c>
      <c r="Q82" s="76">
        <v>0</v>
      </c>
      <c r="R82" s="76">
        <v>0</v>
      </c>
      <c r="S82" s="58">
        <v>0</v>
      </c>
    </row>
    <row r="83" spans="1:22" ht="12" x14ac:dyDescent="0.2">
      <c r="A83" s="8"/>
      <c r="B83" s="2" t="s">
        <v>184</v>
      </c>
      <c r="C83" s="34" t="s">
        <v>182</v>
      </c>
      <c r="D83" s="34" t="s">
        <v>135</v>
      </c>
      <c r="E83" s="11" t="s">
        <v>89</v>
      </c>
      <c r="F83" s="12"/>
      <c r="G83" s="57" t="s">
        <v>374</v>
      </c>
      <c r="H83" s="58">
        <v>0</v>
      </c>
      <c r="I83" s="58">
        <v>0</v>
      </c>
      <c r="J83" s="58">
        <v>0</v>
      </c>
      <c r="K83" s="58">
        <v>0</v>
      </c>
      <c r="L83" s="58">
        <v>0</v>
      </c>
      <c r="M83" s="58">
        <v>0</v>
      </c>
      <c r="N83" s="76">
        <v>0</v>
      </c>
      <c r="O83" s="76">
        <v>0</v>
      </c>
      <c r="P83" s="76">
        <v>0</v>
      </c>
      <c r="Q83" s="76">
        <v>0</v>
      </c>
      <c r="R83" s="76">
        <v>0</v>
      </c>
      <c r="S83" s="58">
        <v>0</v>
      </c>
      <c r="V83" s="85"/>
    </row>
    <row r="84" spans="1:22" ht="12" x14ac:dyDescent="0.2">
      <c r="A84" s="8"/>
      <c r="B84" s="2" t="s">
        <v>185</v>
      </c>
      <c r="C84" s="34" t="s">
        <v>375</v>
      </c>
      <c r="D84" s="34" t="s">
        <v>135</v>
      </c>
      <c r="E84" s="11" t="s">
        <v>89</v>
      </c>
      <c r="F84" s="12"/>
      <c r="G84" s="57" t="s">
        <v>376</v>
      </c>
      <c r="H84" s="58">
        <v>0</v>
      </c>
      <c r="I84" s="58">
        <v>0</v>
      </c>
      <c r="J84" s="58">
        <v>0</v>
      </c>
      <c r="K84" s="58">
        <v>0</v>
      </c>
      <c r="L84" s="58">
        <v>0</v>
      </c>
      <c r="M84" s="58">
        <v>0</v>
      </c>
      <c r="N84" s="76">
        <v>0</v>
      </c>
      <c r="O84" s="76">
        <v>0</v>
      </c>
      <c r="P84" s="76">
        <v>0</v>
      </c>
      <c r="Q84" s="76">
        <v>0</v>
      </c>
      <c r="R84" s="76">
        <v>0</v>
      </c>
      <c r="S84" s="58">
        <v>0</v>
      </c>
    </row>
    <row r="85" spans="1:22" ht="12" x14ac:dyDescent="0.2">
      <c r="A85" s="8"/>
      <c r="B85" s="2" t="s">
        <v>186</v>
      </c>
      <c r="C85" s="36">
        <v>68</v>
      </c>
      <c r="D85" s="34" t="s">
        <v>135</v>
      </c>
      <c r="E85" s="11" t="s">
        <v>89</v>
      </c>
      <c r="F85" s="12"/>
      <c r="G85" s="70" t="s">
        <v>111</v>
      </c>
      <c r="H85" s="58">
        <v>0</v>
      </c>
      <c r="I85" s="58">
        <v>0</v>
      </c>
      <c r="J85" s="58">
        <v>0</v>
      </c>
      <c r="K85" s="58">
        <v>0</v>
      </c>
      <c r="L85" s="58">
        <v>0</v>
      </c>
      <c r="M85" s="58">
        <v>0</v>
      </c>
      <c r="N85" s="76">
        <v>0</v>
      </c>
      <c r="O85" s="76">
        <v>0</v>
      </c>
      <c r="P85" s="76">
        <v>0</v>
      </c>
      <c r="Q85" s="76">
        <v>0</v>
      </c>
      <c r="R85" s="76">
        <v>0</v>
      </c>
      <c r="S85" s="58">
        <v>0</v>
      </c>
    </row>
    <row r="86" spans="1:22" x14ac:dyDescent="0.2">
      <c r="A86" s="8"/>
      <c r="B86" s="2" t="s">
        <v>377</v>
      </c>
      <c r="C86" s="10"/>
      <c r="D86" s="10"/>
      <c r="E86" s="9"/>
      <c r="G86" s="70" t="s">
        <v>158</v>
      </c>
      <c r="H86" s="56">
        <f t="shared" ref="H86:S86" si="18">SUM(H74:H85)</f>
        <v>0</v>
      </c>
      <c r="I86" s="56">
        <f t="shared" si="18"/>
        <v>-0.311</v>
      </c>
      <c r="J86" s="56">
        <f t="shared" si="18"/>
        <v>0</v>
      </c>
      <c r="K86" s="56">
        <f t="shared" si="18"/>
        <v>0</v>
      </c>
      <c r="L86" s="56">
        <f t="shared" si="18"/>
        <v>0</v>
      </c>
      <c r="M86" s="56">
        <f t="shared" si="18"/>
        <v>0</v>
      </c>
      <c r="N86" s="56">
        <f t="shared" si="18"/>
        <v>0</v>
      </c>
      <c r="O86" s="56">
        <f t="shared" si="18"/>
        <v>0</v>
      </c>
      <c r="P86" s="56">
        <f t="shared" si="18"/>
        <v>0</v>
      </c>
      <c r="Q86" s="56">
        <f t="shared" si="18"/>
        <v>0</v>
      </c>
      <c r="R86" s="56">
        <f t="shared" si="18"/>
        <v>0</v>
      </c>
      <c r="S86" s="56">
        <f t="shared" si="18"/>
        <v>0</v>
      </c>
    </row>
    <row r="87" spans="1:22" s="4" customFormat="1" x14ac:dyDescent="0.2">
      <c r="A87" s="8"/>
      <c r="B87" s="2" t="s">
        <v>378</v>
      </c>
      <c r="C87" s="10"/>
      <c r="D87" s="10"/>
      <c r="E87" s="9"/>
      <c r="F87" s="8"/>
      <c r="G87" s="89" t="s">
        <v>379</v>
      </c>
      <c r="H87" s="98"/>
      <c r="I87" s="85">
        <f t="shared" ref="I87:S87" si="19">(I14+I15)-(H14+H15-I58-I59+I45)</f>
        <v>6.7950000000000728</v>
      </c>
      <c r="J87" s="85">
        <f t="shared" si="19"/>
        <v>-12.932000000000016</v>
      </c>
      <c r="K87" s="85">
        <f t="shared" si="19"/>
        <v>0</v>
      </c>
      <c r="L87" s="85">
        <f t="shared" si="19"/>
        <v>-1.0000000000331966E-3</v>
      </c>
      <c r="M87" s="85">
        <f t="shared" si="19"/>
        <v>0.37700000000006639</v>
      </c>
      <c r="N87" s="85">
        <f t="shared" si="19"/>
        <v>0</v>
      </c>
      <c r="O87" s="85">
        <f t="shared" si="19"/>
        <v>0</v>
      </c>
      <c r="P87" s="85">
        <f>(P14+P15)-(O14+O15-P58-P59+P45)</f>
        <v>0</v>
      </c>
      <c r="Q87" s="85">
        <f t="shared" si="19"/>
        <v>0</v>
      </c>
      <c r="R87" s="85">
        <f t="shared" si="19"/>
        <v>0</v>
      </c>
      <c r="S87" s="85">
        <f t="shared" si="19"/>
        <v>0</v>
      </c>
    </row>
    <row r="88" spans="1:22" s="4" customFormat="1" x14ac:dyDescent="0.2">
      <c r="A88" s="8"/>
      <c r="B88" s="2" t="s">
        <v>380</v>
      </c>
      <c r="C88" s="10"/>
      <c r="D88" s="10"/>
      <c r="E88" s="9"/>
      <c r="F88" s="8"/>
      <c r="G88" s="89" t="s">
        <v>381</v>
      </c>
      <c r="H88" s="98"/>
      <c r="I88" s="85">
        <f>I24-(H24+(I74+I76)+(I75+I77)+(I78))</f>
        <v>0</v>
      </c>
      <c r="J88" s="85">
        <f>J24-(I24+(J74+J76)+(J75+J77)+(J78))</f>
        <v>0</v>
      </c>
      <c r="K88" s="85">
        <f>K24-(J24+(K74+K76)+(K75+K77)+(K78))</f>
        <v>0</v>
      </c>
      <c r="L88" s="85">
        <f>L24-(K24+(L74+L76)+(L75+L77)+(L78))</f>
        <v>0</v>
      </c>
      <c r="M88" s="85">
        <f>M24-(L24+(M74+M76)+(M75+M77)+(M78))</f>
        <v>0</v>
      </c>
      <c r="N88" s="85">
        <f t="shared" ref="N88:S88" si="20">N24-(M24+(N74+N76)+(N75+N77)+(N78))</f>
        <v>0</v>
      </c>
      <c r="O88" s="85">
        <f t="shared" si="20"/>
        <v>0</v>
      </c>
      <c r="P88" s="85">
        <f t="shared" si="20"/>
        <v>0</v>
      </c>
      <c r="Q88" s="85">
        <f t="shared" si="20"/>
        <v>0</v>
      </c>
      <c r="R88" s="85">
        <f t="shared" si="20"/>
        <v>0</v>
      </c>
      <c r="S88" s="85">
        <f t="shared" si="20"/>
        <v>0</v>
      </c>
    </row>
    <row r="89" spans="1:22" s="4" customFormat="1" x14ac:dyDescent="0.2">
      <c r="A89" s="8"/>
      <c r="B89" s="2" t="s">
        <v>382</v>
      </c>
      <c r="C89" s="10"/>
      <c r="D89" s="10"/>
      <c r="E89" s="9"/>
      <c r="F89" s="8"/>
      <c r="G89" s="89" t="s">
        <v>383</v>
      </c>
      <c r="H89" s="98"/>
      <c r="I89" s="85">
        <f t="shared" ref="I89:S89" si="21">I28-(H28+(I82+I83))</f>
        <v>0</v>
      </c>
      <c r="J89" s="85">
        <f t="shared" si="21"/>
        <v>0</v>
      </c>
      <c r="K89" s="85">
        <f t="shared" si="21"/>
        <v>0</v>
      </c>
      <c r="L89" s="85">
        <f t="shared" si="21"/>
        <v>0</v>
      </c>
      <c r="M89" s="85">
        <f t="shared" si="21"/>
        <v>0</v>
      </c>
      <c r="N89" s="85">
        <f t="shared" si="21"/>
        <v>0</v>
      </c>
      <c r="O89" s="85">
        <f t="shared" si="21"/>
        <v>0</v>
      </c>
      <c r="P89" s="85">
        <f t="shared" si="21"/>
        <v>0</v>
      </c>
      <c r="Q89" s="85">
        <f t="shared" si="21"/>
        <v>0</v>
      </c>
      <c r="R89" s="85">
        <f t="shared" si="21"/>
        <v>0</v>
      </c>
      <c r="S89" s="85">
        <f t="shared" si="21"/>
        <v>0</v>
      </c>
    </row>
    <row r="90" spans="1:22" s="4" customFormat="1" x14ac:dyDescent="0.2">
      <c r="A90" s="8"/>
      <c r="B90" s="2" t="s">
        <v>384</v>
      </c>
      <c r="C90" s="10"/>
      <c r="D90" s="10"/>
      <c r="E90" s="9"/>
      <c r="F90" s="8"/>
      <c r="G90" s="89" t="s">
        <v>385</v>
      </c>
      <c r="H90" s="98"/>
      <c r="I90" s="85">
        <f t="shared" ref="I90:S90" si="22">I29-(H29+H30)-I84</f>
        <v>0</v>
      </c>
      <c r="J90" s="85">
        <f t="shared" si="22"/>
        <v>0</v>
      </c>
      <c r="K90" s="85">
        <f t="shared" si="22"/>
        <v>0</v>
      </c>
      <c r="L90" s="85">
        <f t="shared" si="22"/>
        <v>0</v>
      </c>
      <c r="M90" s="85">
        <f t="shared" si="22"/>
        <v>-9.9999999994793143E-4</v>
      </c>
      <c r="N90" s="85">
        <f t="shared" si="22"/>
        <v>0</v>
      </c>
      <c r="O90" s="85">
        <f t="shared" si="22"/>
        <v>0</v>
      </c>
      <c r="P90" s="85">
        <f t="shared" si="22"/>
        <v>-9.9999999997635314E-4</v>
      </c>
      <c r="Q90" s="85">
        <f t="shared" si="22"/>
        <v>0</v>
      </c>
      <c r="R90" s="85">
        <f t="shared" si="22"/>
        <v>0</v>
      </c>
      <c r="S90" s="85">
        <f t="shared" si="22"/>
        <v>0</v>
      </c>
    </row>
    <row r="91" spans="1:22" s="4" customFormat="1" x14ac:dyDescent="0.2">
      <c r="A91" s="8"/>
      <c r="B91" s="2"/>
      <c r="C91" s="10"/>
      <c r="D91" s="10"/>
      <c r="E91" s="9"/>
      <c r="F91" s="8"/>
      <c r="G91" s="28"/>
      <c r="L91" s="93">
        <f>L90-L87</f>
        <v>1.0000000000331966E-3</v>
      </c>
    </row>
    <row r="92" spans="1:22" s="4" customFormat="1" x14ac:dyDescent="0.2">
      <c r="A92" s="13" t="s">
        <v>0</v>
      </c>
      <c r="B92" s="2"/>
      <c r="C92" s="10"/>
      <c r="D92" s="753" t="s">
        <v>187</v>
      </c>
      <c r="E92" s="754"/>
      <c r="F92" s="8"/>
      <c r="G92" s="94" t="s">
        <v>386</v>
      </c>
      <c r="H92" s="87">
        <f>H73</f>
        <v>2011</v>
      </c>
      <c r="I92" s="87">
        <f t="shared" ref="I92:S92" si="23">I73</f>
        <v>2012</v>
      </c>
      <c r="J92" s="87">
        <f t="shared" si="23"/>
        <v>2013</v>
      </c>
      <c r="K92" s="87">
        <f t="shared" si="23"/>
        <v>2014</v>
      </c>
      <c r="L92" s="87">
        <f t="shared" si="23"/>
        <v>2015</v>
      </c>
      <c r="M92" s="87">
        <f t="shared" si="23"/>
        <v>2016</v>
      </c>
      <c r="N92" s="87">
        <f t="shared" si="23"/>
        <v>2017</v>
      </c>
      <c r="O92" s="87">
        <f t="shared" si="23"/>
        <v>2018</v>
      </c>
      <c r="P92" s="87">
        <f t="shared" si="23"/>
        <v>2019</v>
      </c>
      <c r="Q92" s="87">
        <f t="shared" si="23"/>
        <v>2020</v>
      </c>
      <c r="R92" s="87">
        <f t="shared" si="23"/>
        <v>2021</v>
      </c>
      <c r="S92" s="87">
        <f t="shared" si="23"/>
        <v>2022</v>
      </c>
    </row>
    <row r="93" spans="1:22" s="4" customFormat="1" x14ac:dyDescent="0.2">
      <c r="A93" s="8"/>
      <c r="B93" s="2" t="s">
        <v>387</v>
      </c>
      <c r="C93" s="10" t="s">
        <v>388</v>
      </c>
      <c r="D93" s="10"/>
      <c r="E93" s="9"/>
      <c r="F93" s="8"/>
      <c r="G93" s="95" t="s">
        <v>389</v>
      </c>
      <c r="H93" s="96">
        <f>H5+H11+H12+H13</f>
        <v>3.9850000000000003</v>
      </c>
      <c r="I93" s="96">
        <f>I5+I11+I12+I13</f>
        <v>2.3719999999999999</v>
      </c>
      <c r="J93" s="96">
        <f t="shared" ref="J93:S93" si="24">J5+J11+J12+J13</f>
        <v>2.9260000000000002</v>
      </c>
      <c r="K93" s="96">
        <f t="shared" si="24"/>
        <v>9.1820000000000004</v>
      </c>
      <c r="L93" s="96">
        <f t="shared" si="24"/>
        <v>14.745999999999999</v>
      </c>
      <c r="M93" s="96">
        <f t="shared" si="24"/>
        <v>71.457999999999998</v>
      </c>
      <c r="N93" s="96">
        <f t="shared" si="24"/>
        <v>70.552999999999997</v>
      </c>
      <c r="O93" s="96">
        <f t="shared" si="24"/>
        <v>8</v>
      </c>
      <c r="P93" s="96">
        <f t="shared" si="24"/>
        <v>26.8</v>
      </c>
      <c r="Q93" s="96">
        <f t="shared" si="24"/>
        <v>28.5</v>
      </c>
      <c r="R93" s="96">
        <f t="shared" si="24"/>
        <v>31.8</v>
      </c>
      <c r="S93" s="96">
        <f t="shared" si="24"/>
        <v>60.8</v>
      </c>
    </row>
    <row r="94" spans="1:22" s="4" customFormat="1" x14ac:dyDescent="0.2">
      <c r="A94" s="8"/>
      <c r="B94" s="2" t="s">
        <v>390</v>
      </c>
      <c r="C94" s="10"/>
      <c r="D94" s="10"/>
      <c r="E94" s="9"/>
      <c r="F94" s="8"/>
      <c r="G94" s="97" t="s">
        <v>391</v>
      </c>
      <c r="H94" s="98"/>
      <c r="I94" s="96">
        <f>I93-H93</f>
        <v>-1.6130000000000004</v>
      </c>
      <c r="J94" s="96">
        <f t="shared" ref="J94:S94" si="25">J93-I93</f>
        <v>0.55400000000000027</v>
      </c>
      <c r="K94" s="96">
        <f t="shared" si="25"/>
        <v>6.2560000000000002</v>
      </c>
      <c r="L94" s="96">
        <f t="shared" si="25"/>
        <v>5.5639999999999983</v>
      </c>
      <c r="M94" s="96">
        <f t="shared" si="25"/>
        <v>56.712000000000003</v>
      </c>
      <c r="N94" s="96">
        <f t="shared" si="25"/>
        <v>-0.90500000000000114</v>
      </c>
      <c r="O94" s="96">
        <f>O93-N93</f>
        <v>-62.552999999999997</v>
      </c>
      <c r="P94" s="96">
        <f t="shared" si="25"/>
        <v>18.8</v>
      </c>
      <c r="Q94" s="96">
        <f t="shared" si="25"/>
        <v>1.6999999999999993</v>
      </c>
      <c r="R94" s="96">
        <f t="shared" si="25"/>
        <v>3.3000000000000007</v>
      </c>
      <c r="S94" s="96">
        <f t="shared" si="25"/>
        <v>28.999999999999996</v>
      </c>
    </row>
    <row r="95" spans="1:22" s="4" customFormat="1" x14ac:dyDescent="0.2">
      <c r="A95" s="8"/>
      <c r="B95" s="2" t="s">
        <v>392</v>
      </c>
      <c r="C95" s="10" t="s">
        <v>42</v>
      </c>
      <c r="D95" s="10"/>
      <c r="E95" s="9"/>
      <c r="F95" s="8"/>
      <c r="G95" s="95" t="s">
        <v>393</v>
      </c>
      <c r="H95" s="96">
        <f>H19</f>
        <v>10.050000000000001</v>
      </c>
      <c r="I95" s="96">
        <f t="shared" ref="I95:S95" si="26">I19</f>
        <v>14.765000000000001</v>
      </c>
      <c r="J95" s="96">
        <f t="shared" si="26"/>
        <v>2.617</v>
      </c>
      <c r="K95" s="96">
        <f t="shared" si="26"/>
        <v>4.6379999999999999</v>
      </c>
      <c r="L95" s="96">
        <f t="shared" si="26"/>
        <v>3.46</v>
      </c>
      <c r="M95" s="96">
        <f t="shared" si="26"/>
        <v>4.9130000000000003</v>
      </c>
      <c r="N95" s="96">
        <f>N19</f>
        <v>45.875999999999998</v>
      </c>
      <c r="O95" s="96">
        <f t="shared" si="26"/>
        <v>6</v>
      </c>
      <c r="P95" s="96">
        <f t="shared" si="26"/>
        <v>7</v>
      </c>
      <c r="Q95" s="96">
        <f t="shared" si="26"/>
        <v>7</v>
      </c>
      <c r="R95" s="96">
        <f t="shared" si="26"/>
        <v>9</v>
      </c>
      <c r="S95" s="96">
        <f t="shared" si="26"/>
        <v>9</v>
      </c>
    </row>
    <row r="96" spans="1:22" s="4" customFormat="1" x14ac:dyDescent="0.2">
      <c r="A96" s="8"/>
      <c r="B96" s="2" t="s">
        <v>394</v>
      </c>
      <c r="C96" s="10"/>
      <c r="D96" s="10"/>
      <c r="E96" s="9"/>
      <c r="F96" s="8"/>
      <c r="G96" s="97" t="s">
        <v>391</v>
      </c>
      <c r="H96" s="98"/>
      <c r="I96" s="96">
        <f>I95-H95</f>
        <v>4.7149999999999999</v>
      </c>
      <c r="J96" s="96">
        <f t="shared" ref="J96:S96" si="27">J95-I95</f>
        <v>-12.148</v>
      </c>
      <c r="K96" s="96">
        <f t="shared" si="27"/>
        <v>2.0209999999999999</v>
      </c>
      <c r="L96" s="96">
        <f t="shared" si="27"/>
        <v>-1.1779999999999999</v>
      </c>
      <c r="M96" s="96">
        <f t="shared" si="27"/>
        <v>1.4530000000000003</v>
      </c>
      <c r="N96" s="96">
        <f t="shared" si="27"/>
        <v>40.962999999999994</v>
      </c>
      <c r="O96" s="96">
        <f>O95-N95</f>
        <v>-39.875999999999998</v>
      </c>
      <c r="P96" s="96">
        <f t="shared" si="27"/>
        <v>1</v>
      </c>
      <c r="Q96" s="96">
        <f t="shared" si="27"/>
        <v>0</v>
      </c>
      <c r="R96" s="96">
        <f t="shared" si="27"/>
        <v>2</v>
      </c>
      <c r="S96" s="96">
        <f t="shared" si="27"/>
        <v>0</v>
      </c>
    </row>
    <row r="97" spans="1:20" s="40" customFormat="1" x14ac:dyDescent="0.2">
      <c r="A97" s="29" t="s">
        <v>395</v>
      </c>
      <c r="B97" s="2" t="s">
        <v>188</v>
      </c>
      <c r="C97" s="10" t="s">
        <v>396</v>
      </c>
      <c r="D97" s="99"/>
      <c r="E97" s="30"/>
      <c r="F97" s="29"/>
      <c r="G97" s="100" t="s">
        <v>386</v>
      </c>
      <c r="H97" s="101"/>
      <c r="I97" s="102">
        <f>I94-I96</f>
        <v>-6.3280000000000003</v>
      </c>
      <c r="J97" s="102">
        <f t="shared" ref="J97:S97" si="28">J94-J96</f>
        <v>12.702</v>
      </c>
      <c r="K97" s="102">
        <f t="shared" si="28"/>
        <v>4.2350000000000003</v>
      </c>
      <c r="L97" s="102">
        <f t="shared" si="28"/>
        <v>6.7419999999999982</v>
      </c>
      <c r="M97" s="102">
        <f t="shared" si="28"/>
        <v>55.259</v>
      </c>
      <c r="N97" s="102">
        <f t="shared" si="28"/>
        <v>-41.867999999999995</v>
      </c>
      <c r="O97" s="102">
        <f>O94-O96</f>
        <v>-22.677</v>
      </c>
      <c r="P97" s="102">
        <f t="shared" si="28"/>
        <v>17.8</v>
      </c>
      <c r="Q97" s="102">
        <f t="shared" si="28"/>
        <v>1.6999999999999993</v>
      </c>
      <c r="R97" s="102">
        <f t="shared" si="28"/>
        <v>1.3000000000000007</v>
      </c>
      <c r="S97" s="102">
        <f t="shared" si="28"/>
        <v>28.999999999999996</v>
      </c>
    </row>
    <row r="98" spans="1:20" s="4" customFormat="1" x14ac:dyDescent="0.2">
      <c r="A98" s="8"/>
      <c r="B98" s="2"/>
      <c r="C98" s="10"/>
      <c r="D98" s="10"/>
      <c r="E98" s="9"/>
      <c r="F98" s="8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</row>
    <row r="99" spans="1:20" s="4" customFormat="1" x14ac:dyDescent="0.2">
      <c r="A99" s="8"/>
      <c r="B99" s="2" t="s">
        <v>397</v>
      </c>
      <c r="C99" s="10" t="s">
        <v>398</v>
      </c>
      <c r="D99" s="10"/>
      <c r="E99" s="9"/>
      <c r="F99" s="8"/>
      <c r="G99" s="95" t="s">
        <v>399</v>
      </c>
      <c r="H99" s="96">
        <f>H4-H93</f>
        <v>394.13099999999997</v>
      </c>
      <c r="I99" s="96">
        <f t="shared" ref="I99:S99" si="29">I4-I93</f>
        <v>408.54300000000001</v>
      </c>
      <c r="J99" s="96">
        <f t="shared" si="29"/>
        <v>383.05099999999999</v>
      </c>
      <c r="K99" s="96">
        <f t="shared" si="29"/>
        <v>347.87200000000001</v>
      </c>
      <c r="L99" s="96">
        <f t="shared" si="29"/>
        <v>323.51499999999999</v>
      </c>
      <c r="M99" s="96">
        <f t="shared" si="29"/>
        <v>309.15800000000002</v>
      </c>
      <c r="N99" s="96">
        <f t="shared" si="29"/>
        <v>358.548</v>
      </c>
      <c r="O99" s="96">
        <f t="shared" si="29"/>
        <v>374.94799999999998</v>
      </c>
      <c r="P99" s="96">
        <f t="shared" si="29"/>
        <v>359.34800000000001</v>
      </c>
      <c r="Q99" s="96">
        <f t="shared" si="29"/>
        <v>367.74799999999999</v>
      </c>
      <c r="R99" s="96">
        <f t="shared" si="29"/>
        <v>369.34800000000001</v>
      </c>
      <c r="S99" s="96">
        <f t="shared" si="29"/>
        <v>344.548</v>
      </c>
    </row>
    <row r="100" spans="1:20" s="4" customFormat="1" x14ac:dyDescent="0.2">
      <c r="A100" s="8"/>
      <c r="B100" s="2" t="s">
        <v>400</v>
      </c>
      <c r="C100" s="10"/>
      <c r="D100" s="10"/>
      <c r="E100" s="9"/>
      <c r="F100" s="8"/>
      <c r="G100" s="97" t="s">
        <v>391</v>
      </c>
      <c r="H100" s="98"/>
      <c r="I100" s="96">
        <f>I99-H99</f>
        <v>14.412000000000035</v>
      </c>
      <c r="J100" s="96">
        <f t="shared" ref="J100:S100" si="30">J99-I99</f>
        <v>-25.492000000000019</v>
      </c>
      <c r="K100" s="96">
        <f t="shared" si="30"/>
        <v>-35.178999999999974</v>
      </c>
      <c r="L100" s="96">
        <f t="shared" si="30"/>
        <v>-24.357000000000028</v>
      </c>
      <c r="M100" s="96">
        <f t="shared" si="30"/>
        <v>-14.356999999999971</v>
      </c>
      <c r="N100" s="96">
        <f t="shared" si="30"/>
        <v>49.389999999999986</v>
      </c>
      <c r="O100" s="96">
        <f>O99-N99</f>
        <v>16.399999999999977</v>
      </c>
      <c r="P100" s="96">
        <f t="shared" si="30"/>
        <v>-15.599999999999966</v>
      </c>
      <c r="Q100" s="96">
        <f t="shared" si="30"/>
        <v>8.3999999999999773</v>
      </c>
      <c r="R100" s="96">
        <f t="shared" si="30"/>
        <v>1.6000000000000227</v>
      </c>
      <c r="S100" s="96">
        <f t="shared" si="30"/>
        <v>-24.800000000000011</v>
      </c>
    </row>
    <row r="101" spans="1:20" s="4" customFormat="1" x14ac:dyDescent="0.2">
      <c r="A101" s="8"/>
      <c r="B101" s="2" t="s">
        <v>401</v>
      </c>
      <c r="C101" s="10" t="s">
        <v>64</v>
      </c>
      <c r="D101" s="10"/>
      <c r="E101" s="9"/>
      <c r="F101" s="8"/>
      <c r="G101" s="95" t="s">
        <v>402</v>
      </c>
      <c r="H101" s="96">
        <f>H27</f>
        <v>388.065</v>
      </c>
      <c r="I101" s="96">
        <f t="shared" ref="I101:S101" si="31">I27</f>
        <v>396.15000000000003</v>
      </c>
      <c r="J101" s="96">
        <f t="shared" si="31"/>
        <v>383.35999999999996</v>
      </c>
      <c r="K101" s="96">
        <f t="shared" si="31"/>
        <v>352.41700000000003</v>
      </c>
      <c r="L101" s="96">
        <f t="shared" si="31"/>
        <v>334.80199999999996</v>
      </c>
      <c r="M101" s="96">
        <f t="shared" si="31"/>
        <v>375.70300000000003</v>
      </c>
      <c r="N101" s="96">
        <f t="shared" si="31"/>
        <v>383.22499999999997</v>
      </c>
      <c r="O101" s="96">
        <f t="shared" si="31"/>
        <v>377.15200000000004</v>
      </c>
      <c r="P101" s="96">
        <f t="shared" si="31"/>
        <v>378.9910000000001</v>
      </c>
      <c r="Q101" s="96">
        <f t="shared" si="31"/>
        <v>389.4860000000001</v>
      </c>
      <c r="R101" s="96">
        <f t="shared" si="31"/>
        <v>392.2240000000001</v>
      </c>
      <c r="S101" s="96">
        <f t="shared" si="31"/>
        <v>396.60500000000002</v>
      </c>
    </row>
    <row r="102" spans="1:20" s="4" customFormat="1" x14ac:dyDescent="0.2">
      <c r="A102" s="8"/>
      <c r="B102" s="2" t="s">
        <v>403</v>
      </c>
      <c r="C102" s="10"/>
      <c r="D102" s="10"/>
      <c r="E102" s="9"/>
      <c r="F102" s="8"/>
      <c r="G102" s="97" t="s">
        <v>391</v>
      </c>
      <c r="H102" s="98"/>
      <c r="I102" s="96">
        <f>I101-H101</f>
        <v>8.0850000000000364</v>
      </c>
      <c r="J102" s="96">
        <f t="shared" ref="J102:S102" si="32">J101-I101</f>
        <v>-12.790000000000077</v>
      </c>
      <c r="K102" s="96">
        <f t="shared" si="32"/>
        <v>-30.942999999999927</v>
      </c>
      <c r="L102" s="96">
        <f t="shared" si="32"/>
        <v>-17.615000000000066</v>
      </c>
      <c r="M102" s="96">
        <f t="shared" si="32"/>
        <v>40.901000000000067</v>
      </c>
      <c r="N102" s="96">
        <f t="shared" si="32"/>
        <v>7.5219999999999345</v>
      </c>
      <c r="O102" s="96">
        <f>O101-N101</f>
        <v>-6.0729999999999222</v>
      </c>
      <c r="P102" s="96">
        <f t="shared" si="32"/>
        <v>1.8390000000000555</v>
      </c>
      <c r="Q102" s="96">
        <f t="shared" si="32"/>
        <v>10.495000000000005</v>
      </c>
      <c r="R102" s="96">
        <f t="shared" si="32"/>
        <v>2.7379999999999995</v>
      </c>
      <c r="S102" s="96">
        <f t="shared" si="32"/>
        <v>4.380999999999915</v>
      </c>
    </row>
    <row r="103" spans="1:20" s="40" customFormat="1" x14ac:dyDescent="0.2">
      <c r="A103" s="29" t="s">
        <v>404</v>
      </c>
      <c r="B103" s="2" t="s">
        <v>189</v>
      </c>
      <c r="C103" s="10" t="s">
        <v>405</v>
      </c>
      <c r="D103" s="10"/>
      <c r="E103" s="9"/>
      <c r="F103" s="8"/>
      <c r="G103" s="100" t="s">
        <v>406</v>
      </c>
      <c r="H103" s="101"/>
      <c r="I103" s="102">
        <f>I102-I100</f>
        <v>-6.3269999999999982</v>
      </c>
      <c r="J103" s="102">
        <f t="shared" ref="J103:S103" si="33">J102-J100</f>
        <v>12.701999999999941</v>
      </c>
      <c r="K103" s="102">
        <f t="shared" si="33"/>
        <v>4.2360000000000468</v>
      </c>
      <c r="L103" s="102">
        <f t="shared" si="33"/>
        <v>6.7419999999999618</v>
      </c>
      <c r="M103" s="102">
        <f t="shared" si="33"/>
        <v>55.258000000000038</v>
      </c>
      <c r="N103" s="102">
        <f t="shared" si="33"/>
        <v>-41.868000000000052</v>
      </c>
      <c r="O103" s="102">
        <f>O102-O100</f>
        <v>-22.4729999999999</v>
      </c>
      <c r="P103" s="102">
        <f t="shared" si="33"/>
        <v>17.439000000000021</v>
      </c>
      <c r="Q103" s="102">
        <f t="shared" si="33"/>
        <v>2.0950000000000273</v>
      </c>
      <c r="R103" s="102">
        <f t="shared" si="33"/>
        <v>1.1379999999999768</v>
      </c>
      <c r="S103" s="102">
        <f t="shared" si="33"/>
        <v>29.180999999999926</v>
      </c>
    </row>
    <row r="104" spans="1:20" s="4" customFormat="1" x14ac:dyDescent="0.2">
      <c r="A104" s="8"/>
      <c r="B104" s="2"/>
      <c r="C104" s="10"/>
      <c r="D104" s="10"/>
      <c r="E104" s="9"/>
      <c r="F104" s="8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</row>
    <row r="105" spans="1:20" s="4" customFormat="1" x14ac:dyDescent="0.2">
      <c r="A105" s="13"/>
      <c r="B105" s="2"/>
      <c r="C105" s="10"/>
      <c r="D105" s="10"/>
      <c r="E105" s="9"/>
      <c r="F105" s="8"/>
      <c r="G105" s="94" t="s">
        <v>407</v>
      </c>
      <c r="H105" s="87">
        <f t="shared" ref="H105:S105" si="34">H32</f>
        <v>2011</v>
      </c>
      <c r="I105" s="87">
        <f t="shared" si="34"/>
        <v>2012</v>
      </c>
      <c r="J105" s="87">
        <f t="shared" si="34"/>
        <v>2013</v>
      </c>
      <c r="K105" s="87">
        <f t="shared" si="34"/>
        <v>2014</v>
      </c>
      <c r="L105" s="87">
        <f t="shared" si="34"/>
        <v>2015</v>
      </c>
      <c r="M105" s="87">
        <f t="shared" si="34"/>
        <v>2016</v>
      </c>
      <c r="N105" s="87">
        <f t="shared" si="34"/>
        <v>2017</v>
      </c>
      <c r="O105" s="87">
        <f t="shared" si="34"/>
        <v>2018</v>
      </c>
      <c r="P105" s="87">
        <f t="shared" si="34"/>
        <v>2019</v>
      </c>
      <c r="Q105" s="87">
        <f t="shared" si="34"/>
        <v>2020</v>
      </c>
      <c r="R105" s="87">
        <f t="shared" si="34"/>
        <v>2021</v>
      </c>
      <c r="S105" s="87">
        <f t="shared" si="34"/>
        <v>2022</v>
      </c>
    </row>
    <row r="106" spans="1:20" s="40" customFormat="1" x14ac:dyDescent="0.2">
      <c r="A106" s="29" t="s">
        <v>408</v>
      </c>
      <c r="B106" s="2" t="s">
        <v>192</v>
      </c>
      <c r="C106" s="29" t="s">
        <v>409</v>
      </c>
      <c r="D106" s="10"/>
      <c r="E106" s="9"/>
      <c r="F106" s="8"/>
      <c r="G106" s="103" t="s">
        <v>407</v>
      </c>
      <c r="H106" s="101" t="s">
        <v>358</v>
      </c>
      <c r="I106" s="104">
        <f t="shared" ref="I106:N106" si="35">(I48-I45+I50)+(I58+I59)+(I82+I83+I84+I85)-(I85-I49)</f>
        <v>0.77500000000001279</v>
      </c>
      <c r="J106" s="104">
        <f t="shared" si="35"/>
        <v>-0.23100000000000875</v>
      </c>
      <c r="K106" s="104">
        <f t="shared" si="35"/>
        <v>4.2350000000000136</v>
      </c>
      <c r="L106" s="104">
        <f t="shared" si="35"/>
        <v>6.2619999999999827</v>
      </c>
      <c r="M106" s="104">
        <f t="shared" si="35"/>
        <v>55.606999999999992</v>
      </c>
      <c r="N106" s="104">
        <f t="shared" si="35"/>
        <v>-41.867999999999981</v>
      </c>
      <c r="O106" s="104">
        <f>(O48-O45+O50)+(O58+O59)+(O82+O83+O84+O85)-(O85-O49)</f>
        <v>-22.473999999999982</v>
      </c>
      <c r="P106" s="104">
        <f>(P48-P45+P50)+(P58+P59)+(P82+P83+P84+P85)-(P85-P49)</f>
        <v>17.440000000000005</v>
      </c>
      <c r="Q106" s="104">
        <f>(Q48-Q45+Q50)+(Q58+Q59)+(Q82+Q83+Q84+Q85)-(Q85-Q49)</f>
        <v>2.095000000000006</v>
      </c>
      <c r="R106" s="104">
        <f>(R48-R45+R50)+(R58+R59)+(R82+R83+R84+R85)-(R85-R49)</f>
        <v>1.1379999999999981</v>
      </c>
      <c r="S106" s="104">
        <f>(S48-S45+S50)+(S58+S59)+(S82+S83+S84+S85)-(S85-S49)</f>
        <v>29.181999999999977</v>
      </c>
    </row>
    <row r="107" spans="1:20" s="40" customFormat="1" x14ac:dyDescent="0.2">
      <c r="A107" s="29" t="s">
        <v>410</v>
      </c>
      <c r="B107" s="2" t="s">
        <v>194</v>
      </c>
      <c r="C107" s="29" t="s">
        <v>411</v>
      </c>
      <c r="D107" s="10"/>
      <c r="E107" s="9"/>
      <c r="F107" s="8"/>
      <c r="G107" s="89" t="s">
        <v>412</v>
      </c>
      <c r="H107" s="101" t="s">
        <v>358</v>
      </c>
      <c r="I107" s="85">
        <f>I97-I106</f>
        <v>-7.1030000000000131</v>
      </c>
      <c r="J107" s="85">
        <f t="shared" ref="J107:S107" si="36">J97-J106</f>
        <v>12.933000000000009</v>
      </c>
      <c r="K107" s="85">
        <f t="shared" si="36"/>
        <v>-1.3322676295501878E-14</v>
      </c>
      <c r="L107" s="85">
        <f t="shared" si="36"/>
        <v>0.48000000000001553</v>
      </c>
      <c r="M107" s="85">
        <f t="shared" si="36"/>
        <v>-0.34799999999999187</v>
      </c>
      <c r="N107" s="85">
        <f t="shared" si="36"/>
        <v>0</v>
      </c>
      <c r="O107" s="85">
        <f>O97-O106</f>
        <v>-0.20300000000001717</v>
      </c>
      <c r="P107" s="85">
        <f t="shared" si="36"/>
        <v>0.35999999999999588</v>
      </c>
      <c r="Q107" s="85">
        <f t="shared" si="36"/>
        <v>-0.39500000000000668</v>
      </c>
      <c r="R107" s="85">
        <f t="shared" si="36"/>
        <v>0.16200000000000259</v>
      </c>
      <c r="S107" s="85">
        <f t="shared" si="36"/>
        <v>-0.18199999999998084</v>
      </c>
    </row>
    <row r="108" spans="1:20" s="40" customFormat="1" x14ac:dyDescent="0.2">
      <c r="A108" s="29"/>
      <c r="B108" s="2"/>
      <c r="C108" s="29"/>
      <c r="D108" s="10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</row>
    <row r="109" spans="1:20" s="40" customFormat="1" x14ac:dyDescent="0.2">
      <c r="A109" s="29"/>
      <c r="B109" s="2"/>
      <c r="C109" s="29"/>
      <c r="D109" s="10"/>
      <c r="E109" s="9"/>
      <c r="F109" s="8"/>
      <c r="G109" s="94" t="s">
        <v>413</v>
      </c>
      <c r="H109" s="87">
        <f>H105</f>
        <v>2011</v>
      </c>
      <c r="I109" s="87">
        <f t="shared" ref="I109:S109" si="37">I105</f>
        <v>2012</v>
      </c>
      <c r="J109" s="87">
        <f t="shared" si="37"/>
        <v>2013</v>
      </c>
      <c r="K109" s="87">
        <f t="shared" si="37"/>
        <v>2014</v>
      </c>
      <c r="L109" s="87">
        <f t="shared" si="37"/>
        <v>2015</v>
      </c>
      <c r="M109" s="87">
        <f t="shared" si="37"/>
        <v>2016</v>
      </c>
      <c r="N109" s="87">
        <f t="shared" si="37"/>
        <v>2017</v>
      </c>
      <c r="O109" s="87">
        <f t="shared" si="37"/>
        <v>2018</v>
      </c>
      <c r="P109" s="87">
        <f t="shared" si="37"/>
        <v>2019</v>
      </c>
      <c r="Q109" s="87">
        <f t="shared" si="37"/>
        <v>2020</v>
      </c>
      <c r="R109" s="87">
        <f t="shared" si="37"/>
        <v>2021</v>
      </c>
      <c r="S109" s="87">
        <f t="shared" si="37"/>
        <v>2022</v>
      </c>
    </row>
    <row r="110" spans="1:20" s="4" customFormat="1" x14ac:dyDescent="0.2">
      <c r="A110" s="8" t="s">
        <v>414</v>
      </c>
      <c r="B110" s="2" t="s">
        <v>415</v>
      </c>
      <c r="C110" s="34" t="s">
        <v>190</v>
      </c>
      <c r="D110" s="10"/>
      <c r="E110" s="9"/>
      <c r="F110" s="8"/>
      <c r="G110" s="103" t="s">
        <v>191</v>
      </c>
      <c r="H110" s="105">
        <f t="shared" ref="H110:S110" si="38">H33+H38+H41-H45</f>
        <v>14.182000000000006</v>
      </c>
      <c r="I110" s="77">
        <f t="shared" si="38"/>
        <v>40.413000000000011</v>
      </c>
      <c r="J110" s="77">
        <f t="shared" si="38"/>
        <v>21.942999999999991</v>
      </c>
      <c r="K110" s="77">
        <f t="shared" si="38"/>
        <v>4.2350000000000136</v>
      </c>
      <c r="L110" s="77">
        <f t="shared" si="38"/>
        <v>6.2539999999999836</v>
      </c>
      <c r="M110" s="77">
        <f t="shared" si="38"/>
        <v>56.22999999999999</v>
      </c>
      <c r="N110" s="77">
        <f t="shared" si="38"/>
        <v>23.551000000000009</v>
      </c>
      <c r="O110" s="77">
        <f t="shared" si="38"/>
        <v>9.5260000000000158</v>
      </c>
      <c r="P110" s="77">
        <f t="shared" si="38"/>
        <v>17.440000000000005</v>
      </c>
      <c r="Q110" s="77">
        <f t="shared" si="38"/>
        <v>26.095000000000006</v>
      </c>
      <c r="R110" s="77">
        <f t="shared" si="38"/>
        <v>23.137999999999998</v>
      </c>
      <c r="S110" s="77">
        <f t="shared" si="38"/>
        <v>29.181999999999977</v>
      </c>
    </row>
    <row r="111" spans="1:20" s="4" customFormat="1" x14ac:dyDescent="0.2">
      <c r="A111" s="8" t="s">
        <v>416</v>
      </c>
      <c r="B111" s="2" t="s">
        <v>197</v>
      </c>
      <c r="C111" s="8" t="s">
        <v>417</v>
      </c>
      <c r="D111" s="10"/>
      <c r="E111" s="106">
        <v>0</v>
      </c>
      <c r="F111" s="8"/>
      <c r="G111" s="46" t="s">
        <v>193</v>
      </c>
      <c r="H111" s="107">
        <f t="shared" ref="H111:S111" si="39">H110/H33</f>
        <v>0.1710756462683507</v>
      </c>
      <c r="I111" s="108">
        <f t="shared" si="39"/>
        <v>0.34047195801073332</v>
      </c>
      <c r="J111" s="108">
        <f t="shared" si="39"/>
        <v>0.23044286449417664</v>
      </c>
      <c r="K111" s="108">
        <f t="shared" si="39"/>
        <v>5.2661029594628372E-2</v>
      </c>
      <c r="L111" s="108">
        <f t="shared" si="39"/>
        <v>6.8906248278445409E-2</v>
      </c>
      <c r="M111" s="108">
        <f t="shared" si="39"/>
        <v>0.36024781051593019</v>
      </c>
      <c r="N111" s="108">
        <f t="shared" si="39"/>
        <v>0.19208998075103592</v>
      </c>
      <c r="O111" s="108">
        <f t="shared" si="39"/>
        <v>6.781326081694844E-2</v>
      </c>
      <c r="P111" s="108">
        <f t="shared" si="39"/>
        <v>0.10261720956505369</v>
      </c>
      <c r="Q111" s="108">
        <f t="shared" si="39"/>
        <v>0.16057769819146256</v>
      </c>
      <c r="R111" s="108">
        <f t="shared" si="39"/>
        <v>0.13503828555420674</v>
      </c>
      <c r="S111" s="108">
        <f t="shared" si="39"/>
        <v>0.15901437461175461</v>
      </c>
    </row>
    <row r="112" spans="1:20" s="4" customFormat="1" x14ac:dyDescent="0.2">
      <c r="A112" s="8" t="s">
        <v>418</v>
      </c>
      <c r="B112" s="2" t="s">
        <v>200</v>
      </c>
      <c r="C112" s="34" t="s">
        <v>195</v>
      </c>
      <c r="D112" s="10"/>
      <c r="E112" s="109"/>
      <c r="F112" s="8"/>
      <c r="G112" s="110" t="s">
        <v>196</v>
      </c>
      <c r="H112" s="111">
        <f t="shared" ref="H112:S112" si="40">-H33/(H38+H41)</f>
        <v>0.83501042516544288</v>
      </c>
      <c r="I112" s="111">
        <f t="shared" si="40"/>
        <v>1.0760799601106026</v>
      </c>
      <c r="J112" s="111">
        <f t="shared" si="40"/>
        <v>0.8815779728178349</v>
      </c>
      <c r="K112" s="111">
        <f t="shared" si="40"/>
        <v>0.7221364175137388</v>
      </c>
      <c r="L112" s="111">
        <f t="shared" si="40"/>
        <v>0.83371760837015318</v>
      </c>
      <c r="M112" s="111">
        <f t="shared" si="40"/>
        <v>1.3547572343638794</v>
      </c>
      <c r="N112" s="111">
        <f t="shared" si="40"/>
        <v>1.0650936921753786</v>
      </c>
      <c r="O112" s="111">
        <f t="shared" si="40"/>
        <v>0.95855282910718687</v>
      </c>
      <c r="P112" s="111">
        <f t="shared" si="40"/>
        <v>1.0109450842295613</v>
      </c>
      <c r="Q112" s="111">
        <f t="shared" si="40"/>
        <v>1.0690406020577323</v>
      </c>
      <c r="R112" s="111">
        <f t="shared" si="40"/>
        <v>1.0162390425014531</v>
      </c>
      <c r="S112" s="111">
        <f t="shared" si="40"/>
        <v>1.0244618613790639</v>
      </c>
    </row>
    <row r="113" spans="1:20" s="4" customFormat="1" x14ac:dyDescent="0.2">
      <c r="A113" s="8" t="s">
        <v>419</v>
      </c>
      <c r="B113" s="2" t="s">
        <v>420</v>
      </c>
      <c r="C113" s="8" t="s">
        <v>198</v>
      </c>
      <c r="D113" s="10"/>
      <c r="E113" s="109"/>
      <c r="F113" s="8"/>
      <c r="G113" s="103" t="s">
        <v>199</v>
      </c>
      <c r="H113" s="105">
        <f t="shared" ref="H113:S113" si="41">H46</f>
        <v>-16.379999999999995</v>
      </c>
      <c r="I113" s="105">
        <f t="shared" si="41"/>
        <v>8.3920000000000101</v>
      </c>
      <c r="J113" s="105">
        <f t="shared" si="41"/>
        <v>-12.791000000000011</v>
      </c>
      <c r="K113" s="105">
        <f t="shared" si="41"/>
        <v>-30.943999999999988</v>
      </c>
      <c r="L113" s="105">
        <f t="shared" si="41"/>
        <v>-18.102000000000018</v>
      </c>
      <c r="M113" s="105">
        <f t="shared" si="41"/>
        <v>40.87299999999999</v>
      </c>
      <c r="N113" s="105">
        <f t="shared" si="41"/>
        <v>7.4930000000000092</v>
      </c>
      <c r="O113" s="105">
        <f t="shared" si="41"/>
        <v>-6.0739999999999839</v>
      </c>
      <c r="P113" s="105">
        <f t="shared" si="41"/>
        <v>1.8400000000000034</v>
      </c>
      <c r="Q113" s="105">
        <f t="shared" si="41"/>
        <v>10.495000000000005</v>
      </c>
      <c r="R113" s="105">
        <f t="shared" si="41"/>
        <v>2.7379999999999995</v>
      </c>
      <c r="S113" s="105">
        <f t="shared" si="41"/>
        <v>4.3819999999999766</v>
      </c>
    </row>
    <row r="114" spans="1:20" s="4" customFormat="1" x14ac:dyDescent="0.2">
      <c r="A114" s="8" t="s">
        <v>421</v>
      </c>
      <c r="B114" s="2" t="s">
        <v>422</v>
      </c>
      <c r="C114" s="8" t="s">
        <v>201</v>
      </c>
      <c r="D114" s="106">
        <v>-0.3</v>
      </c>
      <c r="E114" s="106">
        <v>0</v>
      </c>
      <c r="F114" s="8"/>
      <c r="G114" s="110" t="s">
        <v>202</v>
      </c>
      <c r="H114" s="112">
        <f t="shared" ref="H114:S114" si="42">H46/H33</f>
        <v>-0.19758983823689061</v>
      </c>
      <c r="I114" s="113">
        <f t="shared" si="42"/>
        <v>7.07010286696379E-2</v>
      </c>
      <c r="J114" s="113">
        <f t="shared" si="42"/>
        <v>-0.1343296121653838</v>
      </c>
      <c r="K114" s="113">
        <f t="shared" si="42"/>
        <v>-0.3847799054961451</v>
      </c>
      <c r="L114" s="113">
        <f t="shared" si="42"/>
        <v>-0.19944689899846871</v>
      </c>
      <c r="M114" s="113">
        <f t="shared" si="42"/>
        <v>0.26186037274084323</v>
      </c>
      <c r="N114" s="113">
        <f t="shared" si="42"/>
        <v>6.1115461159505474E-2</v>
      </c>
      <c r="O114" s="113">
        <f t="shared" si="42"/>
        <v>-4.3239318308014175E-2</v>
      </c>
      <c r="P114" s="113">
        <f t="shared" si="42"/>
        <v>1.0826586330257975E-2</v>
      </c>
      <c r="Q114" s="113">
        <f t="shared" si="42"/>
        <v>6.4581833397945959E-2</v>
      </c>
      <c r="R114" s="113">
        <f t="shared" si="42"/>
        <v>1.5979549911289567E-2</v>
      </c>
      <c r="S114" s="113">
        <f t="shared" si="42"/>
        <v>2.3877766758573966E-2</v>
      </c>
    </row>
    <row r="115" spans="1:20" s="4" customFormat="1" x14ac:dyDescent="0.2">
      <c r="A115" s="8" t="s">
        <v>423</v>
      </c>
      <c r="B115" s="2" t="s">
        <v>424</v>
      </c>
      <c r="C115" s="8" t="s">
        <v>204</v>
      </c>
      <c r="D115" s="10"/>
      <c r="E115" s="109"/>
      <c r="F115" s="8"/>
      <c r="G115" s="46" t="s">
        <v>205</v>
      </c>
      <c r="H115" s="105">
        <f t="shared" ref="H115:S115" si="43">H29+H30</f>
        <v>284.10000000000002</v>
      </c>
      <c r="I115" s="105">
        <f t="shared" si="43"/>
        <v>292.185</v>
      </c>
      <c r="J115" s="105">
        <f t="shared" si="43"/>
        <v>279.39499999999998</v>
      </c>
      <c r="K115" s="105">
        <f t="shared" si="43"/>
        <v>248.45199999999997</v>
      </c>
      <c r="L115" s="105">
        <f t="shared" si="43"/>
        <v>230.83699999999996</v>
      </c>
      <c r="M115" s="105">
        <f t="shared" si="43"/>
        <v>271.738</v>
      </c>
      <c r="N115" s="105">
        <f t="shared" si="43"/>
        <v>279.26</v>
      </c>
      <c r="O115" s="105">
        <f t="shared" si="43"/>
        <v>273.18700000000001</v>
      </c>
      <c r="P115" s="105">
        <f t="shared" si="43"/>
        <v>275.02600000000007</v>
      </c>
      <c r="Q115" s="105">
        <f t="shared" si="43"/>
        <v>285.52100000000007</v>
      </c>
      <c r="R115" s="105">
        <f t="shared" si="43"/>
        <v>288.25900000000007</v>
      </c>
      <c r="S115" s="105">
        <f t="shared" si="43"/>
        <v>292.6400000000001</v>
      </c>
    </row>
    <row r="116" spans="1:20" s="4" customFormat="1" x14ac:dyDescent="0.2">
      <c r="A116" s="8"/>
      <c r="B116" s="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</row>
    <row r="117" spans="1:20" s="4" customFormat="1" x14ac:dyDescent="0.2">
      <c r="A117" s="8"/>
      <c r="B117" s="2"/>
      <c r="C117" s="10"/>
      <c r="D117" s="10"/>
      <c r="E117" s="8"/>
      <c r="F117" s="8"/>
      <c r="G117" s="94" t="s">
        <v>206</v>
      </c>
      <c r="H117" s="87">
        <f t="shared" ref="H117:S117" si="44">H105</f>
        <v>2011</v>
      </c>
      <c r="I117" s="87">
        <f t="shared" si="44"/>
        <v>2012</v>
      </c>
      <c r="J117" s="87">
        <f t="shared" si="44"/>
        <v>2013</v>
      </c>
      <c r="K117" s="87">
        <f t="shared" si="44"/>
        <v>2014</v>
      </c>
      <c r="L117" s="87">
        <f t="shared" si="44"/>
        <v>2015</v>
      </c>
      <c r="M117" s="87">
        <f t="shared" si="44"/>
        <v>2016</v>
      </c>
      <c r="N117" s="87">
        <f t="shared" si="44"/>
        <v>2017</v>
      </c>
      <c r="O117" s="87">
        <f t="shared" si="44"/>
        <v>2018</v>
      </c>
      <c r="P117" s="87">
        <f t="shared" si="44"/>
        <v>2019</v>
      </c>
      <c r="Q117" s="87">
        <f t="shared" si="44"/>
        <v>2020</v>
      </c>
      <c r="R117" s="87">
        <f t="shared" si="44"/>
        <v>2021</v>
      </c>
      <c r="S117" s="87">
        <f t="shared" si="44"/>
        <v>2022</v>
      </c>
    </row>
    <row r="118" spans="1:20" s="4" customFormat="1" x14ac:dyDescent="0.2">
      <c r="A118" s="34" t="s">
        <v>425</v>
      </c>
      <c r="B118" s="2" t="s">
        <v>426</v>
      </c>
      <c r="C118" s="10" t="s">
        <v>208</v>
      </c>
      <c r="D118" s="10"/>
      <c r="E118" s="109"/>
      <c r="F118" s="37"/>
      <c r="G118" s="103" t="s">
        <v>209</v>
      </c>
      <c r="H118" s="105">
        <f t="shared" ref="H118:S118" si="45">H6+H12</f>
        <v>2.1110000000000002</v>
      </c>
      <c r="I118" s="77">
        <f t="shared" si="45"/>
        <v>0.92500000000000004</v>
      </c>
      <c r="J118" s="77">
        <f t="shared" si="45"/>
        <v>1.736</v>
      </c>
      <c r="K118" s="77">
        <f t="shared" si="45"/>
        <v>7.4829999999999997</v>
      </c>
      <c r="L118" s="77">
        <f t="shared" si="45"/>
        <v>12.79</v>
      </c>
      <c r="M118" s="77">
        <f t="shared" si="45"/>
        <v>68.516000000000005</v>
      </c>
      <c r="N118" s="77">
        <f t="shared" si="45"/>
        <v>62.265999999999998</v>
      </c>
      <c r="O118" s="77">
        <f t="shared" si="45"/>
        <v>3</v>
      </c>
      <c r="P118" s="77">
        <f t="shared" si="45"/>
        <v>17</v>
      </c>
      <c r="Q118" s="77">
        <f t="shared" si="45"/>
        <v>16</v>
      </c>
      <c r="R118" s="77">
        <f t="shared" si="45"/>
        <v>22</v>
      </c>
      <c r="S118" s="77">
        <f t="shared" si="45"/>
        <v>48</v>
      </c>
    </row>
    <row r="119" spans="1:20" s="4" customFormat="1" x14ac:dyDescent="0.2">
      <c r="A119" s="8" t="s">
        <v>427</v>
      </c>
      <c r="B119" s="2" t="s">
        <v>428</v>
      </c>
      <c r="C119" s="8" t="s">
        <v>42</v>
      </c>
      <c r="D119" s="10"/>
      <c r="E119" s="109"/>
      <c r="F119" s="37"/>
      <c r="G119" s="110" t="s">
        <v>211</v>
      </c>
      <c r="H119" s="105">
        <f t="shared" ref="H119:S119" si="46">H19</f>
        <v>10.050000000000001</v>
      </c>
      <c r="I119" s="105">
        <f t="shared" si="46"/>
        <v>14.765000000000001</v>
      </c>
      <c r="J119" s="105">
        <f t="shared" si="46"/>
        <v>2.617</v>
      </c>
      <c r="K119" s="105">
        <f t="shared" si="46"/>
        <v>4.6379999999999999</v>
      </c>
      <c r="L119" s="105">
        <f t="shared" si="46"/>
        <v>3.46</v>
      </c>
      <c r="M119" s="105">
        <f t="shared" si="46"/>
        <v>4.9130000000000003</v>
      </c>
      <c r="N119" s="105">
        <f t="shared" si="46"/>
        <v>45.875999999999998</v>
      </c>
      <c r="O119" s="105">
        <f t="shared" si="46"/>
        <v>6</v>
      </c>
      <c r="P119" s="105">
        <f t="shared" si="46"/>
        <v>7</v>
      </c>
      <c r="Q119" s="105">
        <f t="shared" si="46"/>
        <v>7</v>
      </c>
      <c r="R119" s="105">
        <f t="shared" si="46"/>
        <v>9</v>
      </c>
      <c r="S119" s="105">
        <f t="shared" si="46"/>
        <v>9</v>
      </c>
    </row>
    <row r="120" spans="1:20" s="4" customFormat="1" x14ac:dyDescent="0.2">
      <c r="A120" s="8" t="s">
        <v>429</v>
      </c>
      <c r="B120" s="2" t="s">
        <v>203</v>
      </c>
      <c r="C120" s="8" t="s">
        <v>430</v>
      </c>
      <c r="D120" s="10"/>
      <c r="E120" s="109"/>
      <c r="F120" s="37"/>
      <c r="G120" s="110" t="s">
        <v>212</v>
      </c>
      <c r="H120" s="105">
        <f t="shared" ref="H120:S120" si="47">H119-H118</f>
        <v>7.9390000000000001</v>
      </c>
      <c r="I120" s="77">
        <f t="shared" si="47"/>
        <v>13.84</v>
      </c>
      <c r="J120" s="77">
        <f t="shared" si="47"/>
        <v>0.88100000000000001</v>
      </c>
      <c r="K120" s="77">
        <f t="shared" si="47"/>
        <v>-2.8449999999999998</v>
      </c>
      <c r="L120" s="77">
        <f t="shared" si="47"/>
        <v>-9.3299999999999983</v>
      </c>
      <c r="M120" s="77">
        <f>M119-M118</f>
        <v>-63.603000000000009</v>
      </c>
      <c r="N120" s="77">
        <f t="shared" si="47"/>
        <v>-16.39</v>
      </c>
      <c r="O120" s="77">
        <f t="shared" si="47"/>
        <v>3</v>
      </c>
      <c r="P120" s="77">
        <f t="shared" si="47"/>
        <v>-10</v>
      </c>
      <c r="Q120" s="77">
        <f t="shared" si="47"/>
        <v>-9</v>
      </c>
      <c r="R120" s="77">
        <f t="shared" si="47"/>
        <v>-13</v>
      </c>
      <c r="S120" s="77">
        <f t="shared" si="47"/>
        <v>-39</v>
      </c>
    </row>
    <row r="121" spans="1:20" s="4" customFormat="1" x14ac:dyDescent="0.2">
      <c r="A121" s="34" t="s">
        <v>431</v>
      </c>
      <c r="B121" s="2" t="s">
        <v>207</v>
      </c>
      <c r="C121" s="8" t="s">
        <v>432</v>
      </c>
      <c r="D121" s="10"/>
      <c r="E121" s="106">
        <v>0.4</v>
      </c>
      <c r="F121" s="114" t="s">
        <v>433</v>
      </c>
      <c r="G121" s="46" t="s">
        <v>213</v>
      </c>
      <c r="H121" s="115">
        <f t="shared" ref="H121:S121" si="48">H120/H33</f>
        <v>9.5767138324949638E-2</v>
      </c>
      <c r="I121" s="108">
        <f t="shared" si="48"/>
        <v>0.11659940857814435</v>
      </c>
      <c r="J121" s="108">
        <f t="shared" si="48"/>
        <v>9.2521607628569345E-3</v>
      </c>
      <c r="K121" s="108">
        <f t="shared" si="48"/>
        <v>-3.5376771947276793E-2</v>
      </c>
      <c r="L121" s="108">
        <f t="shared" si="48"/>
        <v>-0.10279745705754673</v>
      </c>
      <c r="M121" s="108">
        <f t="shared" si="48"/>
        <v>-0.4074842876088336</v>
      </c>
      <c r="N121" s="108">
        <f t="shared" si="48"/>
        <v>-0.13368242471697497</v>
      </c>
      <c r="O121" s="108">
        <f t="shared" si="48"/>
        <v>2.1356265216338963E-2</v>
      </c>
      <c r="P121" s="108">
        <f t="shared" si="48"/>
        <v>-5.8840143099228019E-2</v>
      </c>
      <c r="Q121" s="108">
        <f t="shared" si="48"/>
        <v>-5.5382229688567257E-2</v>
      </c>
      <c r="R121" s="108">
        <f t="shared" si="48"/>
        <v>-7.5870762909702127E-2</v>
      </c>
      <c r="S121" s="108">
        <f t="shared" si="48"/>
        <v>-0.21251321396266309</v>
      </c>
    </row>
    <row r="122" spans="1:20" s="4" customFormat="1" x14ac:dyDescent="0.2">
      <c r="A122" s="8" t="s">
        <v>434</v>
      </c>
      <c r="B122" s="2" t="s">
        <v>210</v>
      </c>
      <c r="C122" s="8" t="s">
        <v>435</v>
      </c>
      <c r="D122" s="116">
        <v>0</v>
      </c>
      <c r="E122" s="116">
        <v>5</v>
      </c>
      <c r="F122" s="37"/>
      <c r="G122" s="100" t="s">
        <v>215</v>
      </c>
      <c r="H122" s="111">
        <f t="shared" ref="H122:S122" si="49">H120/H110</f>
        <v>0.55979410520377926</v>
      </c>
      <c r="I122" s="111">
        <f t="shared" si="49"/>
        <v>0.34246405859500645</v>
      </c>
      <c r="J122" s="111">
        <f t="shared" si="49"/>
        <v>4.0149478193501363E-2</v>
      </c>
      <c r="K122" s="111">
        <f t="shared" si="49"/>
        <v>-0.67178276269185133</v>
      </c>
      <c r="L122" s="111">
        <f t="shared" si="49"/>
        <v>-1.4918452190598053</v>
      </c>
      <c r="M122" s="111">
        <f>M120/M110</f>
        <v>-1.1311221767739645</v>
      </c>
      <c r="N122" s="111">
        <f t="shared" si="49"/>
        <v>-0.69593647828117677</v>
      </c>
      <c r="O122" s="111">
        <f t="shared" si="49"/>
        <v>0.31492756665966776</v>
      </c>
      <c r="P122" s="111">
        <f t="shared" si="49"/>
        <v>-0.57339449541284393</v>
      </c>
      <c r="Q122" s="111">
        <f t="shared" si="49"/>
        <v>-0.34489365778884834</v>
      </c>
      <c r="R122" s="111">
        <f t="shared" si="49"/>
        <v>-0.56184631342380509</v>
      </c>
      <c r="S122" s="111">
        <f t="shared" si="49"/>
        <v>-1.3364402714001793</v>
      </c>
    </row>
    <row r="123" spans="1:20" s="4" customFormat="1" x14ac:dyDescent="0.2">
      <c r="A123" s="8" t="s">
        <v>436</v>
      </c>
      <c r="B123" s="2" t="s">
        <v>437</v>
      </c>
      <c r="C123" s="8" t="s">
        <v>217</v>
      </c>
      <c r="D123" s="10"/>
      <c r="E123" s="109"/>
      <c r="F123" s="37"/>
      <c r="G123" s="110" t="s">
        <v>218</v>
      </c>
      <c r="H123" s="105">
        <f t="shared" ref="H123:S123" si="50">-(H75+H77+H78+H79+H80+H81)</f>
        <v>0</v>
      </c>
      <c r="I123" s="105">
        <f t="shared" si="50"/>
        <v>0.311</v>
      </c>
      <c r="J123" s="105">
        <f t="shared" si="50"/>
        <v>0</v>
      </c>
      <c r="K123" s="105">
        <f t="shared" si="50"/>
        <v>0</v>
      </c>
      <c r="L123" s="105">
        <f t="shared" si="50"/>
        <v>0</v>
      </c>
      <c r="M123" s="105">
        <f t="shared" si="50"/>
        <v>0</v>
      </c>
      <c r="N123" s="105">
        <f t="shared" si="50"/>
        <v>0</v>
      </c>
      <c r="O123" s="105">
        <f t="shared" si="50"/>
        <v>0</v>
      </c>
      <c r="P123" s="105">
        <f t="shared" si="50"/>
        <v>0</v>
      </c>
      <c r="Q123" s="105">
        <f t="shared" si="50"/>
        <v>0</v>
      </c>
      <c r="R123" s="105">
        <f t="shared" si="50"/>
        <v>0</v>
      </c>
      <c r="S123" s="105">
        <f t="shared" si="50"/>
        <v>0</v>
      </c>
    </row>
    <row r="124" spans="1:20" s="4" customFormat="1" x14ac:dyDescent="0.2">
      <c r="A124" s="8" t="s">
        <v>438</v>
      </c>
      <c r="B124" s="2" t="s">
        <v>439</v>
      </c>
      <c r="C124" s="8" t="s">
        <v>440</v>
      </c>
      <c r="D124" s="10"/>
      <c r="E124" s="116">
        <v>1.2</v>
      </c>
      <c r="F124" s="114" t="s">
        <v>433</v>
      </c>
      <c r="G124" s="110" t="s">
        <v>220</v>
      </c>
      <c r="H124" s="117" t="e">
        <f t="shared" ref="H124:S124" si="51">H110/H123</f>
        <v>#DIV/0!</v>
      </c>
      <c r="I124" s="111">
        <f t="shared" si="51"/>
        <v>129.94533762057881</v>
      </c>
      <c r="J124" s="111" t="e">
        <f t="shared" si="51"/>
        <v>#DIV/0!</v>
      </c>
      <c r="K124" s="111" t="e">
        <f t="shared" si="51"/>
        <v>#DIV/0!</v>
      </c>
      <c r="L124" s="111" t="e">
        <f t="shared" si="51"/>
        <v>#DIV/0!</v>
      </c>
      <c r="M124" s="111" t="e">
        <f t="shared" si="51"/>
        <v>#DIV/0!</v>
      </c>
      <c r="N124" s="111" t="e">
        <f t="shared" si="51"/>
        <v>#DIV/0!</v>
      </c>
      <c r="O124" s="111" t="e">
        <f t="shared" si="51"/>
        <v>#DIV/0!</v>
      </c>
      <c r="P124" s="111" t="e">
        <f t="shared" si="51"/>
        <v>#DIV/0!</v>
      </c>
      <c r="Q124" s="111" t="e">
        <f t="shared" si="51"/>
        <v>#DIV/0!</v>
      </c>
      <c r="R124" s="111" t="e">
        <f t="shared" si="51"/>
        <v>#DIV/0!</v>
      </c>
      <c r="S124" s="111" t="e">
        <f t="shared" si="51"/>
        <v>#DIV/0!</v>
      </c>
    </row>
    <row r="125" spans="1:20" s="4" customFormat="1" x14ac:dyDescent="0.2">
      <c r="A125" s="38" t="s">
        <v>441</v>
      </c>
      <c r="B125" s="2" t="s">
        <v>442</v>
      </c>
      <c r="C125" s="8" t="s">
        <v>222</v>
      </c>
      <c r="D125" s="10"/>
      <c r="E125" s="116">
        <v>0</v>
      </c>
      <c r="F125" s="37"/>
      <c r="G125" s="103" t="s">
        <v>223</v>
      </c>
      <c r="H125" s="105">
        <f t="shared" ref="H125:S125" si="52">H5-H20</f>
        <v>-6.0650000000000004</v>
      </c>
      <c r="I125" s="105">
        <f t="shared" si="52"/>
        <v>-12.393000000000001</v>
      </c>
      <c r="J125" s="105">
        <f t="shared" si="52"/>
        <v>0.30900000000000016</v>
      </c>
      <c r="K125" s="105">
        <f t="shared" si="52"/>
        <v>4.5440000000000005</v>
      </c>
      <c r="L125" s="105">
        <f t="shared" si="52"/>
        <v>11.285999999999998</v>
      </c>
      <c r="M125" s="105">
        <f t="shared" si="52"/>
        <v>66.545000000000002</v>
      </c>
      <c r="N125" s="105">
        <f t="shared" si="52"/>
        <v>70.552999999999997</v>
      </c>
      <c r="O125" s="105">
        <f t="shared" si="52"/>
        <v>8</v>
      </c>
      <c r="P125" s="105">
        <f t="shared" si="52"/>
        <v>26.8</v>
      </c>
      <c r="Q125" s="105">
        <f t="shared" si="52"/>
        <v>28.5</v>
      </c>
      <c r="R125" s="105">
        <f t="shared" si="52"/>
        <v>31.8</v>
      </c>
      <c r="S125" s="105">
        <f t="shared" si="52"/>
        <v>60.8</v>
      </c>
    </row>
    <row r="126" spans="1:20" s="4" customFormat="1" x14ac:dyDescent="0.2">
      <c r="A126" s="34" t="s">
        <v>443</v>
      </c>
      <c r="B126" s="2" t="s">
        <v>444</v>
      </c>
      <c r="C126" s="8" t="s">
        <v>225</v>
      </c>
      <c r="D126" s="10"/>
      <c r="E126" s="116">
        <v>1</v>
      </c>
      <c r="F126" s="114" t="s">
        <v>433</v>
      </c>
      <c r="G126" s="110" t="s">
        <v>226</v>
      </c>
      <c r="H126" s="117">
        <f t="shared" ref="H126:S126" si="53">H5/H20</f>
        <v>0.39651741293532339</v>
      </c>
      <c r="I126" s="117">
        <f t="shared" si="53"/>
        <v>0.16065018625126989</v>
      </c>
      <c r="J126" s="117">
        <f t="shared" si="53"/>
        <v>1.1180741306839894</v>
      </c>
      <c r="K126" s="117">
        <f t="shared" si="53"/>
        <v>1.9797326433807676</v>
      </c>
      <c r="L126" s="117">
        <f t="shared" si="53"/>
        <v>4.2618497109826583</v>
      </c>
      <c r="M126" s="117">
        <f t="shared" si="53"/>
        <v>14.544677386525544</v>
      </c>
      <c r="N126" s="117" t="e">
        <f t="shared" si="53"/>
        <v>#DIV/0!</v>
      </c>
      <c r="O126" s="117" t="e">
        <f t="shared" si="53"/>
        <v>#DIV/0!</v>
      </c>
      <c r="P126" s="117" t="e">
        <f t="shared" si="53"/>
        <v>#DIV/0!</v>
      </c>
      <c r="Q126" s="117" t="e">
        <f t="shared" si="53"/>
        <v>#DIV/0!</v>
      </c>
      <c r="R126" s="117" t="e">
        <f t="shared" si="53"/>
        <v>#DIV/0!</v>
      </c>
      <c r="S126" s="117" t="e">
        <f t="shared" si="53"/>
        <v>#DIV/0!</v>
      </c>
    </row>
    <row r="127" spans="1:20" s="4" customFormat="1" x14ac:dyDescent="0.2">
      <c r="A127" s="34" t="s">
        <v>445</v>
      </c>
      <c r="B127" s="2" t="s">
        <v>214</v>
      </c>
      <c r="C127" s="34" t="s">
        <v>228</v>
      </c>
      <c r="D127" s="10"/>
      <c r="E127" s="116">
        <v>1</v>
      </c>
      <c r="F127" s="37"/>
      <c r="G127" s="46" t="s">
        <v>229</v>
      </c>
      <c r="H127" s="117">
        <f t="shared" ref="H127:S127" si="54">-H6/((H38+H41-H45+H47)/12)</f>
        <v>0.36865313250382015</v>
      </c>
      <c r="I127" s="117">
        <f t="shared" si="54"/>
        <v>0.14179142608962242</v>
      </c>
      <c r="J127" s="117">
        <f t="shared" si="54"/>
        <v>0.28428723491361668</v>
      </c>
      <c r="K127" s="117">
        <f t="shared" si="54"/>
        <v>1.1786572159873991</v>
      </c>
      <c r="L127" s="117">
        <f t="shared" si="54"/>
        <v>1.8163528562468192</v>
      </c>
      <c r="M127" s="117">
        <f t="shared" si="54"/>
        <v>8.2336941826812353</v>
      </c>
      <c r="N127" s="117">
        <f t="shared" si="54"/>
        <v>7.5455647115850697</v>
      </c>
      <c r="O127" s="117">
        <f t="shared" si="54"/>
        <v>0.27491828817545894</v>
      </c>
      <c r="P127" s="117">
        <f t="shared" si="54"/>
        <v>1.3375996642887118</v>
      </c>
      <c r="Q127" s="117">
        <f t="shared" si="54"/>
        <v>1.4075008063806704</v>
      </c>
      <c r="R127" s="117">
        <f t="shared" si="54"/>
        <v>1.7813044006315537</v>
      </c>
      <c r="S127" s="117">
        <f t="shared" si="54"/>
        <v>3.7321169396641096</v>
      </c>
    </row>
    <row r="128" spans="1:20" s="4" customFormat="1" x14ac:dyDescent="0.2">
      <c r="A128" s="34"/>
      <c r="B128" s="2"/>
      <c r="C128" s="34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</row>
    <row r="129" spans="1:21" s="4" customFormat="1" x14ac:dyDescent="0.2">
      <c r="A129" s="8"/>
      <c r="B129" s="2"/>
      <c r="C129" s="8"/>
      <c r="D129" s="10"/>
      <c r="E129" s="9"/>
      <c r="F129" s="37"/>
      <c r="G129" s="94" t="s">
        <v>230</v>
      </c>
      <c r="H129" s="87">
        <f t="shared" ref="H129:S129" si="55">H117</f>
        <v>2011</v>
      </c>
      <c r="I129" s="87">
        <f t="shared" si="55"/>
        <v>2012</v>
      </c>
      <c r="J129" s="87">
        <f t="shared" si="55"/>
        <v>2013</v>
      </c>
      <c r="K129" s="87">
        <f t="shared" si="55"/>
        <v>2014</v>
      </c>
      <c r="L129" s="87">
        <f t="shared" si="55"/>
        <v>2015</v>
      </c>
      <c r="M129" s="87">
        <f t="shared" si="55"/>
        <v>2016</v>
      </c>
      <c r="N129" s="87">
        <f t="shared" si="55"/>
        <v>2017</v>
      </c>
      <c r="O129" s="87">
        <f t="shared" si="55"/>
        <v>2018</v>
      </c>
      <c r="P129" s="87">
        <f t="shared" si="55"/>
        <v>2019</v>
      </c>
      <c r="Q129" s="87">
        <f t="shared" si="55"/>
        <v>2020</v>
      </c>
      <c r="R129" s="87">
        <f t="shared" si="55"/>
        <v>2021</v>
      </c>
      <c r="S129" s="87">
        <f t="shared" si="55"/>
        <v>2022</v>
      </c>
    </row>
    <row r="130" spans="1:21" s="4" customFormat="1" x14ac:dyDescent="0.2">
      <c r="A130" s="34" t="s">
        <v>446</v>
      </c>
      <c r="B130" s="2" t="s">
        <v>216</v>
      </c>
      <c r="C130" s="34" t="s">
        <v>232</v>
      </c>
      <c r="D130" s="10"/>
      <c r="E130" s="106">
        <v>0.6</v>
      </c>
      <c r="F130" s="37"/>
      <c r="G130" s="103" t="s">
        <v>233</v>
      </c>
      <c r="H130" s="115">
        <f t="shared" ref="H130:S130" si="56">H17/H4</f>
        <v>0</v>
      </c>
      <c r="I130" s="115">
        <f t="shared" si="56"/>
        <v>0</v>
      </c>
      <c r="J130" s="115">
        <f t="shared" si="56"/>
        <v>0</v>
      </c>
      <c r="K130" s="115">
        <f t="shared" si="56"/>
        <v>0</v>
      </c>
      <c r="L130" s="115">
        <f t="shared" si="56"/>
        <v>0</v>
      </c>
      <c r="M130" s="115">
        <f t="shared" si="56"/>
        <v>0</v>
      </c>
      <c r="N130" s="115">
        <f t="shared" si="56"/>
        <v>0</v>
      </c>
      <c r="O130" s="115">
        <f t="shared" si="56"/>
        <v>0</v>
      </c>
      <c r="P130" s="115">
        <f t="shared" si="56"/>
        <v>0</v>
      </c>
      <c r="Q130" s="115">
        <f t="shared" si="56"/>
        <v>0</v>
      </c>
      <c r="R130" s="115">
        <f t="shared" si="56"/>
        <v>0</v>
      </c>
      <c r="S130" s="115">
        <f t="shared" si="56"/>
        <v>0</v>
      </c>
    </row>
    <row r="131" spans="1:21" s="4" customFormat="1" x14ac:dyDescent="0.2">
      <c r="A131" s="34" t="s">
        <v>447</v>
      </c>
      <c r="B131" s="2" t="s">
        <v>219</v>
      </c>
      <c r="C131" s="34" t="s">
        <v>235</v>
      </c>
      <c r="D131" s="10"/>
      <c r="E131" s="106">
        <v>0.4</v>
      </c>
      <c r="F131" s="37"/>
      <c r="G131" s="46" t="s">
        <v>236</v>
      </c>
      <c r="H131" s="115" t="e">
        <f t="shared" ref="H131:S131" si="57">H27/H17</f>
        <v>#DIV/0!</v>
      </c>
      <c r="I131" s="115" t="e">
        <f t="shared" si="57"/>
        <v>#DIV/0!</v>
      </c>
      <c r="J131" s="115" t="e">
        <f t="shared" si="57"/>
        <v>#DIV/0!</v>
      </c>
      <c r="K131" s="115" t="e">
        <f t="shared" si="57"/>
        <v>#DIV/0!</v>
      </c>
      <c r="L131" s="115" t="e">
        <f t="shared" si="57"/>
        <v>#DIV/0!</v>
      </c>
      <c r="M131" s="115" t="e">
        <f t="shared" si="57"/>
        <v>#DIV/0!</v>
      </c>
      <c r="N131" s="115" t="e">
        <f t="shared" si="57"/>
        <v>#DIV/0!</v>
      </c>
      <c r="O131" s="115" t="e">
        <f t="shared" si="57"/>
        <v>#DIV/0!</v>
      </c>
      <c r="P131" s="115" t="e">
        <f t="shared" si="57"/>
        <v>#DIV/0!</v>
      </c>
      <c r="Q131" s="115" t="e">
        <f t="shared" si="57"/>
        <v>#DIV/0!</v>
      </c>
      <c r="R131" s="115" t="e">
        <f t="shared" si="57"/>
        <v>#DIV/0!</v>
      </c>
      <c r="S131" s="115" t="e">
        <f t="shared" si="57"/>
        <v>#DIV/0!</v>
      </c>
    </row>
    <row r="132" spans="1:21" s="4" customFormat="1" x14ac:dyDescent="0.2">
      <c r="A132" s="34"/>
      <c r="B132" s="2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</row>
    <row r="133" spans="1:21" s="4" customFormat="1" x14ac:dyDescent="0.2">
      <c r="A133" s="8"/>
      <c r="B133" s="2"/>
      <c r="C133" s="8"/>
      <c r="D133" s="10"/>
      <c r="E133" s="9"/>
      <c r="F133" s="37"/>
      <c r="G133" s="94" t="s">
        <v>237</v>
      </c>
      <c r="H133" s="87">
        <f t="shared" ref="H133:S133" si="58">H117</f>
        <v>2011</v>
      </c>
      <c r="I133" s="87">
        <f t="shared" si="58"/>
        <v>2012</v>
      </c>
      <c r="J133" s="87">
        <f t="shared" si="58"/>
        <v>2013</v>
      </c>
      <c r="K133" s="87">
        <f t="shared" si="58"/>
        <v>2014</v>
      </c>
      <c r="L133" s="87">
        <f t="shared" si="58"/>
        <v>2015</v>
      </c>
      <c r="M133" s="87">
        <f t="shared" si="58"/>
        <v>2016</v>
      </c>
      <c r="N133" s="87">
        <f t="shared" si="58"/>
        <v>2017</v>
      </c>
      <c r="O133" s="87">
        <f t="shared" si="58"/>
        <v>2018</v>
      </c>
      <c r="P133" s="87">
        <f t="shared" si="58"/>
        <v>2019</v>
      </c>
      <c r="Q133" s="87">
        <f t="shared" si="58"/>
        <v>2020</v>
      </c>
      <c r="R133" s="87">
        <f t="shared" si="58"/>
        <v>2021</v>
      </c>
      <c r="S133" s="87">
        <f t="shared" si="58"/>
        <v>2022</v>
      </c>
    </row>
    <row r="134" spans="1:21" s="4" customFormat="1" x14ac:dyDescent="0.2">
      <c r="A134" s="34" t="s">
        <v>448</v>
      </c>
      <c r="B134" s="2" t="s">
        <v>221</v>
      </c>
      <c r="C134" s="39" t="s">
        <v>239</v>
      </c>
      <c r="D134" s="10"/>
      <c r="E134" s="109"/>
      <c r="F134" s="37"/>
      <c r="G134" s="110" t="s">
        <v>240</v>
      </c>
      <c r="H134" s="118">
        <f t="shared" ref="H134:S134" si="59">H10/H4</f>
        <v>0.98999035457002482</v>
      </c>
      <c r="I134" s="118">
        <f t="shared" si="59"/>
        <v>0.99422751663969433</v>
      </c>
      <c r="J134" s="118">
        <f t="shared" si="59"/>
        <v>0.99241923741570093</v>
      </c>
      <c r="K134" s="118">
        <f t="shared" si="59"/>
        <v>0.97428400185966268</v>
      </c>
      <c r="L134" s="118">
        <f t="shared" si="59"/>
        <v>0.9564064435450732</v>
      </c>
      <c r="M134" s="118">
        <f t="shared" si="59"/>
        <v>0.81225697290707699</v>
      </c>
      <c r="N134" s="118">
        <f t="shared" si="59"/>
        <v>0.8355795022617053</v>
      </c>
      <c r="O134" s="118">
        <f t="shared" si="59"/>
        <v>0.97910943522358129</v>
      </c>
      <c r="P134" s="118">
        <f t="shared" si="59"/>
        <v>0.93059655883236481</v>
      </c>
      <c r="Q134" s="118">
        <f t="shared" si="59"/>
        <v>0.92807534675253878</v>
      </c>
      <c r="R134" s="118">
        <f t="shared" si="59"/>
        <v>0.9207275120404439</v>
      </c>
      <c r="S134" s="118">
        <f t="shared" si="59"/>
        <v>0.85000542743519147</v>
      </c>
    </row>
    <row r="135" spans="1:21" s="4" customFormat="1" x14ac:dyDescent="0.2">
      <c r="A135" s="34" t="s">
        <v>449</v>
      </c>
      <c r="B135" s="2" t="s">
        <v>224</v>
      </c>
      <c r="C135" s="39" t="s">
        <v>242</v>
      </c>
      <c r="D135" s="10"/>
      <c r="E135" s="109"/>
      <c r="F135" s="37"/>
      <c r="G135" s="110" t="s">
        <v>243</v>
      </c>
      <c r="H135" s="118">
        <f t="shared" ref="H135:S135" si="60">-(H58)/H15</f>
        <v>4.4586698331265495E-2</v>
      </c>
      <c r="I135" s="118">
        <f t="shared" si="60"/>
        <v>9.7022834805638572E-2</v>
      </c>
      <c r="J135" s="118">
        <f t="shared" si="60"/>
        <v>5.8872056201393547E-2</v>
      </c>
      <c r="K135" s="118">
        <f t="shared" si="60"/>
        <v>0</v>
      </c>
      <c r="L135" s="118">
        <f t="shared" si="60"/>
        <v>0</v>
      </c>
      <c r="M135" s="118">
        <f t="shared" si="60"/>
        <v>3.2345920209084027E-3</v>
      </c>
      <c r="N135" s="118">
        <f t="shared" si="60"/>
        <v>0.1825362294588172</v>
      </c>
      <c r="O135" s="118">
        <f t="shared" si="60"/>
        <v>8.5345167863277047E-2</v>
      </c>
      <c r="P135" s="118">
        <f t="shared" si="60"/>
        <v>0</v>
      </c>
      <c r="Q135" s="118">
        <f t="shared" si="60"/>
        <v>6.5262081642864136E-2</v>
      </c>
      <c r="R135" s="118">
        <f t="shared" si="60"/>
        <v>5.9564421629465979E-2</v>
      </c>
      <c r="S135" s="118">
        <f t="shared" si="60"/>
        <v>0</v>
      </c>
    </row>
    <row r="136" spans="1:21" s="4" customFormat="1" x14ac:dyDescent="0.2">
      <c r="A136" s="34" t="s">
        <v>450</v>
      </c>
      <c r="B136" s="2" t="s">
        <v>227</v>
      </c>
      <c r="C136" s="8" t="s">
        <v>245</v>
      </c>
      <c r="D136" s="10"/>
      <c r="E136" s="109"/>
      <c r="F136" s="37"/>
      <c r="G136" s="103" t="s">
        <v>246</v>
      </c>
      <c r="H136" s="111">
        <f t="shared" ref="H136:S136" si="61">H33/H4</f>
        <v>0.20822825508143356</v>
      </c>
      <c r="I136" s="111">
        <f t="shared" si="61"/>
        <v>0.28886022656753829</v>
      </c>
      <c r="J136" s="111">
        <f t="shared" si="61"/>
        <v>0.24670122831153152</v>
      </c>
      <c r="K136" s="111">
        <f t="shared" si="61"/>
        <v>0.22523203773098746</v>
      </c>
      <c r="L136" s="111">
        <f t="shared" si="61"/>
        <v>0.26831647751292642</v>
      </c>
      <c r="M136" s="111">
        <f t="shared" si="61"/>
        <v>0.41009048489816508</v>
      </c>
      <c r="N136" s="111">
        <f t="shared" si="61"/>
        <v>0.28572294168505785</v>
      </c>
      <c r="O136" s="111">
        <f t="shared" si="61"/>
        <v>0.36682264955033067</v>
      </c>
      <c r="P136" s="111">
        <f t="shared" si="61"/>
        <v>0.44012140422843049</v>
      </c>
      <c r="Q136" s="111">
        <f t="shared" si="61"/>
        <v>0.41011437281702373</v>
      </c>
      <c r="R136" s="111">
        <f t="shared" si="61"/>
        <v>0.42713412506107468</v>
      </c>
      <c r="S136" s="111">
        <f t="shared" si="61"/>
        <v>0.45274184157810071</v>
      </c>
    </row>
    <row r="137" spans="1:21" s="4" customFormat="1" x14ac:dyDescent="0.2">
      <c r="A137" s="34" t="s">
        <v>451</v>
      </c>
      <c r="B137" s="2" t="s">
        <v>231</v>
      </c>
      <c r="C137" s="39" t="s">
        <v>248</v>
      </c>
      <c r="D137" s="10"/>
      <c r="E137" s="109"/>
      <c r="F137" s="37"/>
      <c r="G137" s="46" t="s">
        <v>249</v>
      </c>
      <c r="H137" s="111">
        <f t="shared" ref="H137:S137" si="62">H33/H15</f>
        <v>0.21033362004003747</v>
      </c>
      <c r="I137" s="111">
        <f t="shared" si="62"/>
        <v>0.29053734857775071</v>
      </c>
      <c r="J137" s="111">
        <f t="shared" si="62"/>
        <v>0.24858569746587267</v>
      </c>
      <c r="K137" s="111">
        <f t="shared" si="62"/>
        <v>0.23117698463802777</v>
      </c>
      <c r="L137" s="111">
        <f t="shared" si="62"/>
        <v>0.28054649707123319</v>
      </c>
      <c r="M137" s="111">
        <f t="shared" si="62"/>
        <v>0.50487776476752977</v>
      </c>
      <c r="N137" s="111">
        <f t="shared" si="62"/>
        <v>0.34194584825462698</v>
      </c>
      <c r="O137" s="111">
        <f t="shared" si="62"/>
        <v>0.37464928470081194</v>
      </c>
      <c r="P137" s="111">
        <f t="shared" si="62"/>
        <v>0.47294544564043767</v>
      </c>
      <c r="Q137" s="111">
        <f t="shared" si="62"/>
        <v>0.44189771256403843</v>
      </c>
      <c r="R137" s="111">
        <f t="shared" si="62"/>
        <v>0.46390937543996447</v>
      </c>
      <c r="S137" s="111">
        <f t="shared" si="62"/>
        <v>0.53263405969560107</v>
      </c>
    </row>
    <row r="138" spans="1:21" s="4" customFormat="1" x14ac:dyDescent="0.2">
      <c r="A138" s="8" t="s">
        <v>452</v>
      </c>
      <c r="B138" s="2" t="s">
        <v>234</v>
      </c>
      <c r="C138" s="39" t="s">
        <v>251</v>
      </c>
      <c r="D138" s="106">
        <v>0.5</v>
      </c>
      <c r="E138" s="106">
        <f>1/3</f>
        <v>0.33333333333333331</v>
      </c>
      <c r="F138" s="114" t="s">
        <v>433</v>
      </c>
      <c r="G138" s="100" t="s">
        <v>252</v>
      </c>
      <c r="H138" s="118">
        <f t="shared" ref="H138:S138" si="63">H27/H4</f>
        <v>0.97475358940610279</v>
      </c>
      <c r="I138" s="118">
        <f t="shared" si="63"/>
        <v>0.96406799459742287</v>
      </c>
      <c r="J138" s="118">
        <f t="shared" si="63"/>
        <v>0.99321980325252535</v>
      </c>
      <c r="K138" s="118">
        <f t="shared" si="63"/>
        <v>0.98701316887641644</v>
      </c>
      <c r="L138" s="118">
        <f t="shared" si="63"/>
        <v>0.98977416846754429</v>
      </c>
      <c r="M138" s="118">
        <f t="shared" si="63"/>
        <v>0.98709197721588171</v>
      </c>
      <c r="N138" s="118">
        <f t="shared" si="63"/>
        <v>0.8930881074618795</v>
      </c>
      <c r="O138" s="118">
        <f t="shared" si="63"/>
        <v>0.98486478581948478</v>
      </c>
      <c r="P138" s="118">
        <f t="shared" si="63"/>
        <v>0.98146565565534483</v>
      </c>
      <c r="Q138" s="118">
        <f t="shared" si="63"/>
        <v>0.98293492964002371</v>
      </c>
      <c r="R138" s="118">
        <f t="shared" si="63"/>
        <v>0.9777538464606581</v>
      </c>
      <c r="S138" s="118">
        <f t="shared" si="63"/>
        <v>0.97843087914582039</v>
      </c>
    </row>
    <row r="139" spans="1:21" s="4" customFormat="1" x14ac:dyDescent="0.2">
      <c r="A139" s="8"/>
      <c r="B139" s="2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</row>
    <row r="140" spans="1:21" s="4" customFormat="1" x14ac:dyDescent="0.2">
      <c r="A140" s="40"/>
      <c r="B140" s="2"/>
      <c r="C140" s="2"/>
      <c r="D140" s="41"/>
      <c r="E140" s="42"/>
      <c r="F140" s="37"/>
      <c r="G140" s="94" t="s">
        <v>253</v>
      </c>
      <c r="H140" s="87">
        <f t="shared" ref="H140:S140" si="64">H133</f>
        <v>2011</v>
      </c>
      <c r="I140" s="87">
        <f t="shared" si="64"/>
        <v>2012</v>
      </c>
      <c r="J140" s="87">
        <f t="shared" si="64"/>
        <v>2013</v>
      </c>
      <c r="K140" s="87">
        <f t="shared" si="64"/>
        <v>2014</v>
      </c>
      <c r="L140" s="87">
        <f t="shared" si="64"/>
        <v>2015</v>
      </c>
      <c r="M140" s="87">
        <f t="shared" si="64"/>
        <v>2016</v>
      </c>
      <c r="N140" s="87">
        <f t="shared" si="64"/>
        <v>2017</v>
      </c>
      <c r="O140" s="87">
        <f t="shared" si="64"/>
        <v>2018</v>
      </c>
      <c r="P140" s="87">
        <f t="shared" si="64"/>
        <v>2019</v>
      </c>
      <c r="Q140" s="87">
        <f t="shared" si="64"/>
        <v>2020</v>
      </c>
      <c r="R140" s="87">
        <f t="shared" si="64"/>
        <v>2021</v>
      </c>
      <c r="S140" s="87">
        <f t="shared" si="64"/>
        <v>2022</v>
      </c>
    </row>
    <row r="141" spans="1:21" s="4" customFormat="1" x14ac:dyDescent="0.2">
      <c r="A141" s="8" t="s">
        <v>453</v>
      </c>
      <c r="B141" s="2" t="s">
        <v>238</v>
      </c>
      <c r="C141" s="8" t="s">
        <v>255</v>
      </c>
      <c r="D141" s="43"/>
      <c r="E141" s="106">
        <v>0.05</v>
      </c>
      <c r="F141" s="8"/>
      <c r="G141" s="103" t="s">
        <v>256</v>
      </c>
      <c r="H141" s="108">
        <f t="shared" ref="H141:S141" si="65">H35/H33</f>
        <v>0.18912170231245251</v>
      </c>
      <c r="I141" s="108">
        <f t="shared" si="65"/>
        <v>0.12624581918666858</v>
      </c>
      <c r="J141" s="108">
        <f t="shared" si="65"/>
        <v>0.2865124289810021</v>
      </c>
      <c r="K141" s="108">
        <f t="shared" si="65"/>
        <v>0.25925142999253914</v>
      </c>
      <c r="L141" s="108">
        <f t="shared" si="65"/>
        <v>0.32502947301153579</v>
      </c>
      <c r="M141" s="108">
        <f t="shared" si="65"/>
        <v>0.20299576518223811</v>
      </c>
      <c r="N141" s="108">
        <f t="shared" si="65"/>
        <v>0.28309843072004182</v>
      </c>
      <c r="O141" s="108">
        <f t="shared" si="65"/>
        <v>0.22453265372951575</v>
      </c>
      <c r="P141" s="108">
        <f t="shared" si="65"/>
        <v>0.19486678591602336</v>
      </c>
      <c r="Q141" s="108">
        <f t="shared" si="65"/>
        <v>0.21397847477339438</v>
      </c>
      <c r="R141" s="108">
        <f t="shared" si="65"/>
        <v>0.20902978802876088</v>
      </c>
      <c r="S141" s="108">
        <f t="shared" si="65"/>
        <v>0.20101570418160619</v>
      </c>
    </row>
    <row r="142" spans="1:21" s="4" customFormat="1" x14ac:dyDescent="0.2">
      <c r="A142" s="8" t="s">
        <v>454</v>
      </c>
      <c r="B142" s="2" t="s">
        <v>241</v>
      </c>
      <c r="C142" s="8" t="s">
        <v>258</v>
      </c>
      <c r="D142" s="10"/>
      <c r="E142" s="106">
        <v>0.95</v>
      </c>
      <c r="F142" s="8"/>
      <c r="G142" s="110" t="s">
        <v>259</v>
      </c>
      <c r="H142" s="118">
        <f t="shared" ref="H142:S142" si="66">(H36+H34)/H33</f>
        <v>0.81032340558993465</v>
      </c>
      <c r="I142" s="118">
        <f t="shared" si="66"/>
        <v>0.87307177097988997</v>
      </c>
      <c r="J142" s="118">
        <f t="shared" si="66"/>
        <v>0.71348757101899796</v>
      </c>
      <c r="K142" s="118">
        <f t="shared" si="66"/>
        <v>0.74074857000746075</v>
      </c>
      <c r="L142" s="118">
        <f t="shared" si="66"/>
        <v>0.67497052698846427</v>
      </c>
      <c r="M142" s="118">
        <f t="shared" si="66"/>
        <v>0.79700423481776195</v>
      </c>
      <c r="N142" s="118">
        <f t="shared" si="66"/>
        <v>0.71690156927995818</v>
      </c>
      <c r="O142" s="118">
        <f t="shared" si="66"/>
        <v>0.77546734627048419</v>
      </c>
      <c r="P142" s="118">
        <f t="shared" si="66"/>
        <v>0.80513321408397664</v>
      </c>
      <c r="Q142" s="118">
        <f t="shared" si="66"/>
        <v>0.78602152522660551</v>
      </c>
      <c r="R142" s="118">
        <f t="shared" si="66"/>
        <v>0.79097021197123907</v>
      </c>
      <c r="S142" s="118">
        <f t="shared" si="66"/>
        <v>0.79898429581839392</v>
      </c>
    </row>
    <row r="143" spans="1:21" s="4" customFormat="1" x14ac:dyDescent="0.2">
      <c r="A143" s="8" t="s">
        <v>455</v>
      </c>
      <c r="B143" s="2" t="s">
        <v>244</v>
      </c>
      <c r="C143" s="8" t="s">
        <v>261</v>
      </c>
      <c r="D143" s="10"/>
      <c r="E143" s="106">
        <v>0.95</v>
      </c>
      <c r="F143" s="8"/>
      <c r="G143" s="46" t="s">
        <v>262</v>
      </c>
      <c r="H143" s="108">
        <f t="shared" ref="H143:S143" si="67">H38/(H38+H41)</f>
        <v>0</v>
      </c>
      <c r="I143" s="108">
        <f t="shared" si="67"/>
        <v>0</v>
      </c>
      <c r="J143" s="108">
        <f t="shared" si="67"/>
        <v>0</v>
      </c>
      <c r="K143" s="108">
        <f t="shared" si="67"/>
        <v>0</v>
      </c>
      <c r="L143" s="108">
        <f t="shared" si="67"/>
        <v>4.4092115778547342E-3</v>
      </c>
      <c r="M143" s="108">
        <f t="shared" si="67"/>
        <v>0</v>
      </c>
      <c r="N143" s="108">
        <f t="shared" si="67"/>
        <v>0</v>
      </c>
      <c r="O143" s="108">
        <f t="shared" si="67"/>
        <v>0</v>
      </c>
      <c r="P143" s="108">
        <f t="shared" si="67"/>
        <v>0</v>
      </c>
      <c r="Q143" s="108">
        <f t="shared" si="67"/>
        <v>0</v>
      </c>
      <c r="R143" s="108">
        <f t="shared" si="67"/>
        <v>0</v>
      </c>
      <c r="S143" s="108">
        <f t="shared" si="67"/>
        <v>0</v>
      </c>
    </row>
    <row r="144" spans="1:21" s="4" customFormat="1" x14ac:dyDescent="0.2">
      <c r="A144" s="8"/>
      <c r="B144" s="2"/>
      <c r="C144" s="8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</row>
    <row r="145" spans="1:19" s="4" customFormat="1" x14ac:dyDescent="0.2">
      <c r="A145" s="40"/>
      <c r="B145" s="2"/>
      <c r="C145" s="119"/>
      <c r="D145" s="41"/>
      <c r="E145" s="42"/>
      <c r="F145" s="37"/>
      <c r="G145" s="94"/>
      <c r="H145" s="87">
        <f>H140</f>
        <v>2011</v>
      </c>
      <c r="I145" s="87">
        <f t="shared" ref="I145:S145" si="68">I140</f>
        <v>2012</v>
      </c>
      <c r="J145" s="87">
        <f t="shared" si="68"/>
        <v>2013</v>
      </c>
      <c r="K145" s="87">
        <f t="shared" si="68"/>
        <v>2014</v>
      </c>
      <c r="L145" s="87">
        <f t="shared" si="68"/>
        <v>2015</v>
      </c>
      <c r="M145" s="87">
        <f t="shared" si="68"/>
        <v>2016</v>
      </c>
      <c r="N145" s="87">
        <f t="shared" si="68"/>
        <v>2017</v>
      </c>
      <c r="O145" s="87">
        <f t="shared" si="68"/>
        <v>2018</v>
      </c>
      <c r="P145" s="87">
        <f t="shared" si="68"/>
        <v>2019</v>
      </c>
      <c r="Q145" s="87">
        <f t="shared" si="68"/>
        <v>2020</v>
      </c>
      <c r="R145" s="87">
        <f t="shared" si="68"/>
        <v>2021</v>
      </c>
      <c r="S145" s="87">
        <f t="shared" si="68"/>
        <v>2022</v>
      </c>
    </row>
    <row r="146" spans="1:19" s="4" customFormat="1" x14ac:dyDescent="0.2">
      <c r="A146" s="4" t="s">
        <v>456</v>
      </c>
      <c r="B146" s="2" t="s">
        <v>247</v>
      </c>
      <c r="C146" s="8" t="s">
        <v>264</v>
      </c>
      <c r="D146" s="120">
        <v>0.5</v>
      </c>
      <c r="E146" s="121" t="s">
        <v>265</v>
      </c>
      <c r="G146" s="103" t="s">
        <v>266</v>
      </c>
      <c r="H146" s="111" t="str">
        <f t="shared" ref="H146:S146" si="69">IF(H141&lt;$D$146,$E$146,H35/H4)</f>
        <v>N/A</v>
      </c>
      <c r="I146" s="111" t="str">
        <f t="shared" si="69"/>
        <v>N/A</v>
      </c>
      <c r="J146" s="111" t="str">
        <f t="shared" si="69"/>
        <v>N/A</v>
      </c>
      <c r="K146" s="111" t="str">
        <f t="shared" si="69"/>
        <v>N/A</v>
      </c>
      <c r="L146" s="111" t="str">
        <f t="shared" si="69"/>
        <v>N/A</v>
      </c>
      <c r="M146" s="111" t="str">
        <f t="shared" si="69"/>
        <v>N/A</v>
      </c>
      <c r="N146" s="111" t="str">
        <f t="shared" si="69"/>
        <v>N/A</v>
      </c>
      <c r="O146" s="111" t="str">
        <f t="shared" si="69"/>
        <v>N/A</v>
      </c>
      <c r="P146" s="111" t="str">
        <f t="shared" si="69"/>
        <v>N/A</v>
      </c>
      <c r="Q146" s="111" t="str">
        <f t="shared" si="69"/>
        <v>N/A</v>
      </c>
      <c r="R146" s="111" t="str">
        <f t="shared" si="69"/>
        <v>N/A</v>
      </c>
      <c r="S146" s="111" t="str">
        <f t="shared" si="69"/>
        <v>N/A</v>
      </c>
    </row>
    <row r="147" spans="1:19" s="4" customFormat="1" x14ac:dyDescent="0.2">
      <c r="A147" s="4" t="s">
        <v>457</v>
      </c>
      <c r="B147" s="2" t="s">
        <v>250</v>
      </c>
      <c r="C147" s="8" t="s">
        <v>267</v>
      </c>
      <c r="D147" s="120">
        <v>0.5</v>
      </c>
      <c r="E147" s="121" t="s">
        <v>265</v>
      </c>
      <c r="G147" s="110" t="s">
        <v>268</v>
      </c>
      <c r="H147" s="111" t="str">
        <f t="shared" ref="H147:S147" si="70">IF(H141&lt;$D$147,$E$147,H35/H15)</f>
        <v>N/A</v>
      </c>
      <c r="I147" s="111" t="str">
        <f t="shared" si="70"/>
        <v>N/A</v>
      </c>
      <c r="J147" s="111" t="str">
        <f t="shared" si="70"/>
        <v>N/A</v>
      </c>
      <c r="K147" s="111" t="str">
        <f t="shared" si="70"/>
        <v>N/A</v>
      </c>
      <c r="L147" s="111" t="str">
        <f t="shared" si="70"/>
        <v>N/A</v>
      </c>
      <c r="M147" s="111" t="str">
        <f t="shared" si="70"/>
        <v>N/A</v>
      </c>
      <c r="N147" s="111" t="str">
        <f t="shared" si="70"/>
        <v>N/A</v>
      </c>
      <c r="O147" s="111" t="str">
        <f t="shared" si="70"/>
        <v>N/A</v>
      </c>
      <c r="P147" s="111" t="str">
        <f t="shared" si="70"/>
        <v>N/A</v>
      </c>
      <c r="Q147" s="111" t="str">
        <f t="shared" si="70"/>
        <v>N/A</v>
      </c>
      <c r="R147" s="111" t="str">
        <f t="shared" si="70"/>
        <v>N/A</v>
      </c>
      <c r="S147" s="111" t="str">
        <f t="shared" si="70"/>
        <v>N/A</v>
      </c>
    </row>
    <row r="148" spans="1:19" s="4" customFormat="1" x14ac:dyDescent="0.2">
      <c r="A148" s="4" t="s">
        <v>458</v>
      </c>
      <c r="B148" s="2" t="s">
        <v>254</v>
      </c>
      <c r="C148" s="8" t="s">
        <v>201</v>
      </c>
      <c r="D148" s="120">
        <v>0.5</v>
      </c>
      <c r="E148" s="121" t="s">
        <v>265</v>
      </c>
      <c r="G148" s="103" t="s">
        <v>269</v>
      </c>
      <c r="H148" s="118" t="str">
        <f t="shared" ref="H148:S148" si="71">IF(H141&lt;$D$148,$E$148,H46/H33)</f>
        <v>N/A</v>
      </c>
      <c r="I148" s="118" t="str">
        <f t="shared" si="71"/>
        <v>N/A</v>
      </c>
      <c r="J148" s="118" t="str">
        <f t="shared" si="71"/>
        <v>N/A</v>
      </c>
      <c r="K148" s="118" t="str">
        <f t="shared" si="71"/>
        <v>N/A</v>
      </c>
      <c r="L148" s="118" t="str">
        <f t="shared" si="71"/>
        <v>N/A</v>
      </c>
      <c r="M148" s="118" t="str">
        <f t="shared" si="71"/>
        <v>N/A</v>
      </c>
      <c r="N148" s="118" t="str">
        <f t="shared" si="71"/>
        <v>N/A</v>
      </c>
      <c r="O148" s="118" t="str">
        <f t="shared" si="71"/>
        <v>N/A</v>
      </c>
      <c r="P148" s="118" t="str">
        <f t="shared" si="71"/>
        <v>N/A</v>
      </c>
      <c r="Q148" s="118" t="str">
        <f t="shared" si="71"/>
        <v>N/A</v>
      </c>
      <c r="R148" s="118" t="str">
        <f t="shared" si="71"/>
        <v>N/A</v>
      </c>
      <c r="S148" s="118" t="str">
        <f t="shared" si="71"/>
        <v>N/A</v>
      </c>
    </row>
    <row r="149" spans="1:19" s="4" customFormat="1" x14ac:dyDescent="0.2">
      <c r="A149" s="4" t="s">
        <v>459</v>
      </c>
      <c r="B149" s="2" t="s">
        <v>257</v>
      </c>
      <c r="C149" s="8" t="s">
        <v>270</v>
      </c>
      <c r="D149" s="120">
        <v>0.5</v>
      </c>
      <c r="E149" s="121" t="s">
        <v>265</v>
      </c>
      <c r="G149" s="110" t="s">
        <v>271</v>
      </c>
      <c r="H149" s="118" t="str">
        <f t="shared" ref="H149:S149" si="72">IF(H141&lt;$D$148,$E$149,H51/H33)</f>
        <v>N/A</v>
      </c>
      <c r="I149" s="118" t="str">
        <f t="shared" si="72"/>
        <v>N/A</v>
      </c>
      <c r="J149" s="118" t="str">
        <f t="shared" si="72"/>
        <v>N/A</v>
      </c>
      <c r="K149" s="118" t="str">
        <f t="shared" si="72"/>
        <v>N/A</v>
      </c>
      <c r="L149" s="118" t="str">
        <f t="shared" si="72"/>
        <v>N/A</v>
      </c>
      <c r="M149" s="118" t="str">
        <f t="shared" si="72"/>
        <v>N/A</v>
      </c>
      <c r="N149" s="118" t="str">
        <f t="shared" si="72"/>
        <v>N/A</v>
      </c>
      <c r="O149" s="118" t="str">
        <f t="shared" si="72"/>
        <v>N/A</v>
      </c>
      <c r="P149" s="118" t="str">
        <f t="shared" si="72"/>
        <v>N/A</v>
      </c>
      <c r="Q149" s="118" t="str">
        <f t="shared" si="72"/>
        <v>N/A</v>
      </c>
      <c r="R149" s="118" t="str">
        <f t="shared" si="72"/>
        <v>N/A</v>
      </c>
      <c r="S149" s="118" t="str">
        <f t="shared" si="72"/>
        <v>N/A</v>
      </c>
    </row>
    <row r="150" spans="1:19" s="4" customFormat="1" x14ac:dyDescent="0.2">
      <c r="A150" s="4" t="s">
        <v>460</v>
      </c>
      <c r="B150" s="2" t="s">
        <v>260</v>
      </c>
      <c r="C150" s="8" t="s">
        <v>272</v>
      </c>
      <c r="D150" s="120">
        <v>0.5</v>
      </c>
      <c r="E150" s="121" t="s">
        <v>265</v>
      </c>
      <c r="G150" s="110" t="s">
        <v>273</v>
      </c>
      <c r="H150" s="118" t="str">
        <f t="shared" ref="H150:S150" si="73">IF(H141&lt;$D$150,$E$150,H51/H4)</f>
        <v>N/A</v>
      </c>
      <c r="I150" s="118" t="str">
        <f t="shared" si="73"/>
        <v>N/A</v>
      </c>
      <c r="J150" s="118" t="str">
        <f t="shared" si="73"/>
        <v>N/A</v>
      </c>
      <c r="K150" s="118" t="str">
        <f t="shared" si="73"/>
        <v>N/A</v>
      </c>
      <c r="L150" s="118" t="str">
        <f t="shared" si="73"/>
        <v>N/A</v>
      </c>
      <c r="M150" s="118" t="str">
        <f t="shared" si="73"/>
        <v>N/A</v>
      </c>
      <c r="N150" s="118" t="str">
        <f t="shared" si="73"/>
        <v>N/A</v>
      </c>
      <c r="O150" s="118" t="str">
        <f t="shared" si="73"/>
        <v>N/A</v>
      </c>
      <c r="P150" s="118" t="str">
        <f t="shared" si="73"/>
        <v>N/A</v>
      </c>
      <c r="Q150" s="118" t="str">
        <f t="shared" si="73"/>
        <v>N/A</v>
      </c>
      <c r="R150" s="118" t="str">
        <f t="shared" si="73"/>
        <v>N/A</v>
      </c>
      <c r="S150" s="118" t="str">
        <f t="shared" si="73"/>
        <v>N/A</v>
      </c>
    </row>
    <row r="151" spans="1:19" s="4" customFormat="1" x14ac:dyDescent="0.2">
      <c r="A151" s="4" t="s">
        <v>461</v>
      </c>
      <c r="B151" s="2" t="s">
        <v>263</v>
      </c>
      <c r="C151" s="8" t="s">
        <v>274</v>
      </c>
      <c r="D151" s="120">
        <v>0.5</v>
      </c>
      <c r="E151" s="121" t="s">
        <v>265</v>
      </c>
      <c r="G151" s="46" t="s">
        <v>275</v>
      </c>
      <c r="H151" s="118" t="str">
        <f>IF(H141&lt;$D$151,$E$151,H51/H27)</f>
        <v>N/A</v>
      </c>
      <c r="I151" s="118" t="str">
        <f>IF(I141&lt;$D$151,$E$151,I51/((H27+I27)/2))</f>
        <v>N/A</v>
      </c>
      <c r="J151" s="118" t="str">
        <f>IF(J141&lt;$D$151,$E$151,J51/((I27+J27)/2))</f>
        <v>N/A</v>
      </c>
      <c r="K151" s="118" t="str">
        <f>IF(K141&lt;$D$151,$E$151,K51/((J27+K27)/2))</f>
        <v>N/A</v>
      </c>
      <c r="L151" s="118" t="str">
        <f>IF(L141&lt;$D$151,$E$151,L51/((K27+L27)/2))</f>
        <v>N/A</v>
      </c>
      <c r="M151" s="118" t="str">
        <f>IF(M141&lt;$D$151,$E$151,M51/((L27+M27)/2))</f>
        <v>N/A</v>
      </c>
      <c r="N151" s="118" t="str">
        <f t="shared" ref="N151:S151" si="74">IF(N141&lt;$D$151,$E$151,N51/((M27+N27)/2))</f>
        <v>N/A</v>
      </c>
      <c r="O151" s="118" t="str">
        <f t="shared" si="74"/>
        <v>N/A</v>
      </c>
      <c r="P151" s="118" t="str">
        <f t="shared" si="74"/>
        <v>N/A</v>
      </c>
      <c r="Q151" s="118" t="str">
        <f t="shared" si="74"/>
        <v>N/A</v>
      </c>
      <c r="R151" s="118" t="str">
        <f t="shared" si="74"/>
        <v>N/A</v>
      </c>
      <c r="S151" s="118" t="str">
        <f t="shared" si="74"/>
        <v>N/A</v>
      </c>
    </row>
    <row r="152" spans="1:19" s="4" customFormat="1" x14ac:dyDescent="0.2">
      <c r="A152" s="8"/>
      <c r="B152" s="2"/>
      <c r="C152" s="119"/>
      <c r="D152" s="41"/>
      <c r="E152" s="42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</row>
    <row r="153" spans="1:19" s="4" customFormat="1" x14ac:dyDescent="0.2">
      <c r="A153" s="8"/>
      <c r="B153" s="2"/>
      <c r="C153" s="10"/>
      <c r="D153" s="10"/>
      <c r="E153" s="9"/>
      <c r="F153" s="8"/>
      <c r="G153" s="94" t="s">
        <v>462</v>
      </c>
      <c r="H153" s="87">
        <f>H145</f>
        <v>2011</v>
      </c>
      <c r="I153" s="87">
        <f t="shared" ref="I153:S153" si="75">I145</f>
        <v>2012</v>
      </c>
      <c r="J153" s="87">
        <f t="shared" si="75"/>
        <v>2013</v>
      </c>
      <c r="K153" s="87">
        <f t="shared" si="75"/>
        <v>2014</v>
      </c>
      <c r="L153" s="87">
        <f t="shared" si="75"/>
        <v>2015</v>
      </c>
      <c r="M153" s="87">
        <f t="shared" si="75"/>
        <v>2016</v>
      </c>
      <c r="N153" s="87">
        <f t="shared" si="75"/>
        <v>2017</v>
      </c>
      <c r="O153" s="87">
        <f t="shared" si="75"/>
        <v>2018</v>
      </c>
      <c r="P153" s="87">
        <f t="shared" si="75"/>
        <v>2019</v>
      </c>
      <c r="Q153" s="87">
        <f t="shared" si="75"/>
        <v>2020</v>
      </c>
      <c r="R153" s="87">
        <f t="shared" si="75"/>
        <v>2021</v>
      </c>
      <c r="S153" s="87">
        <f t="shared" si="75"/>
        <v>2022</v>
      </c>
    </row>
    <row r="154" spans="1:19" s="4" customFormat="1" x14ac:dyDescent="0.2">
      <c r="A154" s="8"/>
      <c r="B154" s="2"/>
      <c r="C154" s="10"/>
      <c r="D154" s="10"/>
      <c r="E154" s="9"/>
      <c r="F154" s="8"/>
      <c r="G154" s="95" t="s">
        <v>276</v>
      </c>
      <c r="H154" s="96">
        <f t="shared" ref="H154:S154" si="76">H33</f>
        <v>82.899000000000001</v>
      </c>
      <c r="I154" s="96">
        <f t="shared" si="76"/>
        <v>118.697</v>
      </c>
      <c r="J154" s="96">
        <f t="shared" si="76"/>
        <v>95.220999999999989</v>
      </c>
      <c r="K154" s="96">
        <f t="shared" si="76"/>
        <v>80.42</v>
      </c>
      <c r="L154" s="96">
        <f>L33</f>
        <v>90.760999999999996</v>
      </c>
      <c r="M154" s="96">
        <f t="shared" si="76"/>
        <v>156.08699999999999</v>
      </c>
      <c r="N154" s="96">
        <f t="shared" si="76"/>
        <v>122.604</v>
      </c>
      <c r="O154" s="96">
        <f t="shared" si="76"/>
        <v>140.47400000000002</v>
      </c>
      <c r="P154" s="96">
        <f t="shared" si="76"/>
        <v>169.952</v>
      </c>
      <c r="Q154" s="96">
        <f t="shared" si="76"/>
        <v>162.50700000000001</v>
      </c>
      <c r="R154" s="96">
        <f t="shared" si="76"/>
        <v>171.34399999999999</v>
      </c>
      <c r="S154" s="96">
        <f t="shared" si="76"/>
        <v>183.51799999999997</v>
      </c>
    </row>
    <row r="155" spans="1:19" s="4" customFormat="1" x14ac:dyDescent="0.2">
      <c r="A155" s="8"/>
      <c r="B155" s="2"/>
      <c r="C155" s="10"/>
      <c r="D155" s="10"/>
      <c r="E155" s="9"/>
      <c r="F155" s="8"/>
      <c r="G155" s="95" t="s">
        <v>277</v>
      </c>
      <c r="H155" s="96">
        <f t="shared" ref="H155:S156" si="77">H35</f>
        <v>15.678000000000001</v>
      </c>
      <c r="I155" s="96">
        <f t="shared" si="77"/>
        <v>14.984999999999999</v>
      </c>
      <c r="J155" s="96">
        <f t="shared" si="77"/>
        <v>27.282</v>
      </c>
      <c r="K155" s="96">
        <f t="shared" si="77"/>
        <v>20.849</v>
      </c>
      <c r="L155" s="96">
        <f t="shared" si="77"/>
        <v>29.5</v>
      </c>
      <c r="M155" s="96">
        <f t="shared" si="77"/>
        <v>31.684999999999999</v>
      </c>
      <c r="N155" s="96">
        <f t="shared" si="77"/>
        <v>34.709000000000003</v>
      </c>
      <c r="O155" s="96">
        <f t="shared" si="77"/>
        <v>31.541</v>
      </c>
      <c r="P155" s="96">
        <f t="shared" si="77"/>
        <v>33.118000000000002</v>
      </c>
      <c r="Q155" s="96">
        <f t="shared" si="77"/>
        <v>34.773000000000003</v>
      </c>
      <c r="R155" s="96">
        <f t="shared" si="77"/>
        <v>35.816000000000003</v>
      </c>
      <c r="S155" s="96">
        <f t="shared" si="77"/>
        <v>36.89</v>
      </c>
    </row>
    <row r="156" spans="1:19" s="4" customFormat="1" x14ac:dyDescent="0.2">
      <c r="A156" s="8"/>
      <c r="B156" s="2"/>
      <c r="C156" s="10"/>
      <c r="D156" s="10"/>
      <c r="E156" s="9"/>
      <c r="F156" s="8"/>
      <c r="G156" s="95" t="s">
        <v>278</v>
      </c>
      <c r="H156" s="96">
        <f t="shared" si="77"/>
        <v>67.174999999999997</v>
      </c>
      <c r="I156" s="96">
        <f t="shared" si="77"/>
        <v>103.631</v>
      </c>
      <c r="J156" s="96">
        <f t="shared" si="77"/>
        <v>67.938999999999993</v>
      </c>
      <c r="K156" s="96">
        <f t="shared" si="77"/>
        <v>59.570999999999998</v>
      </c>
      <c r="L156" s="96">
        <f t="shared" si="77"/>
        <v>61.261000000000003</v>
      </c>
      <c r="M156" s="96">
        <f t="shared" si="77"/>
        <v>124.402</v>
      </c>
      <c r="N156" s="96">
        <f t="shared" si="77"/>
        <v>87.894999999999996</v>
      </c>
      <c r="O156" s="96">
        <f t="shared" si="77"/>
        <v>108.93300000000001</v>
      </c>
      <c r="P156" s="96">
        <f t="shared" si="77"/>
        <v>136.834</v>
      </c>
      <c r="Q156" s="96">
        <f t="shared" si="77"/>
        <v>127.73399999999999</v>
      </c>
      <c r="R156" s="96">
        <f t="shared" si="77"/>
        <v>135.52799999999999</v>
      </c>
      <c r="S156" s="96">
        <f t="shared" si="77"/>
        <v>146.62799999999999</v>
      </c>
    </row>
    <row r="157" spans="1:19" s="4" customFormat="1" x14ac:dyDescent="0.2">
      <c r="A157" s="8"/>
      <c r="B157" s="2"/>
      <c r="C157" s="10"/>
      <c r="D157" s="10"/>
      <c r="E157" s="9"/>
      <c r="F157" s="8"/>
      <c r="G157" s="95" t="s">
        <v>279</v>
      </c>
      <c r="H157" s="96">
        <f t="shared" ref="H157:S157" si="78">H38+H41</f>
        <v>-99.278999999999996</v>
      </c>
      <c r="I157" s="96">
        <f t="shared" si="78"/>
        <v>-110.30499999999999</v>
      </c>
      <c r="J157" s="96">
        <f t="shared" si="78"/>
        <v>-108.012</v>
      </c>
      <c r="K157" s="96">
        <f t="shared" si="78"/>
        <v>-111.36399999999999</v>
      </c>
      <c r="L157" s="96">
        <f t="shared" si="78"/>
        <v>-108.86300000000001</v>
      </c>
      <c r="M157" s="96">
        <f t="shared" si="78"/>
        <v>-115.214</v>
      </c>
      <c r="N157" s="96">
        <f t="shared" si="78"/>
        <v>-115.11099999999999</v>
      </c>
      <c r="O157" s="96">
        <f t="shared" si="78"/>
        <v>-146.548</v>
      </c>
      <c r="P157" s="96">
        <f t="shared" si="78"/>
        <v>-168.11199999999999</v>
      </c>
      <c r="Q157" s="96">
        <f t="shared" si="78"/>
        <v>-152.012</v>
      </c>
      <c r="R157" s="96">
        <f t="shared" si="78"/>
        <v>-168.60599999999999</v>
      </c>
      <c r="S157" s="96">
        <f t="shared" si="78"/>
        <v>-179.136</v>
      </c>
    </row>
    <row r="158" spans="1:19" s="4" customFormat="1" x14ac:dyDescent="0.2">
      <c r="A158" s="8"/>
      <c r="B158" s="2"/>
      <c r="C158" s="10"/>
      <c r="D158" s="10"/>
      <c r="E158" s="9"/>
      <c r="F158" s="8"/>
      <c r="G158" s="95" t="s">
        <v>280</v>
      </c>
      <c r="H158" s="96">
        <f t="shared" ref="H158:S158" si="79">H41</f>
        <v>-99.278999999999996</v>
      </c>
      <c r="I158" s="96">
        <f t="shared" si="79"/>
        <v>-110.30499999999999</v>
      </c>
      <c r="J158" s="96">
        <f t="shared" si="79"/>
        <v>-108.012</v>
      </c>
      <c r="K158" s="96">
        <f t="shared" si="79"/>
        <v>-111.36399999999999</v>
      </c>
      <c r="L158" s="96">
        <f t="shared" si="79"/>
        <v>-108.38300000000001</v>
      </c>
      <c r="M158" s="96">
        <f t="shared" si="79"/>
        <v>-115.214</v>
      </c>
      <c r="N158" s="96">
        <f t="shared" si="79"/>
        <v>-115.11099999999999</v>
      </c>
      <c r="O158" s="96">
        <f t="shared" si="79"/>
        <v>-146.548</v>
      </c>
      <c r="P158" s="96">
        <f t="shared" si="79"/>
        <v>-168.11199999999999</v>
      </c>
      <c r="Q158" s="96">
        <f t="shared" si="79"/>
        <v>-152.012</v>
      </c>
      <c r="R158" s="96">
        <f t="shared" si="79"/>
        <v>-168.60599999999999</v>
      </c>
      <c r="S158" s="96">
        <f t="shared" si="79"/>
        <v>-179.136</v>
      </c>
    </row>
    <row r="159" spans="1:19" s="4" customFormat="1" x14ac:dyDescent="0.2">
      <c r="A159" s="8"/>
      <c r="B159" s="2"/>
      <c r="C159" s="10"/>
      <c r="D159" s="10"/>
      <c r="E159" s="9"/>
      <c r="F159" s="8"/>
      <c r="G159" s="95" t="s">
        <v>281</v>
      </c>
      <c r="H159" s="96">
        <f t="shared" ref="H159:S159" si="80">H38</f>
        <v>0</v>
      </c>
      <c r="I159" s="96">
        <f t="shared" si="80"/>
        <v>0</v>
      </c>
      <c r="J159" s="96">
        <f t="shared" si="80"/>
        <v>0</v>
      </c>
      <c r="K159" s="96">
        <f t="shared" si="80"/>
        <v>0</v>
      </c>
      <c r="L159" s="96">
        <f t="shared" si="80"/>
        <v>-0.48</v>
      </c>
      <c r="M159" s="96">
        <f t="shared" si="80"/>
        <v>0</v>
      </c>
      <c r="N159" s="96">
        <f t="shared" si="80"/>
        <v>0</v>
      </c>
      <c r="O159" s="96">
        <f t="shared" si="80"/>
        <v>0</v>
      </c>
      <c r="P159" s="96">
        <f t="shared" si="80"/>
        <v>0</v>
      </c>
      <c r="Q159" s="96">
        <f t="shared" si="80"/>
        <v>0</v>
      </c>
      <c r="R159" s="96">
        <f t="shared" si="80"/>
        <v>0</v>
      </c>
      <c r="S159" s="96">
        <f t="shared" si="80"/>
        <v>0</v>
      </c>
    </row>
    <row r="160" spans="1:19" s="4" customFormat="1" x14ac:dyDescent="0.2">
      <c r="A160" s="8"/>
      <c r="B160" s="2"/>
      <c r="C160" s="10"/>
      <c r="D160" s="10"/>
      <c r="E160" s="9"/>
      <c r="F160" s="8"/>
      <c r="G160" s="95" t="s">
        <v>282</v>
      </c>
      <c r="H160" s="96">
        <f t="shared" ref="H160:S160" si="81">H46</f>
        <v>-16.379999999999995</v>
      </c>
      <c r="I160" s="96">
        <f t="shared" si="81"/>
        <v>8.3920000000000101</v>
      </c>
      <c r="J160" s="96">
        <f t="shared" si="81"/>
        <v>-12.791000000000011</v>
      </c>
      <c r="K160" s="96">
        <f t="shared" si="81"/>
        <v>-30.943999999999988</v>
      </c>
      <c r="L160" s="96">
        <f t="shared" si="81"/>
        <v>-18.102000000000018</v>
      </c>
      <c r="M160" s="96">
        <f t="shared" si="81"/>
        <v>40.87299999999999</v>
      </c>
      <c r="N160" s="96">
        <f t="shared" si="81"/>
        <v>7.4930000000000092</v>
      </c>
      <c r="O160" s="96">
        <f t="shared" si="81"/>
        <v>-6.0739999999999839</v>
      </c>
      <c r="P160" s="96">
        <f t="shared" si="81"/>
        <v>1.8400000000000034</v>
      </c>
      <c r="Q160" s="96">
        <f t="shared" si="81"/>
        <v>10.495000000000005</v>
      </c>
      <c r="R160" s="96">
        <f t="shared" si="81"/>
        <v>2.7379999999999995</v>
      </c>
      <c r="S160" s="96">
        <f t="shared" si="81"/>
        <v>4.3819999999999766</v>
      </c>
    </row>
    <row r="161" spans="1:19" s="4" customFormat="1" x14ac:dyDescent="0.2">
      <c r="A161" s="8"/>
      <c r="B161" s="2"/>
      <c r="C161" s="10"/>
      <c r="D161" s="10"/>
      <c r="E161" s="9"/>
      <c r="F161" s="8"/>
      <c r="G161" s="95" t="s">
        <v>283</v>
      </c>
      <c r="H161" s="96">
        <f t="shared" ref="H161:S161" si="82">H51</f>
        <v>-16.377999999999997</v>
      </c>
      <c r="I161" s="96">
        <f t="shared" si="82"/>
        <v>8.3920000000000101</v>
      </c>
      <c r="J161" s="96">
        <f t="shared" si="82"/>
        <v>-12.791000000000011</v>
      </c>
      <c r="K161" s="96">
        <f t="shared" si="82"/>
        <v>-30.943999999999988</v>
      </c>
      <c r="L161" s="96">
        <f t="shared" si="82"/>
        <v>-18.094000000000019</v>
      </c>
      <c r="M161" s="96">
        <f t="shared" si="82"/>
        <v>40.87299999999999</v>
      </c>
      <c r="N161" s="96">
        <f t="shared" si="82"/>
        <v>7.5220000000000091</v>
      </c>
      <c r="O161" s="96">
        <f t="shared" si="82"/>
        <v>-6.0739999999999839</v>
      </c>
      <c r="P161" s="96">
        <f t="shared" si="82"/>
        <v>1.8400000000000034</v>
      </c>
      <c r="Q161" s="96">
        <f t="shared" si="82"/>
        <v>10.495000000000005</v>
      </c>
      <c r="R161" s="96">
        <f t="shared" si="82"/>
        <v>2.7379999999999995</v>
      </c>
      <c r="S161" s="96">
        <f t="shared" si="82"/>
        <v>4.3819999999999766</v>
      </c>
    </row>
    <row r="162" spans="1:19" s="4" customFormat="1" x14ac:dyDescent="0.2">
      <c r="A162" s="8"/>
      <c r="B162" s="2"/>
      <c r="C162" s="10"/>
      <c r="D162" s="10"/>
      <c r="E162" s="9"/>
      <c r="F162" s="8"/>
      <c r="G162" s="95" t="s">
        <v>284</v>
      </c>
      <c r="H162" s="96">
        <f t="shared" ref="H162:S163" si="83">H4</f>
        <v>398.11599999999999</v>
      </c>
      <c r="I162" s="96">
        <f t="shared" si="83"/>
        <v>410.91500000000002</v>
      </c>
      <c r="J162" s="96">
        <f t="shared" si="83"/>
        <v>385.97699999999998</v>
      </c>
      <c r="K162" s="96">
        <f t="shared" si="83"/>
        <v>357.05400000000003</v>
      </c>
      <c r="L162" s="96">
        <f t="shared" si="83"/>
        <v>338.26099999999997</v>
      </c>
      <c r="M162" s="96">
        <f t="shared" si="83"/>
        <v>380.61599999999999</v>
      </c>
      <c r="N162" s="96">
        <f t="shared" si="83"/>
        <v>429.101</v>
      </c>
      <c r="O162" s="96">
        <f t="shared" si="83"/>
        <v>382.94799999999998</v>
      </c>
      <c r="P162" s="96">
        <f t="shared" si="83"/>
        <v>386.14800000000002</v>
      </c>
      <c r="Q162" s="96">
        <f t="shared" si="83"/>
        <v>396.24799999999999</v>
      </c>
      <c r="R162" s="96">
        <f t="shared" si="83"/>
        <v>401.14800000000002</v>
      </c>
      <c r="S162" s="96">
        <f t="shared" si="83"/>
        <v>405.34800000000001</v>
      </c>
    </row>
    <row r="163" spans="1:19" s="4" customFormat="1" x14ac:dyDescent="0.2">
      <c r="A163" s="8"/>
      <c r="B163" s="2"/>
      <c r="C163" s="10"/>
      <c r="D163" s="10"/>
      <c r="E163" s="9"/>
      <c r="F163" s="8"/>
      <c r="G163" s="95" t="s">
        <v>285</v>
      </c>
      <c r="H163" s="96">
        <f t="shared" si="83"/>
        <v>3.9850000000000003</v>
      </c>
      <c r="I163" s="96">
        <f t="shared" si="83"/>
        <v>2.3719999999999999</v>
      </c>
      <c r="J163" s="96">
        <f t="shared" si="83"/>
        <v>2.9260000000000002</v>
      </c>
      <c r="K163" s="96">
        <f t="shared" si="83"/>
        <v>9.1820000000000004</v>
      </c>
      <c r="L163" s="96">
        <f t="shared" si="83"/>
        <v>14.745999999999999</v>
      </c>
      <c r="M163" s="96">
        <f t="shared" si="83"/>
        <v>71.457999999999998</v>
      </c>
      <c r="N163" s="96">
        <f t="shared" si="83"/>
        <v>70.552999999999997</v>
      </c>
      <c r="O163" s="96">
        <f t="shared" si="83"/>
        <v>8</v>
      </c>
      <c r="P163" s="96">
        <f t="shared" si="83"/>
        <v>26.8</v>
      </c>
      <c r="Q163" s="96">
        <f t="shared" si="83"/>
        <v>28.5</v>
      </c>
      <c r="R163" s="96">
        <f t="shared" si="83"/>
        <v>31.8</v>
      </c>
      <c r="S163" s="96">
        <f t="shared" si="83"/>
        <v>60.8</v>
      </c>
    </row>
    <row r="164" spans="1:19" s="4" customFormat="1" x14ac:dyDescent="0.2">
      <c r="A164" s="8"/>
      <c r="B164" s="2"/>
      <c r="C164" s="10"/>
      <c r="D164" s="10"/>
      <c r="E164" s="9"/>
      <c r="F164" s="8"/>
      <c r="G164" s="95" t="s">
        <v>286</v>
      </c>
      <c r="H164" s="96">
        <f t="shared" ref="H164:S164" si="84">H10</f>
        <v>394.13099999999997</v>
      </c>
      <c r="I164" s="96">
        <f t="shared" si="84"/>
        <v>408.54300000000001</v>
      </c>
      <c r="J164" s="96">
        <f t="shared" si="84"/>
        <v>383.05099999999999</v>
      </c>
      <c r="K164" s="96">
        <f t="shared" si="84"/>
        <v>347.87200000000001</v>
      </c>
      <c r="L164" s="96">
        <f t="shared" si="84"/>
        <v>323.51499999999999</v>
      </c>
      <c r="M164" s="96">
        <f t="shared" si="84"/>
        <v>309.15800000000002</v>
      </c>
      <c r="N164" s="96">
        <f t="shared" si="84"/>
        <v>358.548</v>
      </c>
      <c r="O164" s="96">
        <f t="shared" si="84"/>
        <v>374.94799999999998</v>
      </c>
      <c r="P164" s="96">
        <f t="shared" si="84"/>
        <v>359.34800000000001</v>
      </c>
      <c r="Q164" s="96">
        <f t="shared" si="84"/>
        <v>367.74799999999999</v>
      </c>
      <c r="R164" s="96">
        <f t="shared" si="84"/>
        <v>369.34800000000001</v>
      </c>
      <c r="S164" s="96">
        <f t="shared" si="84"/>
        <v>344.548</v>
      </c>
    </row>
    <row r="165" spans="1:19" s="4" customFormat="1" x14ac:dyDescent="0.2">
      <c r="A165" s="8"/>
      <c r="B165" s="2"/>
      <c r="C165" s="10"/>
      <c r="D165" s="10"/>
      <c r="E165" s="9"/>
      <c r="F165" s="8"/>
      <c r="G165" s="95" t="s">
        <v>287</v>
      </c>
      <c r="H165" s="96">
        <f t="shared" ref="H165:S166" si="85">H19</f>
        <v>10.050000000000001</v>
      </c>
      <c r="I165" s="96">
        <f t="shared" si="85"/>
        <v>14.765000000000001</v>
      </c>
      <c r="J165" s="96">
        <f t="shared" si="85"/>
        <v>2.617</v>
      </c>
      <c r="K165" s="96">
        <f t="shared" si="85"/>
        <v>4.6379999999999999</v>
      </c>
      <c r="L165" s="96">
        <f t="shared" si="85"/>
        <v>3.46</v>
      </c>
      <c r="M165" s="96">
        <f t="shared" si="85"/>
        <v>4.9130000000000003</v>
      </c>
      <c r="N165" s="96">
        <f t="shared" si="85"/>
        <v>45.875999999999998</v>
      </c>
      <c r="O165" s="96">
        <f t="shared" si="85"/>
        <v>6</v>
      </c>
      <c r="P165" s="96">
        <f t="shared" si="85"/>
        <v>7</v>
      </c>
      <c r="Q165" s="96">
        <f t="shared" si="85"/>
        <v>7</v>
      </c>
      <c r="R165" s="96">
        <f t="shared" si="85"/>
        <v>9</v>
      </c>
      <c r="S165" s="96">
        <f t="shared" si="85"/>
        <v>9</v>
      </c>
    </row>
    <row r="166" spans="1:19" s="4" customFormat="1" x14ac:dyDescent="0.2">
      <c r="A166" s="8"/>
      <c r="B166" s="2"/>
      <c r="C166" s="10"/>
      <c r="D166" s="10"/>
      <c r="E166" s="9"/>
      <c r="F166" s="8"/>
      <c r="G166" s="95" t="s">
        <v>288</v>
      </c>
      <c r="H166" s="96">
        <f t="shared" si="85"/>
        <v>10.050000000000001</v>
      </c>
      <c r="I166" s="96">
        <f t="shared" si="85"/>
        <v>14.765000000000001</v>
      </c>
      <c r="J166" s="96">
        <f t="shared" si="85"/>
        <v>2.617</v>
      </c>
      <c r="K166" s="96">
        <f t="shared" si="85"/>
        <v>4.6379999999999999</v>
      </c>
      <c r="L166" s="96">
        <f t="shared" si="85"/>
        <v>3.46</v>
      </c>
      <c r="M166" s="96">
        <f t="shared" si="85"/>
        <v>4.9130000000000003</v>
      </c>
      <c r="N166" s="96">
        <f t="shared" si="85"/>
        <v>0</v>
      </c>
      <c r="O166" s="96">
        <f t="shared" si="85"/>
        <v>0</v>
      </c>
      <c r="P166" s="96">
        <f t="shared" si="85"/>
        <v>0</v>
      </c>
      <c r="Q166" s="96">
        <f t="shared" si="85"/>
        <v>0</v>
      </c>
      <c r="R166" s="96">
        <f t="shared" si="85"/>
        <v>0</v>
      </c>
      <c r="S166" s="96">
        <f t="shared" si="85"/>
        <v>0</v>
      </c>
    </row>
    <row r="167" spans="1:19" s="4" customFormat="1" x14ac:dyDescent="0.2">
      <c r="A167" s="8"/>
      <c r="B167" s="2"/>
      <c r="C167" s="10"/>
      <c r="D167" s="10"/>
      <c r="E167" s="9"/>
      <c r="F167" s="8"/>
      <c r="G167" s="95" t="s">
        <v>289</v>
      </c>
      <c r="H167" s="96">
        <f t="shared" ref="H167:S167" si="86">H24</f>
        <v>0</v>
      </c>
      <c r="I167" s="96">
        <f t="shared" si="86"/>
        <v>0</v>
      </c>
      <c r="J167" s="96">
        <f t="shared" si="86"/>
        <v>0</v>
      </c>
      <c r="K167" s="96">
        <f t="shared" si="86"/>
        <v>0</v>
      </c>
      <c r="L167" s="96">
        <f t="shared" si="86"/>
        <v>0</v>
      </c>
      <c r="M167" s="96">
        <f t="shared" si="86"/>
        <v>0</v>
      </c>
      <c r="N167" s="96">
        <f t="shared" si="86"/>
        <v>0</v>
      </c>
      <c r="O167" s="96">
        <f t="shared" si="86"/>
        <v>0</v>
      </c>
      <c r="P167" s="96">
        <f t="shared" si="86"/>
        <v>0</v>
      </c>
      <c r="Q167" s="96">
        <f t="shared" si="86"/>
        <v>0</v>
      </c>
      <c r="R167" s="96">
        <f t="shared" si="86"/>
        <v>0</v>
      </c>
      <c r="S167" s="96">
        <f t="shared" si="86"/>
        <v>0</v>
      </c>
    </row>
    <row r="168" spans="1:19" s="4" customFormat="1" x14ac:dyDescent="0.2">
      <c r="A168" s="8"/>
      <c r="B168" s="2"/>
      <c r="C168" s="10"/>
      <c r="D168" s="10"/>
      <c r="E168" s="9"/>
      <c r="F168" s="8"/>
      <c r="G168" s="95" t="s">
        <v>290</v>
      </c>
      <c r="H168" s="96">
        <f t="shared" ref="H168:S168" si="87">H27</f>
        <v>388.065</v>
      </c>
      <c r="I168" s="96">
        <f t="shared" si="87"/>
        <v>396.15000000000003</v>
      </c>
      <c r="J168" s="96">
        <f t="shared" si="87"/>
        <v>383.35999999999996</v>
      </c>
      <c r="K168" s="96">
        <f t="shared" si="87"/>
        <v>352.41700000000003</v>
      </c>
      <c r="L168" s="96">
        <f t="shared" si="87"/>
        <v>334.80199999999996</v>
      </c>
      <c r="M168" s="96">
        <f t="shared" si="87"/>
        <v>375.70300000000003</v>
      </c>
      <c r="N168" s="96">
        <f t="shared" si="87"/>
        <v>383.22499999999997</v>
      </c>
      <c r="O168" s="96">
        <f t="shared" si="87"/>
        <v>377.15200000000004</v>
      </c>
      <c r="P168" s="96">
        <f t="shared" si="87"/>
        <v>378.9910000000001</v>
      </c>
      <c r="Q168" s="96">
        <f t="shared" si="87"/>
        <v>389.4860000000001</v>
      </c>
      <c r="R168" s="96">
        <f t="shared" si="87"/>
        <v>392.2240000000001</v>
      </c>
      <c r="S168" s="96">
        <f t="shared" si="87"/>
        <v>396.60500000000002</v>
      </c>
    </row>
    <row r="169" spans="1:19" s="4" customFormat="1" x14ac:dyDescent="0.2">
      <c r="A169" s="8"/>
      <c r="B169" s="2"/>
      <c r="C169" s="119"/>
      <c r="D169" s="41"/>
      <c r="E169" s="42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</row>
    <row r="170" spans="1:19" s="4" customFormat="1" x14ac:dyDescent="0.2">
      <c r="A170" s="8"/>
      <c r="B170" s="2"/>
      <c r="C170" s="119" t="s">
        <v>463</v>
      </c>
      <c r="D170" s="41"/>
      <c r="E170" s="42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</row>
    <row r="171" spans="1:19" s="4" customFormat="1" x14ac:dyDescent="0.2">
      <c r="A171" s="8"/>
      <c r="B171" s="2"/>
      <c r="C171" s="119"/>
      <c r="D171" s="41"/>
      <c r="E171" s="42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</row>
    <row r="172" spans="1:19" s="40" customFormat="1" x14ac:dyDescent="0.2">
      <c r="A172" s="29"/>
      <c r="B172" s="2"/>
      <c r="C172" s="29" t="s">
        <v>464</v>
      </c>
      <c r="D172" s="99"/>
      <c r="E172" s="30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</row>
    <row r="173" spans="1:19" s="4" customFormat="1" x14ac:dyDescent="0.2">
      <c r="A173" s="8"/>
      <c r="B173" s="2"/>
      <c r="C173" s="8"/>
      <c r="D173" s="10"/>
      <c r="E173" s="9"/>
      <c r="F173" s="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</row>
    <row r="174" spans="1:19" s="4" customFormat="1" x14ac:dyDescent="0.2">
      <c r="A174" s="8"/>
      <c r="B174" s="2"/>
      <c r="C174" s="8" t="s">
        <v>291</v>
      </c>
      <c r="D174" s="10"/>
      <c r="E174" s="9"/>
      <c r="F174" s="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</row>
    <row r="175" spans="1:19" s="4" customFormat="1" x14ac:dyDescent="0.2">
      <c r="A175" s="8"/>
      <c r="B175" s="2"/>
      <c r="C175" s="8" t="s">
        <v>292</v>
      </c>
      <c r="D175" s="10"/>
      <c r="E175" s="9"/>
      <c r="F175" s="12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  <c r="R175" s="44"/>
    </row>
    <row r="176" spans="1:19" s="4" customFormat="1" x14ac:dyDescent="0.2">
      <c r="A176" s="8"/>
      <c r="B176" s="2"/>
      <c r="C176" s="8"/>
      <c r="D176" s="10"/>
      <c r="E176" s="9"/>
      <c r="F176" s="12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</row>
    <row r="177" spans="1:7" s="4" customFormat="1" x14ac:dyDescent="0.2">
      <c r="A177" s="8"/>
      <c r="B177" s="2"/>
      <c r="C177" s="8" t="s">
        <v>293</v>
      </c>
      <c r="D177" s="10"/>
      <c r="E177" s="9"/>
      <c r="F177" s="12"/>
      <c r="G177" s="28"/>
    </row>
    <row r="178" spans="1:7" s="4" customFormat="1" x14ac:dyDescent="0.2">
      <c r="A178" s="8"/>
      <c r="B178" s="2"/>
      <c r="C178" s="8" t="s">
        <v>294</v>
      </c>
      <c r="D178" s="10"/>
      <c r="E178" s="9"/>
      <c r="F178" s="12"/>
      <c r="G178" s="28"/>
    </row>
    <row r="179" spans="1:7" s="4" customFormat="1" x14ac:dyDescent="0.2">
      <c r="A179" s="8"/>
      <c r="B179" s="2"/>
      <c r="C179" s="10"/>
      <c r="D179" s="10"/>
      <c r="E179" s="9"/>
      <c r="F179" s="8"/>
      <c r="G179" s="28"/>
    </row>
    <row r="180" spans="1:7" s="4" customFormat="1" x14ac:dyDescent="0.2">
      <c r="A180" s="8"/>
      <c r="B180" s="2"/>
      <c r="C180" s="10"/>
      <c r="D180" s="10"/>
      <c r="E180" s="9"/>
      <c r="F180" s="8"/>
      <c r="G180" s="28"/>
    </row>
    <row r="181" spans="1:7" s="4" customFormat="1" x14ac:dyDescent="0.2">
      <c r="A181" s="8"/>
      <c r="B181" s="2"/>
      <c r="C181" s="10"/>
      <c r="D181" s="10"/>
      <c r="E181" s="9"/>
      <c r="F181" s="8"/>
      <c r="G181" s="28"/>
    </row>
    <row r="182" spans="1:7" s="4" customFormat="1" x14ac:dyDescent="0.2">
      <c r="A182" s="8"/>
      <c r="B182" s="2"/>
      <c r="C182" s="10"/>
      <c r="D182" s="10"/>
      <c r="E182" s="9"/>
      <c r="F182" s="8"/>
      <c r="G182" s="28"/>
    </row>
    <row r="183" spans="1:7" s="4" customFormat="1" x14ac:dyDescent="0.2">
      <c r="A183" s="8"/>
      <c r="B183" s="2"/>
      <c r="C183" s="10"/>
      <c r="D183" s="10"/>
      <c r="E183" s="9"/>
      <c r="F183" s="8"/>
      <c r="G183" s="28"/>
    </row>
    <row r="184" spans="1:7" s="4" customFormat="1" x14ac:dyDescent="0.2">
      <c r="A184" s="8"/>
      <c r="B184" s="2"/>
      <c r="C184" s="10"/>
      <c r="D184" s="10"/>
      <c r="E184" s="9"/>
      <c r="F184" s="8"/>
      <c r="G184" s="28"/>
    </row>
    <row r="185" spans="1:7" s="4" customFormat="1" x14ac:dyDescent="0.2">
      <c r="A185" s="8"/>
      <c r="B185" s="2"/>
      <c r="C185" s="10"/>
      <c r="D185" s="10"/>
      <c r="E185" s="9"/>
      <c r="F185" s="8"/>
      <c r="G185" s="28"/>
    </row>
    <row r="186" spans="1:7" s="4" customFormat="1" x14ac:dyDescent="0.2">
      <c r="A186" s="8"/>
      <c r="B186" s="2"/>
      <c r="C186" s="10"/>
      <c r="D186" s="10"/>
      <c r="E186" s="9"/>
      <c r="F186" s="8"/>
      <c r="G186" s="28"/>
    </row>
    <row r="187" spans="1:7" s="4" customFormat="1" x14ac:dyDescent="0.2">
      <c r="A187" s="8"/>
      <c r="B187" s="2"/>
      <c r="C187" s="10"/>
      <c r="D187" s="10"/>
      <c r="E187" s="9"/>
      <c r="F187" s="8"/>
      <c r="G187" s="28"/>
    </row>
    <row r="188" spans="1:7" s="4" customFormat="1" x14ac:dyDescent="0.2">
      <c r="A188" s="8"/>
      <c r="B188" s="2"/>
      <c r="C188" s="10"/>
      <c r="D188" s="10"/>
      <c r="E188" s="9"/>
      <c r="F188" s="8"/>
      <c r="G188" s="28"/>
    </row>
    <row r="189" spans="1:7" s="4" customFormat="1" x14ac:dyDescent="0.2">
      <c r="A189" s="8"/>
      <c r="B189" s="2"/>
      <c r="C189" s="10"/>
      <c r="D189" s="10"/>
      <c r="E189" s="9"/>
      <c r="F189" s="8"/>
      <c r="G189" s="28"/>
    </row>
    <row r="190" spans="1:7" s="4" customFormat="1" x14ac:dyDescent="0.2">
      <c r="A190" s="8"/>
      <c r="B190" s="2"/>
      <c r="C190" s="10"/>
      <c r="D190" s="10"/>
      <c r="E190" s="9"/>
      <c r="F190" s="8"/>
      <c r="G190" s="28"/>
    </row>
    <row r="191" spans="1:7" s="4" customFormat="1" x14ac:dyDescent="0.2">
      <c r="A191" s="8"/>
      <c r="B191" s="2"/>
      <c r="C191" s="10"/>
      <c r="D191" s="10"/>
      <c r="E191" s="9"/>
      <c r="F191" s="8"/>
      <c r="G191" s="28"/>
    </row>
    <row r="192" spans="1:7" s="4" customFormat="1" x14ac:dyDescent="0.2">
      <c r="A192" s="8"/>
      <c r="B192" s="2"/>
      <c r="C192" s="10"/>
      <c r="D192" s="10"/>
      <c r="E192" s="9"/>
      <c r="F192" s="8"/>
      <c r="G192" s="28"/>
    </row>
    <row r="193" spans="1:7" s="4" customFormat="1" x14ac:dyDescent="0.2">
      <c r="A193" s="8"/>
      <c r="B193" s="2"/>
      <c r="C193" s="10"/>
      <c r="D193" s="10"/>
      <c r="E193" s="9"/>
      <c r="F193" s="8"/>
      <c r="G193" s="28"/>
    </row>
    <row r="194" spans="1:7" s="4" customFormat="1" x14ac:dyDescent="0.2">
      <c r="A194" s="8"/>
      <c r="B194" s="2"/>
      <c r="C194" s="10"/>
      <c r="D194" s="10"/>
      <c r="E194" s="9"/>
      <c r="F194" s="8"/>
      <c r="G194" s="28"/>
    </row>
    <row r="195" spans="1:7" s="4" customFormat="1" x14ac:dyDescent="0.2">
      <c r="A195" s="8"/>
      <c r="B195" s="2"/>
      <c r="C195" s="10"/>
      <c r="D195" s="10"/>
      <c r="E195" s="9"/>
      <c r="F195" s="8"/>
      <c r="G195" s="28"/>
    </row>
    <row r="196" spans="1:7" s="4" customFormat="1" x14ac:dyDescent="0.2">
      <c r="A196" s="8"/>
      <c r="B196" s="2"/>
      <c r="C196" s="10"/>
      <c r="D196" s="10"/>
      <c r="E196" s="9"/>
      <c r="F196" s="8"/>
      <c r="G196" s="28"/>
    </row>
    <row r="197" spans="1:7" s="4" customFormat="1" x14ac:dyDescent="0.2">
      <c r="A197" s="8"/>
      <c r="B197" s="2"/>
      <c r="C197" s="10"/>
      <c r="D197" s="10"/>
      <c r="E197" s="9"/>
      <c r="F197" s="8"/>
      <c r="G197" s="28"/>
    </row>
    <row r="198" spans="1:7" s="4" customFormat="1" x14ac:dyDescent="0.2">
      <c r="A198" s="8"/>
      <c r="B198" s="2"/>
      <c r="C198" s="10"/>
      <c r="D198" s="10"/>
      <c r="E198" s="9"/>
      <c r="F198" s="8"/>
      <c r="G198" s="28"/>
    </row>
    <row r="199" spans="1:7" s="4" customFormat="1" x14ac:dyDescent="0.2">
      <c r="A199" s="8"/>
      <c r="B199" s="2"/>
      <c r="C199" s="10"/>
      <c r="D199" s="10"/>
      <c r="E199" s="9"/>
      <c r="F199" s="8"/>
      <c r="G199" s="28"/>
    </row>
    <row r="200" spans="1:7" s="4" customFormat="1" x14ac:dyDescent="0.2">
      <c r="A200" s="8"/>
      <c r="B200" s="2"/>
      <c r="C200" s="10"/>
      <c r="D200" s="10"/>
      <c r="E200" s="9"/>
      <c r="F200" s="8"/>
      <c r="G200" s="28"/>
    </row>
    <row r="201" spans="1:7" s="4" customFormat="1" x14ac:dyDescent="0.2">
      <c r="A201" s="8"/>
      <c r="B201" s="2"/>
      <c r="C201" s="10"/>
      <c r="D201" s="10"/>
      <c r="E201" s="9"/>
      <c r="F201" s="8"/>
      <c r="G201" s="28"/>
    </row>
    <row r="202" spans="1:7" s="4" customFormat="1" x14ac:dyDescent="0.2">
      <c r="A202" s="8"/>
      <c r="B202" s="2"/>
      <c r="C202" s="10"/>
      <c r="D202" s="10"/>
      <c r="E202" s="9"/>
      <c r="F202" s="8"/>
      <c r="G202" s="28"/>
    </row>
  </sheetData>
  <mergeCells count="1">
    <mergeCell ref="D92:E92"/>
  </mergeCells>
  <conditionalFormatting sqref="H141:Q141">
    <cfRule type="cellIs" dxfId="1998" priority="51" stopIfTrue="1" operator="greaterThan">
      <formula>$E$141</formula>
    </cfRule>
    <cfRule type="cellIs" dxfId="1997" priority="52" stopIfTrue="1" operator="lessThanOrEqual">
      <formula>$E$141</formula>
    </cfRule>
  </conditionalFormatting>
  <conditionalFormatting sqref="H143:Q143">
    <cfRule type="cellIs" dxfId="1996" priority="49" stopIfTrue="1" operator="lessThanOrEqual">
      <formula>$E$143</formula>
    </cfRule>
    <cfRule type="cellIs" dxfId="1995" priority="50" stopIfTrue="1" operator="greaterThan">
      <formula>$E$143</formula>
    </cfRule>
  </conditionalFormatting>
  <conditionalFormatting sqref="H121:Q121">
    <cfRule type="cellIs" dxfId="1994" priority="47" operator="greaterThan">
      <formula>$E$121</formula>
    </cfRule>
    <cfRule type="cellIs" dxfId="1993" priority="48" operator="lessThanOrEqual">
      <formula>$E$121</formula>
    </cfRule>
  </conditionalFormatting>
  <conditionalFormatting sqref="H124:Q124">
    <cfRule type="cellIs" dxfId="1992" priority="45" stopIfTrue="1" operator="greaterThanOrEqual">
      <formula>$E$124</formula>
    </cfRule>
    <cfRule type="cellIs" dxfId="1991" priority="46" stopIfTrue="1" operator="lessThan">
      <formula>$E$124</formula>
    </cfRule>
  </conditionalFormatting>
  <conditionalFormatting sqref="H126:Q126">
    <cfRule type="cellIs" dxfId="1990" priority="43" stopIfTrue="1" operator="lessThan">
      <formula>$E$126</formula>
    </cfRule>
    <cfRule type="cellIs" dxfId="1989" priority="44" stopIfTrue="1" operator="greaterThanOrEqual">
      <formula>$E$126</formula>
    </cfRule>
  </conditionalFormatting>
  <conditionalFormatting sqref="H125:Q125">
    <cfRule type="cellIs" dxfId="1988" priority="41" stopIfTrue="1" operator="greaterThan">
      <formula>$E$125</formula>
    </cfRule>
    <cfRule type="cellIs" dxfId="1987" priority="42" stopIfTrue="1" operator="lessThanOrEqual">
      <formula>$E$125</formula>
    </cfRule>
  </conditionalFormatting>
  <conditionalFormatting sqref="H122:Q122">
    <cfRule type="cellIs" dxfId="1986" priority="30" stopIfTrue="1" operator="between">
      <formula>$D$122</formula>
      <formula>$E$122</formula>
    </cfRule>
    <cfRule type="cellIs" dxfId="1985" priority="39" stopIfTrue="1" operator="lessThanOrEqual">
      <formula>$D$122</formula>
    </cfRule>
    <cfRule type="cellIs" dxfId="1984" priority="40" stopIfTrue="1" operator="greaterThan">
      <formula>$E$122</formula>
    </cfRule>
  </conditionalFormatting>
  <conditionalFormatting sqref="H142:Q142">
    <cfRule type="cellIs" dxfId="1983" priority="37" stopIfTrue="1" operator="greaterThan">
      <formula>$E$142</formula>
    </cfRule>
    <cfRule type="cellIs" dxfId="1982" priority="38" stopIfTrue="1" operator="lessThanOrEqual">
      <formula>$E$142</formula>
    </cfRule>
  </conditionalFormatting>
  <conditionalFormatting sqref="H130:Q130">
    <cfRule type="cellIs" dxfId="1981" priority="35" stopIfTrue="1" operator="greaterThan">
      <formula>$E$130</formula>
    </cfRule>
    <cfRule type="cellIs" dxfId="1980" priority="36" stopIfTrue="1" operator="lessThanOrEqual">
      <formula>$E$130</formula>
    </cfRule>
  </conditionalFormatting>
  <conditionalFormatting sqref="H131:Q131">
    <cfRule type="cellIs" dxfId="1979" priority="33" stopIfTrue="1" operator="lessThan">
      <formula>$E$131</formula>
    </cfRule>
    <cfRule type="cellIs" dxfId="1978" priority="34" stopIfTrue="1" operator="greaterThanOrEqual">
      <formula>$E$131</formula>
    </cfRule>
  </conditionalFormatting>
  <conditionalFormatting sqref="H114:Q114">
    <cfRule type="cellIs" dxfId="1977" priority="53" stopIfTrue="1" operator="lessThan">
      <formula>$D$114</formula>
    </cfRule>
    <cfRule type="cellIs" dxfId="1976" priority="54" stopIfTrue="1" operator="between">
      <formula>$D$114</formula>
      <formula>$E$114</formula>
    </cfRule>
    <cfRule type="cellIs" dxfId="1975" priority="55" stopIfTrue="1" operator="greaterThan">
      <formula>$E$114</formula>
    </cfRule>
  </conditionalFormatting>
  <conditionalFormatting sqref="H138:Q138">
    <cfRule type="cellIs" dxfId="1974" priority="56" stopIfTrue="1" operator="lessThan">
      <formula>$E$138</formula>
    </cfRule>
    <cfRule type="cellIs" dxfId="1973" priority="57" stopIfTrue="1" operator="between">
      <formula>$D$138</formula>
      <formula>$E$138</formula>
    </cfRule>
    <cfRule type="cellIs" dxfId="1972" priority="58" stopIfTrue="1" operator="greaterThanOrEqual">
      <formula>$D$138</formula>
    </cfRule>
  </conditionalFormatting>
  <conditionalFormatting sqref="H111:Q111">
    <cfRule type="cellIs" dxfId="1971" priority="31" stopIfTrue="1" operator="lessThan">
      <formula>$E$111</formula>
    </cfRule>
    <cfRule type="cellIs" dxfId="1970" priority="32" stopIfTrue="1" operator="greaterThan">
      <formula>$E$111</formula>
    </cfRule>
  </conditionalFormatting>
  <conditionalFormatting sqref="R141:S141">
    <cfRule type="cellIs" dxfId="1969" priority="22" stopIfTrue="1" operator="greaterThan">
      <formula>$E$141</formula>
    </cfRule>
    <cfRule type="cellIs" dxfId="1968" priority="23" stopIfTrue="1" operator="lessThanOrEqual">
      <formula>$E$141</formula>
    </cfRule>
  </conditionalFormatting>
  <conditionalFormatting sqref="R143:S143">
    <cfRule type="cellIs" dxfId="1967" priority="20" stopIfTrue="1" operator="lessThanOrEqual">
      <formula>$E$143</formula>
    </cfRule>
    <cfRule type="cellIs" dxfId="1966" priority="21" stopIfTrue="1" operator="greaterThan">
      <formula>$E$143</formula>
    </cfRule>
  </conditionalFormatting>
  <conditionalFormatting sqref="R121:S121">
    <cfRule type="cellIs" dxfId="1965" priority="18" operator="greaterThan">
      <formula>$E$121</formula>
    </cfRule>
    <cfRule type="cellIs" dxfId="1964" priority="19" operator="lessThanOrEqual">
      <formula>$E$121</formula>
    </cfRule>
  </conditionalFormatting>
  <conditionalFormatting sqref="R124:S124">
    <cfRule type="cellIs" dxfId="1963" priority="16" stopIfTrue="1" operator="greaterThanOrEqual">
      <formula>$E$124</formula>
    </cfRule>
    <cfRule type="cellIs" dxfId="1962" priority="17" stopIfTrue="1" operator="lessThan">
      <formula>$E$124</formula>
    </cfRule>
  </conditionalFormatting>
  <conditionalFormatting sqref="R126:S126">
    <cfRule type="cellIs" dxfId="1961" priority="14" stopIfTrue="1" operator="lessThan">
      <formula>$E$126</formula>
    </cfRule>
    <cfRule type="cellIs" dxfId="1960" priority="15" stopIfTrue="1" operator="greaterThanOrEqual">
      <formula>$E$126</formula>
    </cfRule>
  </conditionalFormatting>
  <conditionalFormatting sqref="R125:S125">
    <cfRule type="cellIs" dxfId="1959" priority="12" stopIfTrue="1" operator="greaterThan">
      <formula>$E$125</formula>
    </cfRule>
    <cfRule type="cellIs" dxfId="1958" priority="13" stopIfTrue="1" operator="lessThanOrEqual">
      <formula>$E$125</formula>
    </cfRule>
  </conditionalFormatting>
  <conditionalFormatting sqref="R122:S122">
    <cfRule type="cellIs" dxfId="1957" priority="1" stopIfTrue="1" operator="between">
      <formula>$D$122</formula>
      <formula>$E$122</formula>
    </cfRule>
    <cfRule type="cellIs" dxfId="1956" priority="10" stopIfTrue="1" operator="lessThanOrEqual">
      <formula>$D$122</formula>
    </cfRule>
    <cfRule type="cellIs" dxfId="1955" priority="11" stopIfTrue="1" operator="greaterThan">
      <formula>$E$122</formula>
    </cfRule>
  </conditionalFormatting>
  <conditionalFormatting sqref="R142:S142">
    <cfRule type="cellIs" dxfId="1954" priority="8" stopIfTrue="1" operator="greaterThan">
      <formula>$E$142</formula>
    </cfRule>
    <cfRule type="cellIs" dxfId="1953" priority="9" stopIfTrue="1" operator="lessThanOrEqual">
      <formula>$E$142</formula>
    </cfRule>
  </conditionalFormatting>
  <conditionalFormatting sqref="R130:S130">
    <cfRule type="cellIs" dxfId="1952" priority="6" stopIfTrue="1" operator="greaterThan">
      <formula>$E$130</formula>
    </cfRule>
    <cfRule type="cellIs" dxfId="1951" priority="7" stopIfTrue="1" operator="lessThanOrEqual">
      <formula>$E$130</formula>
    </cfRule>
  </conditionalFormatting>
  <conditionalFormatting sqref="R131:S131">
    <cfRule type="cellIs" dxfId="1950" priority="4" stopIfTrue="1" operator="lessThan">
      <formula>$E$131</formula>
    </cfRule>
    <cfRule type="cellIs" dxfId="1949" priority="5" stopIfTrue="1" operator="greaterThanOrEqual">
      <formula>$E$131</formula>
    </cfRule>
  </conditionalFormatting>
  <conditionalFormatting sqref="R114:S114">
    <cfRule type="cellIs" dxfId="1948" priority="24" stopIfTrue="1" operator="lessThan">
      <formula>$D$114</formula>
    </cfRule>
    <cfRule type="cellIs" dxfId="1947" priority="25" stopIfTrue="1" operator="between">
      <formula>$D$114</formula>
      <formula>$E$114</formula>
    </cfRule>
    <cfRule type="cellIs" dxfId="1946" priority="26" stopIfTrue="1" operator="greaterThan">
      <formula>$E$114</formula>
    </cfRule>
  </conditionalFormatting>
  <conditionalFormatting sqref="R138:S138">
    <cfRule type="cellIs" dxfId="1945" priority="27" stopIfTrue="1" operator="lessThan">
      <formula>$E$138</formula>
    </cfRule>
    <cfRule type="cellIs" dxfId="1944" priority="28" stopIfTrue="1" operator="between">
      <formula>$D$138</formula>
      <formula>$E$138</formula>
    </cfRule>
    <cfRule type="cellIs" dxfId="1943" priority="29" stopIfTrue="1" operator="greaterThanOrEqual">
      <formula>$D$138</formula>
    </cfRule>
  </conditionalFormatting>
  <conditionalFormatting sqref="R111:S111">
    <cfRule type="cellIs" dxfId="1942" priority="2" stopIfTrue="1" operator="lessThan">
      <formula>$E$111</formula>
    </cfRule>
    <cfRule type="cellIs" dxfId="1941" priority="3" stopIfTrue="1" operator="greaterThan">
      <formula>$E$111</formula>
    </cfRule>
  </conditionalFormatting>
  <pageMargins left="0.7" right="0.7" top="0.75" bottom="0.75" header="0.3" footer="0.3"/>
  <pageSetup scale="83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E9BFBD-1097-4B60-9978-9A3CD9DECC7F}">
  <dimension ref="A1:S150"/>
  <sheetViews>
    <sheetView workbookViewId="0">
      <selection activeCell="G2" sqref="G2"/>
    </sheetView>
  </sheetViews>
  <sheetFormatPr defaultRowHeight="11.25" outlineLevelCol="1" x14ac:dyDescent="0.2"/>
  <cols>
    <col min="1" max="1" width="5.7109375" style="529" customWidth="1"/>
    <col min="2" max="2" width="5" style="513" customWidth="1"/>
    <col min="3" max="3" width="21" style="532" customWidth="1"/>
    <col min="4" max="4" width="7.28515625" style="532" customWidth="1"/>
    <col min="5" max="5" width="5.140625" style="530" customWidth="1"/>
    <col min="6" max="6" width="1.7109375" style="529" customWidth="1"/>
    <col min="7" max="7" width="21.5703125" style="568" customWidth="1"/>
    <col min="8" max="11" width="8.7109375" style="515" hidden="1" customWidth="1" outlineLevel="1"/>
    <col min="12" max="12" width="8.7109375" style="515" customWidth="1" collapsed="1"/>
    <col min="13" max="19" width="8.7109375" style="515" customWidth="1"/>
    <col min="20" max="16384" width="9.140625" style="515"/>
  </cols>
  <sheetData>
    <row r="1" spans="1:19" ht="7.5" customHeight="1" x14ac:dyDescent="0.2">
      <c r="A1" s="512"/>
      <c r="C1" s="514"/>
      <c r="D1" s="514"/>
      <c r="E1" s="512"/>
      <c r="F1" s="512"/>
      <c r="G1" s="515"/>
    </row>
    <row r="2" spans="1:19" ht="28.5" customHeight="1" x14ac:dyDescent="0.2">
      <c r="A2" s="514" t="s">
        <v>0</v>
      </c>
      <c r="B2" s="516" t="s">
        <v>1</v>
      </c>
      <c r="C2" s="514" t="s">
        <v>2</v>
      </c>
      <c r="D2" s="514"/>
      <c r="E2" s="512" t="s">
        <v>3</v>
      </c>
      <c r="F2" s="512"/>
      <c r="G2" s="517" t="s">
        <v>558</v>
      </c>
      <c r="H2" s="745"/>
      <c r="I2" s="518"/>
      <c r="J2" s="518"/>
      <c r="K2" s="519"/>
      <c r="L2" s="520" t="s">
        <v>559</v>
      </c>
      <c r="M2" s="755" t="s">
        <v>560</v>
      </c>
      <c r="N2" s="755"/>
      <c r="O2" s="755"/>
      <c r="P2" s="755"/>
      <c r="Q2" s="755"/>
      <c r="R2" s="755"/>
      <c r="S2" s="521"/>
    </row>
    <row r="3" spans="1:19" x14ac:dyDescent="0.2">
      <c r="A3" s="512"/>
      <c r="B3" s="522"/>
      <c r="C3" s="514"/>
      <c r="D3" s="514"/>
      <c r="E3" s="512"/>
      <c r="F3" s="512"/>
      <c r="G3" s="523" t="s">
        <v>4</v>
      </c>
      <c r="H3" s="524">
        <v>40908</v>
      </c>
      <c r="I3" s="524">
        <v>41274</v>
      </c>
      <c r="J3" s="524">
        <v>41639</v>
      </c>
      <c r="K3" s="524">
        <v>42004</v>
      </c>
      <c r="L3" s="524">
        <v>42369</v>
      </c>
      <c r="M3" s="524">
        <v>42735</v>
      </c>
      <c r="N3" s="525">
        <v>43100</v>
      </c>
      <c r="O3" s="525">
        <v>43465</v>
      </c>
      <c r="P3" s="525">
        <v>43830</v>
      </c>
      <c r="Q3" s="525">
        <v>44196</v>
      </c>
      <c r="R3" s="525">
        <v>44561</v>
      </c>
      <c r="S3" s="525">
        <v>44926</v>
      </c>
    </row>
    <row r="4" spans="1:19" x14ac:dyDescent="0.2">
      <c r="A4" s="526"/>
      <c r="B4" s="513" t="s">
        <v>5</v>
      </c>
      <c r="C4" s="514">
        <v>1</v>
      </c>
      <c r="D4" s="514"/>
      <c r="E4" s="516"/>
      <c r="F4" s="526"/>
      <c r="G4" s="527" t="s">
        <v>6</v>
      </c>
      <c r="H4" s="528">
        <f t="shared" ref="H4:S4" si="0">H5+H10</f>
        <v>14238.465</v>
      </c>
      <c r="I4" s="528">
        <f t="shared" si="0"/>
        <v>12892.317999999999</v>
      </c>
      <c r="J4" s="528">
        <f t="shared" si="0"/>
        <v>11297.477999999999</v>
      </c>
      <c r="K4" s="528">
        <f t="shared" si="0"/>
        <v>9898.8869999999988</v>
      </c>
      <c r="L4" s="528">
        <f t="shared" si="0"/>
        <v>8906.2870000000003</v>
      </c>
      <c r="M4" s="528">
        <f t="shared" si="0"/>
        <v>8061</v>
      </c>
      <c r="N4" s="528">
        <f t="shared" si="0"/>
        <v>7836</v>
      </c>
      <c r="O4" s="528">
        <f t="shared" si="0"/>
        <v>7006</v>
      </c>
      <c r="P4" s="528">
        <f t="shared" si="0"/>
        <v>7353</v>
      </c>
      <c r="Q4" s="528">
        <f t="shared" si="0"/>
        <v>7400</v>
      </c>
      <c r="R4" s="528">
        <f t="shared" si="0"/>
        <v>6882</v>
      </c>
      <c r="S4" s="528">
        <f t="shared" si="0"/>
        <v>6379</v>
      </c>
    </row>
    <row r="5" spans="1:19" x14ac:dyDescent="0.2">
      <c r="B5" s="513" t="s">
        <v>7</v>
      </c>
      <c r="C5" s="514">
        <v>10</v>
      </c>
      <c r="D5" s="514"/>
      <c r="G5" s="531" t="s">
        <v>8</v>
      </c>
      <c r="H5" s="528">
        <f t="shared" ref="H5:S5" si="1">SUM(H6:H9)</f>
        <v>1873.8679999999999</v>
      </c>
      <c r="I5" s="528">
        <f t="shared" si="1"/>
        <v>1951.2109999999998</v>
      </c>
      <c r="J5" s="528">
        <f t="shared" si="1"/>
        <v>1943.2570000000001</v>
      </c>
      <c r="K5" s="528">
        <f t="shared" si="1"/>
        <v>1587.9170000000001</v>
      </c>
      <c r="L5" s="528">
        <f t="shared" si="1"/>
        <v>1444.528</v>
      </c>
      <c r="M5" s="528">
        <f t="shared" si="1"/>
        <v>1043</v>
      </c>
      <c r="N5" s="528">
        <f t="shared" si="1"/>
        <v>1204</v>
      </c>
      <c r="O5" s="528">
        <f t="shared" si="1"/>
        <v>819</v>
      </c>
      <c r="P5" s="528">
        <f t="shared" si="1"/>
        <v>1483</v>
      </c>
      <c r="Q5" s="528">
        <f t="shared" si="1"/>
        <v>1450</v>
      </c>
      <c r="R5" s="528">
        <f t="shared" si="1"/>
        <v>1099</v>
      </c>
      <c r="S5" s="528">
        <f t="shared" si="1"/>
        <v>1159</v>
      </c>
    </row>
    <row r="6" spans="1:19" ht="12" x14ac:dyDescent="0.2">
      <c r="B6" s="513" t="s">
        <v>9</v>
      </c>
      <c r="C6" s="532" t="s">
        <v>10</v>
      </c>
      <c r="E6" s="533" t="s">
        <v>11</v>
      </c>
      <c r="G6" s="531" t="s">
        <v>12</v>
      </c>
      <c r="H6" s="534">
        <v>657.61800000000005</v>
      </c>
      <c r="I6" s="534">
        <v>697.37099999999998</v>
      </c>
      <c r="J6" s="534">
        <v>681.79700000000003</v>
      </c>
      <c r="K6" s="534">
        <v>695.91200000000003</v>
      </c>
      <c r="L6" s="534">
        <v>722.11400000000003</v>
      </c>
      <c r="M6" s="534">
        <v>690</v>
      </c>
      <c r="N6" s="534">
        <v>880</v>
      </c>
      <c r="O6" s="534">
        <v>573</v>
      </c>
      <c r="P6" s="534">
        <v>600</v>
      </c>
      <c r="Q6" s="534">
        <v>600</v>
      </c>
      <c r="R6" s="534">
        <v>384</v>
      </c>
      <c r="S6" s="534">
        <v>600</v>
      </c>
    </row>
    <row r="7" spans="1:19" ht="12" x14ac:dyDescent="0.2">
      <c r="B7" s="513" t="s">
        <v>13</v>
      </c>
      <c r="C7" s="532" t="s">
        <v>14</v>
      </c>
      <c r="E7" s="533" t="s">
        <v>11</v>
      </c>
      <c r="G7" s="531" t="s">
        <v>15</v>
      </c>
      <c r="H7" s="534">
        <v>1183.154</v>
      </c>
      <c r="I7" s="534">
        <v>1220.481</v>
      </c>
      <c r="J7" s="534">
        <v>1223.8920000000001</v>
      </c>
      <c r="K7" s="534">
        <v>853.66</v>
      </c>
      <c r="L7" s="534">
        <v>687.07600000000002</v>
      </c>
      <c r="M7" s="534">
        <f>302</f>
        <v>302</v>
      </c>
      <c r="N7" s="534">
        <v>309</v>
      </c>
      <c r="O7" s="534">
        <v>231</v>
      </c>
      <c r="P7" s="534">
        <v>868</v>
      </c>
      <c r="Q7" s="534">
        <v>835</v>
      </c>
      <c r="R7" s="534">
        <v>700</v>
      </c>
      <c r="S7" s="534">
        <v>544</v>
      </c>
    </row>
    <row r="8" spans="1:19" ht="12" x14ac:dyDescent="0.2">
      <c r="B8" s="513" t="s">
        <v>16</v>
      </c>
      <c r="C8" s="532" t="s">
        <v>17</v>
      </c>
      <c r="E8" s="533" t="s">
        <v>11</v>
      </c>
      <c r="G8" s="531" t="s">
        <v>18</v>
      </c>
      <c r="H8" s="534">
        <v>0</v>
      </c>
      <c r="I8" s="534">
        <v>0</v>
      </c>
      <c r="J8" s="534">
        <v>0</v>
      </c>
      <c r="K8" s="534">
        <v>0</v>
      </c>
      <c r="L8" s="534">
        <v>0</v>
      </c>
      <c r="M8" s="534">
        <v>0</v>
      </c>
      <c r="N8" s="534">
        <v>0</v>
      </c>
      <c r="O8" s="534">
        <v>0</v>
      </c>
      <c r="P8" s="534">
        <v>0</v>
      </c>
      <c r="Q8" s="534">
        <v>0</v>
      </c>
      <c r="R8" s="534">
        <v>0</v>
      </c>
      <c r="S8" s="534">
        <v>0</v>
      </c>
    </row>
    <row r="9" spans="1:19" x14ac:dyDescent="0.2">
      <c r="B9" s="513" t="s">
        <v>19</v>
      </c>
      <c r="C9" s="532">
        <v>108</v>
      </c>
      <c r="E9" s="535"/>
      <c r="G9" s="531" t="s">
        <v>20</v>
      </c>
      <c r="H9" s="534">
        <v>33.095999999999997</v>
      </c>
      <c r="I9" s="534">
        <v>33.359000000000002</v>
      </c>
      <c r="J9" s="534">
        <v>37.567999999999998</v>
      </c>
      <c r="K9" s="534">
        <v>38.344999999999999</v>
      </c>
      <c r="L9" s="534">
        <v>35.338000000000001</v>
      </c>
      <c r="M9" s="534">
        <v>51</v>
      </c>
      <c r="N9" s="534">
        <v>15</v>
      </c>
      <c r="O9" s="534">
        <v>15</v>
      </c>
      <c r="P9" s="534">
        <v>15</v>
      </c>
      <c r="Q9" s="534">
        <v>15</v>
      </c>
      <c r="R9" s="534">
        <v>15</v>
      </c>
      <c r="S9" s="534">
        <v>15</v>
      </c>
    </row>
    <row r="10" spans="1:19" x14ac:dyDescent="0.2">
      <c r="A10" s="536"/>
      <c r="B10" s="513" t="s">
        <v>21</v>
      </c>
      <c r="C10" s="537">
        <v>15</v>
      </c>
      <c r="D10" s="537"/>
      <c r="E10" s="535"/>
      <c r="F10" s="536"/>
      <c r="G10" s="531" t="s">
        <v>22</v>
      </c>
      <c r="H10" s="528">
        <f t="shared" ref="H10:S10" si="2">SUM(H11:H16)</f>
        <v>12364.597</v>
      </c>
      <c r="I10" s="528">
        <f t="shared" si="2"/>
        <v>10941.107</v>
      </c>
      <c r="J10" s="528">
        <f t="shared" si="2"/>
        <v>9354.2209999999995</v>
      </c>
      <c r="K10" s="528">
        <f t="shared" si="2"/>
        <v>8310.9699999999993</v>
      </c>
      <c r="L10" s="528">
        <f t="shared" si="2"/>
        <v>7461.759</v>
      </c>
      <c r="M10" s="528">
        <f t="shared" si="2"/>
        <v>7018</v>
      </c>
      <c r="N10" s="528">
        <f t="shared" si="2"/>
        <v>6632</v>
      </c>
      <c r="O10" s="528">
        <f t="shared" si="2"/>
        <v>6187</v>
      </c>
      <c r="P10" s="528">
        <f t="shared" si="2"/>
        <v>5870</v>
      </c>
      <c r="Q10" s="528">
        <f t="shared" si="2"/>
        <v>5950</v>
      </c>
      <c r="R10" s="528">
        <f t="shared" si="2"/>
        <v>5783</v>
      </c>
      <c r="S10" s="528">
        <f t="shared" si="2"/>
        <v>5220</v>
      </c>
    </row>
    <row r="11" spans="1:19" ht="12" x14ac:dyDescent="0.2">
      <c r="A11" s="536"/>
      <c r="B11" s="513" t="s">
        <v>23</v>
      </c>
      <c r="C11" s="537">
        <v>150</v>
      </c>
      <c r="D11" s="537"/>
      <c r="E11" s="533" t="s">
        <v>11</v>
      </c>
      <c r="F11" s="536"/>
      <c r="G11" s="531" t="s">
        <v>24</v>
      </c>
      <c r="H11" s="534">
        <v>0</v>
      </c>
      <c r="I11" s="534">
        <v>0</v>
      </c>
      <c r="J11" s="534">
        <v>0</v>
      </c>
      <c r="K11" s="534">
        <v>0</v>
      </c>
      <c r="L11" s="534">
        <v>0</v>
      </c>
      <c r="M11" s="534">
        <v>0</v>
      </c>
      <c r="N11" s="534">
        <v>0</v>
      </c>
      <c r="O11" s="534">
        <v>0</v>
      </c>
      <c r="P11" s="534">
        <v>0</v>
      </c>
      <c r="Q11" s="534">
        <v>0</v>
      </c>
      <c r="R11" s="534">
        <v>0</v>
      </c>
      <c r="S11" s="534">
        <v>0</v>
      </c>
    </row>
    <row r="12" spans="1:19" ht="12" x14ac:dyDescent="0.2">
      <c r="A12" s="536"/>
      <c r="B12" s="513" t="s">
        <v>25</v>
      </c>
      <c r="C12" s="537">
        <v>151</v>
      </c>
      <c r="D12" s="537"/>
      <c r="E12" s="533" t="s">
        <v>11</v>
      </c>
      <c r="F12" s="536"/>
      <c r="G12" s="531" t="s">
        <v>26</v>
      </c>
      <c r="H12" s="534">
        <v>0</v>
      </c>
      <c r="I12" s="534">
        <v>0</v>
      </c>
      <c r="J12" s="534">
        <v>0</v>
      </c>
      <c r="K12" s="534">
        <v>0</v>
      </c>
      <c r="L12" s="534">
        <v>0</v>
      </c>
      <c r="M12" s="534">
        <v>0</v>
      </c>
      <c r="N12" s="534">
        <v>0</v>
      </c>
      <c r="O12" s="534">
        <v>0</v>
      </c>
      <c r="P12" s="534">
        <v>0</v>
      </c>
      <c r="Q12" s="534">
        <v>0</v>
      </c>
      <c r="R12" s="534">
        <v>0</v>
      </c>
      <c r="S12" s="534">
        <v>0</v>
      </c>
    </row>
    <row r="13" spans="1:19" ht="12" x14ac:dyDescent="0.2">
      <c r="B13" s="513" t="s">
        <v>27</v>
      </c>
      <c r="C13" s="532" t="s">
        <v>28</v>
      </c>
      <c r="E13" s="533" t="s">
        <v>11</v>
      </c>
      <c r="G13" s="531" t="s">
        <v>29</v>
      </c>
      <c r="H13" s="534">
        <v>3019.2220000000002</v>
      </c>
      <c r="I13" s="534">
        <v>2025.345</v>
      </c>
      <c r="J13" s="534">
        <v>1048.845</v>
      </c>
      <c r="K13" s="534">
        <v>471.87</v>
      </c>
      <c r="L13" s="534">
        <v>30.151</v>
      </c>
      <c r="M13" s="534">
        <v>0</v>
      </c>
      <c r="N13" s="534">
        <v>0</v>
      </c>
      <c r="O13" s="534">
        <v>0</v>
      </c>
      <c r="P13" s="534">
        <v>0</v>
      </c>
      <c r="Q13" s="534">
        <v>0</v>
      </c>
      <c r="R13" s="534">
        <v>0</v>
      </c>
      <c r="S13" s="534">
        <v>0</v>
      </c>
    </row>
    <row r="14" spans="1:19" ht="12" x14ac:dyDescent="0.2">
      <c r="B14" s="513" t="s">
        <v>30</v>
      </c>
      <c r="C14" s="532">
        <v>154</v>
      </c>
      <c r="E14" s="533" t="s">
        <v>11</v>
      </c>
      <c r="G14" s="531" t="s">
        <v>31</v>
      </c>
      <c r="H14" s="534">
        <v>0</v>
      </c>
      <c r="I14" s="534">
        <v>0</v>
      </c>
      <c r="J14" s="534">
        <v>0</v>
      </c>
      <c r="K14" s="534">
        <v>0</v>
      </c>
      <c r="L14" s="534">
        <v>0</v>
      </c>
      <c r="M14" s="534">
        <v>0</v>
      </c>
      <c r="N14" s="534">
        <v>0</v>
      </c>
      <c r="O14" s="534">
        <v>0</v>
      </c>
      <c r="P14" s="534">
        <v>0</v>
      </c>
      <c r="Q14" s="534">
        <v>0</v>
      </c>
      <c r="R14" s="534">
        <v>0</v>
      </c>
      <c r="S14" s="534">
        <v>0</v>
      </c>
    </row>
    <row r="15" spans="1:19" ht="12" x14ac:dyDescent="0.2">
      <c r="B15" s="513" t="s">
        <v>32</v>
      </c>
      <c r="C15" s="532" t="s">
        <v>33</v>
      </c>
      <c r="E15" s="533" t="s">
        <v>11</v>
      </c>
      <c r="G15" s="531" t="s">
        <v>34</v>
      </c>
      <c r="H15" s="534">
        <f>9276.291+69.084</f>
        <v>9345.375</v>
      </c>
      <c r="I15" s="534">
        <f>8863.646+52.116</f>
        <v>8915.7620000000006</v>
      </c>
      <c r="J15" s="534">
        <f>8232.087+73.289</f>
        <v>8305.3760000000002</v>
      </c>
      <c r="K15" s="534">
        <f>7784.937+54.163</f>
        <v>7839.0999999999995</v>
      </c>
      <c r="L15" s="534">
        <f>7384.26+47.348</f>
        <v>7431.6080000000002</v>
      </c>
      <c r="M15" s="534">
        <v>7018</v>
      </c>
      <c r="N15" s="534">
        <v>6632</v>
      </c>
      <c r="O15" s="534">
        <v>6187</v>
      </c>
      <c r="P15" s="534">
        <f>O15+O45-O58</f>
        <v>5870</v>
      </c>
      <c r="Q15" s="534">
        <f>P15+P45-P58</f>
        <v>5950</v>
      </c>
      <c r="R15" s="534">
        <f>Q15+Q45-Q58</f>
        <v>5783</v>
      </c>
      <c r="S15" s="534">
        <f>R15+R45-R58</f>
        <v>5220</v>
      </c>
    </row>
    <row r="16" spans="1:19" ht="12" x14ac:dyDescent="0.2">
      <c r="B16" s="513" t="s">
        <v>35</v>
      </c>
      <c r="C16" s="532">
        <v>157</v>
      </c>
      <c r="E16" s="533" t="s">
        <v>11</v>
      </c>
      <c r="G16" s="531" t="s">
        <v>36</v>
      </c>
      <c r="H16" s="534">
        <v>0</v>
      </c>
      <c r="I16" s="534">
        <v>0</v>
      </c>
      <c r="J16" s="534">
        <v>0</v>
      </c>
      <c r="K16" s="534">
        <v>0</v>
      </c>
      <c r="L16" s="534">
        <v>0</v>
      </c>
      <c r="M16" s="534">
        <v>0</v>
      </c>
      <c r="N16" s="534">
        <v>0</v>
      </c>
      <c r="O16" s="534">
        <v>0</v>
      </c>
      <c r="P16" s="534">
        <v>0</v>
      </c>
      <c r="Q16" s="534">
        <v>0</v>
      </c>
      <c r="R16" s="534">
        <v>0</v>
      </c>
      <c r="S16" s="534">
        <v>0</v>
      </c>
    </row>
    <row r="17" spans="1:19" s="542" customFormat="1" ht="12" x14ac:dyDescent="0.2">
      <c r="A17" s="538"/>
      <c r="B17" s="513" t="s">
        <v>37</v>
      </c>
      <c r="C17" s="538" t="s">
        <v>38</v>
      </c>
      <c r="D17" s="538"/>
      <c r="E17" s="533" t="s">
        <v>11</v>
      </c>
      <c r="F17" s="539"/>
      <c r="G17" s="540" t="s">
        <v>39</v>
      </c>
      <c r="H17" s="541">
        <v>0</v>
      </c>
      <c r="I17" s="541">
        <v>0</v>
      </c>
      <c r="J17" s="541">
        <v>0</v>
      </c>
      <c r="K17" s="541">
        <v>0</v>
      </c>
      <c r="L17" s="541">
        <v>0</v>
      </c>
      <c r="M17" s="541">
        <v>0</v>
      </c>
      <c r="N17" s="541">
        <v>0</v>
      </c>
      <c r="O17" s="541">
        <v>0</v>
      </c>
      <c r="P17" s="541">
        <v>0</v>
      </c>
      <c r="Q17" s="541">
        <v>0</v>
      </c>
      <c r="R17" s="541">
        <v>0</v>
      </c>
      <c r="S17" s="541">
        <v>0</v>
      </c>
    </row>
    <row r="18" spans="1:19" x14ac:dyDescent="0.2">
      <c r="B18" s="513" t="s">
        <v>40</v>
      </c>
      <c r="C18" s="532">
        <v>2</v>
      </c>
      <c r="E18" s="535"/>
      <c r="G18" s="531" t="s">
        <v>41</v>
      </c>
      <c r="H18" s="528">
        <f t="shared" ref="H18:S18" si="3">H19+H27</f>
        <v>14238.938</v>
      </c>
      <c r="I18" s="528">
        <f t="shared" si="3"/>
        <v>12892.315999999999</v>
      </c>
      <c r="J18" s="528">
        <f t="shared" si="3"/>
        <v>11297.477000000001</v>
      </c>
      <c r="K18" s="528">
        <f t="shared" si="3"/>
        <v>9898.8860000000004</v>
      </c>
      <c r="L18" s="528">
        <f t="shared" si="3"/>
        <v>8906.2870000000003</v>
      </c>
      <c r="M18" s="528">
        <f t="shared" si="3"/>
        <v>8061</v>
      </c>
      <c r="N18" s="528">
        <f t="shared" si="3"/>
        <v>7836</v>
      </c>
      <c r="O18" s="528">
        <f t="shared" si="3"/>
        <v>7006</v>
      </c>
      <c r="P18" s="528">
        <f t="shared" si="3"/>
        <v>7353</v>
      </c>
      <c r="Q18" s="528">
        <f t="shared" si="3"/>
        <v>7400</v>
      </c>
      <c r="R18" s="528">
        <f t="shared" si="3"/>
        <v>6881.75</v>
      </c>
      <c r="S18" s="528">
        <f t="shared" si="3"/>
        <v>6378.6</v>
      </c>
    </row>
    <row r="19" spans="1:19" x14ac:dyDescent="0.2">
      <c r="B19" s="513" t="s">
        <v>42</v>
      </c>
      <c r="C19" s="532" t="s">
        <v>43</v>
      </c>
      <c r="E19" s="535"/>
      <c r="G19" s="531" t="s">
        <v>44</v>
      </c>
      <c r="H19" s="528">
        <f t="shared" ref="H19:S19" si="4">SUM(H21:H26)</f>
        <v>4612.0259999999998</v>
      </c>
      <c r="I19" s="528">
        <f t="shared" si="4"/>
        <v>3758.14</v>
      </c>
      <c r="J19" s="528">
        <f t="shared" si="4"/>
        <v>2856.0740000000001</v>
      </c>
      <c r="K19" s="528">
        <f t="shared" si="4"/>
        <v>1911.81</v>
      </c>
      <c r="L19" s="528">
        <f t="shared" si="4"/>
        <v>1345.7250000000001</v>
      </c>
      <c r="M19" s="528">
        <f t="shared" si="4"/>
        <v>905</v>
      </c>
      <c r="N19" s="528">
        <f t="shared" si="4"/>
        <v>1074</v>
      </c>
      <c r="O19" s="528">
        <f t="shared" si="4"/>
        <v>689</v>
      </c>
      <c r="P19" s="528">
        <f t="shared" si="4"/>
        <v>954</v>
      </c>
      <c r="Q19" s="528">
        <f t="shared" si="4"/>
        <v>1005</v>
      </c>
      <c r="R19" s="528">
        <f t="shared" si="4"/>
        <v>1000</v>
      </c>
      <c r="S19" s="528">
        <f t="shared" si="4"/>
        <v>1000</v>
      </c>
    </row>
    <row r="20" spans="1:19" s="545" customFormat="1" ht="12" x14ac:dyDescent="0.2">
      <c r="A20" s="543"/>
      <c r="B20" s="513" t="s">
        <v>45</v>
      </c>
      <c r="C20" s="538" t="s">
        <v>46</v>
      </c>
      <c r="D20" s="538"/>
      <c r="E20" s="533" t="s">
        <v>11</v>
      </c>
      <c r="F20" s="543"/>
      <c r="G20" s="540" t="s">
        <v>47</v>
      </c>
      <c r="H20" s="544">
        <v>1581.18</v>
      </c>
      <c r="I20" s="544">
        <v>1721.152</v>
      </c>
      <c r="J20" s="544">
        <v>1795.586</v>
      </c>
      <c r="K20" s="544">
        <v>1428.297</v>
      </c>
      <c r="L20" s="544">
        <v>1303.9649999999999</v>
      </c>
      <c r="M20" s="544">
        <v>904</v>
      </c>
      <c r="N20" s="544">
        <v>1073</v>
      </c>
      <c r="O20" s="544">
        <v>688</v>
      </c>
      <c r="P20" s="544">
        <v>954</v>
      </c>
      <c r="Q20" s="544">
        <v>1005</v>
      </c>
      <c r="R20" s="544">
        <v>1000</v>
      </c>
      <c r="S20" s="544">
        <v>1000</v>
      </c>
    </row>
    <row r="21" spans="1:19" ht="12" x14ac:dyDescent="0.2">
      <c r="B21" s="513" t="s">
        <v>48</v>
      </c>
      <c r="C21" s="546" t="s">
        <v>49</v>
      </c>
      <c r="D21" s="546"/>
      <c r="E21" s="533" t="s">
        <v>11</v>
      </c>
      <c r="G21" s="531" t="s">
        <v>50</v>
      </c>
      <c r="H21" s="534">
        <f>280.03+57.51+304.151</f>
        <v>641.69100000000003</v>
      </c>
      <c r="I21" s="534">
        <f>297.703+64.815+367.971</f>
        <v>730.48900000000003</v>
      </c>
      <c r="J21" s="534">
        <f>358.828+57.546+384.034</f>
        <v>800.4079999999999</v>
      </c>
      <c r="K21" s="534">
        <f>378.238+64.389+392.259</f>
        <v>834.88599999999997</v>
      </c>
      <c r="L21" s="534">
        <f>420.454+67.237+374.334</f>
        <v>862.02500000000009</v>
      </c>
      <c r="M21" s="534">
        <v>863</v>
      </c>
      <c r="N21" s="534">
        <v>1074</v>
      </c>
      <c r="O21" s="534">
        <v>689</v>
      </c>
      <c r="P21" s="534">
        <v>954</v>
      </c>
      <c r="Q21" s="534">
        <v>1005</v>
      </c>
      <c r="R21" s="534">
        <v>1000</v>
      </c>
      <c r="S21" s="534">
        <v>1000</v>
      </c>
    </row>
    <row r="22" spans="1:19" ht="12" x14ac:dyDescent="0.2">
      <c r="B22" s="513" t="s">
        <v>51</v>
      </c>
      <c r="C22" s="532" t="s">
        <v>52</v>
      </c>
      <c r="E22" s="533" t="s">
        <v>11</v>
      </c>
      <c r="G22" s="531" t="s">
        <v>53</v>
      </c>
      <c r="H22" s="534">
        <v>0</v>
      </c>
      <c r="I22" s="534">
        <v>0</v>
      </c>
      <c r="J22" s="534">
        <v>0</v>
      </c>
      <c r="K22" s="534">
        <v>0</v>
      </c>
      <c r="L22" s="534">
        <v>0</v>
      </c>
      <c r="M22" s="534">
        <v>0</v>
      </c>
      <c r="N22" s="534">
        <v>0</v>
      </c>
      <c r="O22" s="534">
        <v>0</v>
      </c>
      <c r="P22" s="534">
        <v>0</v>
      </c>
      <c r="Q22" s="534">
        <v>0</v>
      </c>
      <c r="R22" s="534">
        <v>0</v>
      </c>
      <c r="S22" s="534">
        <v>0</v>
      </c>
    </row>
    <row r="23" spans="1:19" ht="12" x14ac:dyDescent="0.2">
      <c r="B23" s="513" t="s">
        <v>54</v>
      </c>
      <c r="C23" s="532">
        <v>257</v>
      </c>
      <c r="E23" s="533" t="s">
        <v>11</v>
      </c>
      <c r="G23" s="531" t="s">
        <v>55</v>
      </c>
      <c r="H23" s="534">
        <v>0</v>
      </c>
      <c r="I23" s="534">
        <v>0</v>
      </c>
      <c r="J23" s="534">
        <v>0</v>
      </c>
      <c r="K23" s="534">
        <v>0</v>
      </c>
      <c r="L23" s="534">
        <v>0</v>
      </c>
      <c r="M23" s="534">
        <v>0</v>
      </c>
      <c r="N23" s="534">
        <v>0</v>
      </c>
      <c r="O23" s="534">
        <v>0</v>
      </c>
      <c r="P23" s="534">
        <v>0</v>
      </c>
      <c r="Q23" s="534">
        <v>0</v>
      </c>
      <c r="R23" s="534">
        <v>0</v>
      </c>
      <c r="S23" s="534">
        <v>0</v>
      </c>
    </row>
    <row r="24" spans="1:19" ht="12" x14ac:dyDescent="0.2">
      <c r="A24" s="547"/>
      <c r="B24" s="513" t="s">
        <v>56</v>
      </c>
      <c r="C24" s="532" t="s">
        <v>57</v>
      </c>
      <c r="E24" s="533" t="s">
        <v>11</v>
      </c>
      <c r="F24" s="547"/>
      <c r="G24" s="531" t="s">
        <v>58</v>
      </c>
      <c r="H24" s="534">
        <f>939.489+3030.846</f>
        <v>3970.335</v>
      </c>
      <c r="I24" s="534">
        <f>990.663+2036.988</f>
        <v>3027.6509999999998</v>
      </c>
      <c r="J24" s="534">
        <f>995.178+1060.488</f>
        <v>2055.6660000000002</v>
      </c>
      <c r="K24" s="534">
        <f>593.411+483.513</f>
        <v>1076.924</v>
      </c>
      <c r="L24" s="534">
        <f>441.941+41.759</f>
        <v>483.7</v>
      </c>
      <c r="M24" s="534">
        <v>42</v>
      </c>
      <c r="N24" s="534">
        <v>0</v>
      </c>
      <c r="O24" s="534">
        <v>0</v>
      </c>
      <c r="P24" s="534">
        <v>0</v>
      </c>
      <c r="Q24" s="534">
        <v>0</v>
      </c>
      <c r="R24" s="534">
        <v>0</v>
      </c>
      <c r="S24" s="534">
        <v>0</v>
      </c>
    </row>
    <row r="25" spans="1:19" ht="12" x14ac:dyDescent="0.2">
      <c r="A25" s="547"/>
      <c r="B25" s="513" t="s">
        <v>59</v>
      </c>
      <c r="C25" s="532" t="s">
        <v>60</v>
      </c>
      <c r="E25" s="533" t="s">
        <v>11</v>
      </c>
      <c r="F25" s="547"/>
      <c r="G25" s="531" t="s">
        <v>61</v>
      </c>
      <c r="H25" s="534">
        <v>0</v>
      </c>
      <c r="I25" s="534">
        <v>0</v>
      </c>
      <c r="J25" s="534">
        <v>0</v>
      </c>
      <c r="K25" s="534">
        <v>0</v>
      </c>
      <c r="L25" s="534">
        <v>0</v>
      </c>
      <c r="M25" s="534">
        <v>0</v>
      </c>
      <c r="N25" s="534">
        <v>0</v>
      </c>
      <c r="O25" s="534">
        <v>0</v>
      </c>
      <c r="P25" s="534">
        <v>0</v>
      </c>
      <c r="Q25" s="534">
        <v>0</v>
      </c>
      <c r="R25" s="534">
        <v>0</v>
      </c>
      <c r="S25" s="534">
        <v>0</v>
      </c>
    </row>
    <row r="26" spans="1:19" ht="12" x14ac:dyDescent="0.2">
      <c r="B26" s="513" t="s">
        <v>62</v>
      </c>
      <c r="C26" s="532">
        <v>28</v>
      </c>
      <c r="E26" s="533" t="s">
        <v>11</v>
      </c>
      <c r="G26" s="531" t="s">
        <v>63</v>
      </c>
      <c r="H26" s="534">
        <v>0</v>
      </c>
      <c r="I26" s="534">
        <v>0</v>
      </c>
      <c r="J26" s="534">
        <v>0</v>
      </c>
      <c r="K26" s="534">
        <v>0</v>
      </c>
      <c r="L26" s="534">
        <v>0</v>
      </c>
      <c r="M26" s="534">
        <v>0</v>
      </c>
      <c r="N26" s="534">
        <v>0</v>
      </c>
      <c r="O26" s="534">
        <v>0</v>
      </c>
      <c r="P26" s="534">
        <v>0</v>
      </c>
      <c r="Q26" s="534">
        <v>0</v>
      </c>
      <c r="R26" s="534">
        <v>0</v>
      </c>
      <c r="S26" s="534">
        <v>0</v>
      </c>
    </row>
    <row r="27" spans="1:19" x14ac:dyDescent="0.2">
      <c r="B27" s="513" t="s">
        <v>64</v>
      </c>
      <c r="C27" s="532">
        <v>29</v>
      </c>
      <c r="E27" s="535"/>
      <c r="G27" s="531" t="s">
        <v>65</v>
      </c>
      <c r="H27" s="528">
        <f t="shared" ref="H27:S27" si="5">SUM(H28:H30)</f>
        <v>9626.9120000000003</v>
      </c>
      <c r="I27" s="528">
        <f t="shared" si="5"/>
        <v>9134.1759999999995</v>
      </c>
      <c r="J27" s="528">
        <f t="shared" si="5"/>
        <v>8441.4030000000002</v>
      </c>
      <c r="K27" s="528">
        <f t="shared" si="5"/>
        <v>7987.076</v>
      </c>
      <c r="L27" s="528">
        <f t="shared" si="5"/>
        <v>7560.5619999999999</v>
      </c>
      <c r="M27" s="528">
        <f t="shared" si="5"/>
        <v>7156</v>
      </c>
      <c r="N27" s="528">
        <f t="shared" si="5"/>
        <v>6762</v>
      </c>
      <c r="O27" s="528">
        <f t="shared" si="5"/>
        <v>6317</v>
      </c>
      <c r="P27" s="528">
        <f t="shared" si="5"/>
        <v>6399</v>
      </c>
      <c r="Q27" s="528">
        <f t="shared" si="5"/>
        <v>6395</v>
      </c>
      <c r="R27" s="528">
        <f t="shared" si="5"/>
        <v>5881.75</v>
      </c>
      <c r="S27" s="528">
        <f t="shared" si="5"/>
        <v>5378.6</v>
      </c>
    </row>
    <row r="28" spans="1:19" ht="12" x14ac:dyDescent="0.2">
      <c r="B28" s="513" t="s">
        <v>66</v>
      </c>
      <c r="C28" s="529" t="s">
        <v>67</v>
      </c>
      <c r="D28" s="529"/>
      <c r="E28" s="533" t="s">
        <v>11</v>
      </c>
      <c r="G28" s="531" t="s">
        <v>68</v>
      </c>
      <c r="H28" s="534">
        <v>7103.5910000000003</v>
      </c>
      <c r="I28" s="534">
        <v>7103.5910000000003</v>
      </c>
      <c r="J28" s="534">
        <v>7103.5910000000003</v>
      </c>
      <c r="K28" s="534">
        <v>7103.5910000000003</v>
      </c>
      <c r="L28" s="534">
        <v>7103.5910000000003</v>
      </c>
      <c r="M28" s="534">
        <v>7104</v>
      </c>
      <c r="N28" s="534">
        <v>7104</v>
      </c>
      <c r="O28" s="534">
        <v>7104</v>
      </c>
      <c r="P28" s="534">
        <v>7104</v>
      </c>
      <c r="Q28" s="534">
        <v>7104</v>
      </c>
      <c r="R28" s="534">
        <v>7104</v>
      </c>
      <c r="S28" s="534">
        <v>7104</v>
      </c>
    </row>
    <row r="29" spans="1:19" ht="12" x14ac:dyDescent="0.2">
      <c r="B29" s="513" t="s">
        <v>69</v>
      </c>
      <c r="C29" s="532">
        <v>298</v>
      </c>
      <c r="E29" s="533" t="s">
        <v>11</v>
      </c>
      <c r="G29" s="531" t="s">
        <v>70</v>
      </c>
      <c r="H29" s="534">
        <v>3173.6509999999998</v>
      </c>
      <c r="I29" s="534">
        <v>2523.3209999999999</v>
      </c>
      <c r="J29" s="534">
        <v>2030.585</v>
      </c>
      <c r="K29" s="534">
        <v>1337.8119999999999</v>
      </c>
      <c r="L29" s="534">
        <v>883.48500000000001</v>
      </c>
      <c r="M29" s="534">
        <v>456</v>
      </c>
      <c r="N29" s="534">
        <v>53</v>
      </c>
      <c r="O29" s="534">
        <f>N30+N29</f>
        <v>-342</v>
      </c>
      <c r="P29" s="534">
        <v>-786</v>
      </c>
      <c r="Q29" s="534">
        <f>P29+P30</f>
        <v>-705</v>
      </c>
      <c r="R29" s="534">
        <f>Q29+Q30</f>
        <v>-709</v>
      </c>
      <c r="S29" s="534">
        <f>R29+R30</f>
        <v>-1222.25</v>
      </c>
    </row>
    <row r="30" spans="1:19" ht="12" x14ac:dyDescent="0.2">
      <c r="B30" s="513" t="s">
        <v>71</v>
      </c>
      <c r="C30" s="532">
        <v>299</v>
      </c>
      <c r="E30" s="533" t="s">
        <v>479</v>
      </c>
      <c r="G30" s="531" t="s">
        <v>73</v>
      </c>
      <c r="H30" s="534">
        <v>-650.33000000000004</v>
      </c>
      <c r="I30" s="534">
        <v>-492.73599999999999</v>
      </c>
      <c r="J30" s="534">
        <v>-692.77300000000002</v>
      </c>
      <c r="K30" s="534">
        <v>-454.327</v>
      </c>
      <c r="L30" s="534">
        <v>-426.51400000000001</v>
      </c>
      <c r="M30" s="534">
        <v>-404</v>
      </c>
      <c r="N30" s="534">
        <v>-395</v>
      </c>
      <c r="O30" s="534">
        <v>-445</v>
      </c>
      <c r="P30" s="534">
        <f>P51</f>
        <v>81</v>
      </c>
      <c r="Q30" s="534">
        <f>Q51</f>
        <v>-4</v>
      </c>
      <c r="R30" s="534">
        <f>R51</f>
        <v>-513.25</v>
      </c>
      <c r="S30" s="534">
        <f>S51</f>
        <v>-503.14999999999964</v>
      </c>
    </row>
    <row r="31" spans="1:19" s="553" customFormat="1" x14ac:dyDescent="0.2">
      <c r="A31" s="548"/>
      <c r="B31" s="522"/>
      <c r="C31" s="549"/>
      <c r="D31" s="549"/>
      <c r="E31" s="550"/>
      <c r="F31" s="548"/>
      <c r="G31" s="551" t="s">
        <v>74</v>
      </c>
      <c r="H31" s="552">
        <f t="shared" ref="H31:S31" si="6">H4-H18</f>
        <v>-0.47299999999995634</v>
      </c>
      <c r="I31" s="552">
        <f t="shared" si="6"/>
        <v>2.0000000004074536E-3</v>
      </c>
      <c r="J31" s="552">
        <f t="shared" si="6"/>
        <v>9.9999999838473741E-4</v>
      </c>
      <c r="K31" s="552">
        <f t="shared" si="6"/>
        <v>9.9999999838473741E-4</v>
      </c>
      <c r="L31" s="552">
        <f t="shared" si="6"/>
        <v>0</v>
      </c>
      <c r="M31" s="552">
        <f t="shared" si="6"/>
        <v>0</v>
      </c>
      <c r="N31" s="552">
        <f t="shared" si="6"/>
        <v>0</v>
      </c>
      <c r="O31" s="552">
        <f t="shared" si="6"/>
        <v>0</v>
      </c>
      <c r="P31" s="552">
        <f t="shared" si="6"/>
        <v>0</v>
      </c>
      <c r="Q31" s="552">
        <f t="shared" si="6"/>
        <v>0</v>
      </c>
      <c r="R31" s="552">
        <f t="shared" si="6"/>
        <v>0.25</v>
      </c>
      <c r="S31" s="552">
        <f t="shared" si="6"/>
        <v>0.3999999999996362</v>
      </c>
    </row>
    <row r="32" spans="1:19" x14ac:dyDescent="0.2">
      <c r="G32" s="523" t="s">
        <v>75</v>
      </c>
      <c r="H32" s="554">
        <v>2011</v>
      </c>
      <c r="I32" s="554">
        <f t="shared" ref="I32:S32" si="7">H32+1</f>
        <v>2012</v>
      </c>
      <c r="J32" s="554">
        <f t="shared" si="7"/>
        <v>2013</v>
      </c>
      <c r="K32" s="554">
        <f t="shared" si="7"/>
        <v>2014</v>
      </c>
      <c r="L32" s="554">
        <f t="shared" si="7"/>
        <v>2015</v>
      </c>
      <c r="M32" s="554">
        <f t="shared" si="7"/>
        <v>2016</v>
      </c>
      <c r="N32" s="554">
        <f t="shared" si="7"/>
        <v>2017</v>
      </c>
      <c r="O32" s="554">
        <f t="shared" si="7"/>
        <v>2018</v>
      </c>
      <c r="P32" s="554">
        <f t="shared" si="7"/>
        <v>2019</v>
      </c>
      <c r="Q32" s="554">
        <f t="shared" si="7"/>
        <v>2020</v>
      </c>
      <c r="R32" s="554">
        <f t="shared" si="7"/>
        <v>2021</v>
      </c>
      <c r="S32" s="554">
        <f t="shared" si="7"/>
        <v>2022</v>
      </c>
    </row>
    <row r="33" spans="1:19" x14ac:dyDescent="0.2">
      <c r="B33" s="513" t="s">
        <v>76</v>
      </c>
      <c r="C33" s="532">
        <v>3</v>
      </c>
      <c r="G33" s="527" t="s">
        <v>77</v>
      </c>
      <c r="H33" s="528">
        <f t="shared" ref="H33:S33" si="8">SUM(H34:H37)</f>
        <v>2743.4289999999996</v>
      </c>
      <c r="I33" s="528">
        <f t="shared" si="8"/>
        <v>3141.7719999999999</v>
      </c>
      <c r="J33" s="528">
        <f t="shared" si="8"/>
        <v>2874.9450000000002</v>
      </c>
      <c r="K33" s="528">
        <f t="shared" si="8"/>
        <v>3206.9489999999996</v>
      </c>
      <c r="L33" s="528">
        <f t="shared" si="8"/>
        <v>3283.1250000000005</v>
      </c>
      <c r="M33" s="528">
        <f t="shared" si="8"/>
        <v>3451</v>
      </c>
      <c r="N33" s="528">
        <f t="shared" si="8"/>
        <v>3590</v>
      </c>
      <c r="O33" s="528">
        <f t="shared" si="8"/>
        <v>3881</v>
      </c>
      <c r="P33" s="528">
        <f t="shared" si="8"/>
        <v>5074</v>
      </c>
      <c r="Q33" s="528">
        <f t="shared" si="8"/>
        <v>5131</v>
      </c>
      <c r="R33" s="528">
        <f t="shared" si="8"/>
        <v>5035.75</v>
      </c>
      <c r="S33" s="528">
        <f t="shared" si="8"/>
        <v>5225.8500000000004</v>
      </c>
    </row>
    <row r="34" spans="1:19" ht="12" x14ac:dyDescent="0.2">
      <c r="B34" s="513" t="s">
        <v>78</v>
      </c>
      <c r="C34" s="532">
        <v>30</v>
      </c>
      <c r="E34" s="533" t="s">
        <v>11</v>
      </c>
      <c r="G34" s="531" t="s">
        <v>79</v>
      </c>
      <c r="H34" s="534">
        <v>0</v>
      </c>
      <c r="I34" s="534">
        <v>0</v>
      </c>
      <c r="J34" s="534">
        <v>0</v>
      </c>
      <c r="K34" s="534">
        <v>0</v>
      </c>
      <c r="L34" s="534">
        <v>0</v>
      </c>
      <c r="M34" s="534">
        <v>0</v>
      </c>
      <c r="N34" s="534">
        <v>0</v>
      </c>
      <c r="O34" s="534">
        <v>0</v>
      </c>
      <c r="P34" s="534">
        <v>0</v>
      </c>
      <c r="Q34" s="534">
        <v>0</v>
      </c>
      <c r="R34" s="534">
        <v>0</v>
      </c>
      <c r="S34" s="534">
        <v>0</v>
      </c>
    </row>
    <row r="35" spans="1:19" ht="12" x14ac:dyDescent="0.2">
      <c r="B35" s="513" t="s">
        <v>80</v>
      </c>
      <c r="C35" s="532">
        <v>32</v>
      </c>
      <c r="E35" s="533" t="s">
        <v>11</v>
      </c>
      <c r="G35" s="531" t="s">
        <v>81</v>
      </c>
      <c r="H35" s="534">
        <v>1271.5429999999999</v>
      </c>
      <c r="I35" s="534">
        <v>1378.075</v>
      </c>
      <c r="J35" s="534">
        <v>1366.088</v>
      </c>
      <c r="K35" s="534">
        <v>1616.0229999999999</v>
      </c>
      <c r="L35" s="534">
        <v>1515.15</v>
      </c>
      <c r="M35" s="534">
        <v>1567</v>
      </c>
      <c r="N35" s="534">
        <v>1631</v>
      </c>
      <c r="O35" s="534">
        <v>1632</v>
      </c>
      <c r="P35" s="534">
        <v>1822</v>
      </c>
      <c r="Q35" s="534">
        <v>1936</v>
      </c>
      <c r="R35" s="534">
        <v>2059</v>
      </c>
      <c r="S35" s="534">
        <v>2100</v>
      </c>
    </row>
    <row r="36" spans="1:19" ht="12" x14ac:dyDescent="0.2">
      <c r="A36" s="536"/>
      <c r="B36" s="513" t="s">
        <v>82</v>
      </c>
      <c r="C36" s="532">
        <v>35</v>
      </c>
      <c r="E36" s="533" t="s">
        <v>11</v>
      </c>
      <c r="F36" s="536"/>
      <c r="G36" s="531" t="s">
        <v>83</v>
      </c>
      <c r="H36" s="534">
        <v>1464.5229999999999</v>
      </c>
      <c r="I36" s="534">
        <v>1688.8219999999999</v>
      </c>
      <c r="J36" s="534">
        <v>1508.18</v>
      </c>
      <c r="K36" s="534">
        <v>1590.9259999999999</v>
      </c>
      <c r="L36" s="534">
        <v>1767.2090000000001</v>
      </c>
      <c r="M36" s="534">
        <v>1883</v>
      </c>
      <c r="N36" s="534">
        <v>1934</v>
      </c>
      <c r="O36" s="534">
        <v>2201</v>
      </c>
      <c r="P36" s="534">
        <f>2700+552</f>
        <v>3252</v>
      </c>
      <c r="Q36" s="534">
        <f>2835+360</f>
        <v>3195</v>
      </c>
      <c r="R36" s="534">
        <f>2835*1.05</f>
        <v>2976.75</v>
      </c>
      <c r="S36" s="534">
        <f>2977*1.05</f>
        <v>3125.85</v>
      </c>
    </row>
    <row r="37" spans="1:19" ht="12" x14ac:dyDescent="0.2">
      <c r="B37" s="513" t="s">
        <v>84</v>
      </c>
      <c r="C37" s="532">
        <v>38</v>
      </c>
      <c r="E37" s="533" t="s">
        <v>11</v>
      </c>
      <c r="G37" s="531" t="s">
        <v>85</v>
      </c>
      <c r="H37" s="534">
        <v>7.3629999999999995</v>
      </c>
      <c r="I37" s="534">
        <v>74.875</v>
      </c>
      <c r="J37" s="534">
        <v>0.67700000000000005</v>
      </c>
      <c r="K37" s="534">
        <v>0</v>
      </c>
      <c r="L37" s="534">
        <v>0.76600000000000001</v>
      </c>
      <c r="M37" s="534">
        <v>1</v>
      </c>
      <c r="N37" s="534">
        <v>25</v>
      </c>
      <c r="O37" s="534">
        <v>48</v>
      </c>
      <c r="P37" s="534">
        <v>0</v>
      </c>
      <c r="Q37" s="534">
        <v>0</v>
      </c>
      <c r="R37" s="534">
        <v>0</v>
      </c>
      <c r="S37" s="534">
        <v>0</v>
      </c>
    </row>
    <row r="38" spans="1:19" x14ac:dyDescent="0.2">
      <c r="B38" s="513" t="s">
        <v>86</v>
      </c>
      <c r="C38" s="532">
        <v>4</v>
      </c>
      <c r="E38" s="555"/>
      <c r="G38" s="531" t="s">
        <v>87</v>
      </c>
      <c r="H38" s="528">
        <f t="shared" ref="H38:M38" si="9">H39+H40</f>
        <v>-1.893</v>
      </c>
      <c r="I38" s="528">
        <f t="shared" si="9"/>
        <v>-2.5529999999999999</v>
      </c>
      <c r="J38" s="528">
        <f t="shared" si="9"/>
        <v>-2.5529999999999999</v>
      </c>
      <c r="K38" s="528">
        <f t="shared" si="9"/>
        <v>-2.81</v>
      </c>
      <c r="L38" s="528">
        <f t="shared" si="9"/>
        <v>-3.0110000000000001</v>
      </c>
      <c r="M38" s="528">
        <f t="shared" si="9"/>
        <v>-4</v>
      </c>
      <c r="N38" s="528">
        <v>-4</v>
      </c>
      <c r="O38" s="528">
        <v>-4</v>
      </c>
      <c r="P38" s="528">
        <v>-4</v>
      </c>
      <c r="Q38" s="528">
        <v>-4</v>
      </c>
      <c r="R38" s="528">
        <v>-4</v>
      </c>
      <c r="S38" s="528">
        <v>-4</v>
      </c>
    </row>
    <row r="39" spans="1:19" ht="12" x14ac:dyDescent="0.2">
      <c r="B39" s="513" t="s">
        <v>88</v>
      </c>
      <c r="C39" s="532">
        <v>41</v>
      </c>
      <c r="E39" s="533" t="s">
        <v>480</v>
      </c>
      <c r="G39" s="531" t="s">
        <v>90</v>
      </c>
      <c r="H39" s="534">
        <v>0</v>
      </c>
      <c r="I39" s="534">
        <v>0</v>
      </c>
      <c r="J39" s="534">
        <v>0</v>
      </c>
      <c r="K39" s="534">
        <v>0</v>
      </c>
      <c r="L39" s="534">
        <v>0</v>
      </c>
      <c r="M39" s="534">
        <v>0</v>
      </c>
      <c r="N39" s="534">
        <v>0</v>
      </c>
      <c r="O39" s="534">
        <v>0</v>
      </c>
      <c r="P39" s="534">
        <v>0</v>
      </c>
      <c r="Q39" s="534">
        <v>0</v>
      </c>
      <c r="R39" s="534">
        <v>0</v>
      </c>
      <c r="S39" s="534">
        <v>0</v>
      </c>
    </row>
    <row r="40" spans="1:19" ht="12" x14ac:dyDescent="0.2">
      <c r="B40" s="513" t="s">
        <v>91</v>
      </c>
      <c r="C40" s="532">
        <v>45</v>
      </c>
      <c r="E40" s="533" t="s">
        <v>480</v>
      </c>
      <c r="G40" s="531" t="s">
        <v>92</v>
      </c>
      <c r="H40" s="534">
        <v>-1.893</v>
      </c>
      <c r="I40" s="534">
        <v>-2.5529999999999999</v>
      </c>
      <c r="J40" s="534">
        <v>-2.5529999999999999</v>
      </c>
      <c r="K40" s="534">
        <v>-2.81</v>
      </c>
      <c r="L40" s="534">
        <v>-3.0110000000000001</v>
      </c>
      <c r="M40" s="534">
        <v>-4</v>
      </c>
      <c r="N40" s="534">
        <v>0</v>
      </c>
      <c r="O40" s="534">
        <v>0</v>
      </c>
      <c r="P40" s="534">
        <v>0</v>
      </c>
      <c r="Q40" s="534">
        <v>0</v>
      </c>
      <c r="R40" s="534">
        <v>0</v>
      </c>
      <c r="S40" s="534">
        <v>0</v>
      </c>
    </row>
    <row r="41" spans="1:19" x14ac:dyDescent="0.2">
      <c r="A41" s="536"/>
      <c r="B41" s="513" t="s">
        <v>93</v>
      </c>
      <c r="C41" s="532" t="s">
        <v>94</v>
      </c>
      <c r="E41" s="555"/>
      <c r="F41" s="536"/>
      <c r="G41" s="531" t="s">
        <v>95</v>
      </c>
      <c r="H41" s="528">
        <f t="shared" ref="H41:S41" si="10">SUM(H42:H45)</f>
        <v>-3315.922</v>
      </c>
      <c r="I41" s="528">
        <f t="shared" si="10"/>
        <v>-3585.0819999999999</v>
      </c>
      <c r="J41" s="528">
        <f t="shared" si="10"/>
        <v>-3547.2490000000003</v>
      </c>
      <c r="K41" s="528">
        <f t="shared" si="10"/>
        <v>-3647.172</v>
      </c>
      <c r="L41" s="528">
        <f t="shared" si="10"/>
        <v>-3703.9949999999999</v>
      </c>
      <c r="M41" s="528">
        <f t="shared" si="10"/>
        <v>-3851</v>
      </c>
      <c r="N41" s="528">
        <f t="shared" si="10"/>
        <v>-3981</v>
      </c>
      <c r="O41" s="528">
        <f t="shared" si="10"/>
        <v>-4322</v>
      </c>
      <c r="P41" s="528">
        <f t="shared" si="10"/>
        <v>-4989</v>
      </c>
      <c r="Q41" s="528">
        <f t="shared" si="10"/>
        <v>-5131</v>
      </c>
      <c r="R41" s="528">
        <f t="shared" si="10"/>
        <v>-5545</v>
      </c>
      <c r="S41" s="528">
        <f t="shared" si="10"/>
        <v>-5725</v>
      </c>
    </row>
    <row r="42" spans="1:19" ht="12" x14ac:dyDescent="0.2">
      <c r="B42" s="513" t="s">
        <v>96</v>
      </c>
      <c r="C42" s="532">
        <v>50</v>
      </c>
      <c r="E42" s="533" t="s">
        <v>480</v>
      </c>
      <c r="G42" s="531" t="s">
        <v>97</v>
      </c>
      <c r="H42" s="534">
        <v>-1695.0350000000001</v>
      </c>
      <c r="I42" s="534">
        <v>-1825.47</v>
      </c>
      <c r="J42" s="534">
        <v>-1903.472</v>
      </c>
      <c r="K42" s="534">
        <v>-2083.42</v>
      </c>
      <c r="L42" s="534">
        <v>-2141.826</v>
      </c>
      <c r="M42" s="534">
        <v>-2204</v>
      </c>
      <c r="N42" s="534">
        <v>-2325</v>
      </c>
      <c r="O42" s="534">
        <v>-2866</v>
      </c>
      <c r="P42" s="534">
        <f>-2956-400</f>
        <v>-3356</v>
      </c>
      <c r="Q42" s="534">
        <f>-3008-435</f>
        <v>-3443</v>
      </c>
      <c r="R42" s="534">
        <f>-3260-477</f>
        <v>-3737</v>
      </c>
      <c r="S42" s="534">
        <f>-3300-526</f>
        <v>-3826</v>
      </c>
    </row>
    <row r="43" spans="1:19" ht="12" x14ac:dyDescent="0.2">
      <c r="B43" s="513" t="s">
        <v>98</v>
      </c>
      <c r="C43" s="532">
        <v>55</v>
      </c>
      <c r="E43" s="533" t="s">
        <v>480</v>
      </c>
      <c r="G43" s="531" t="s">
        <v>99</v>
      </c>
      <c r="H43" s="534">
        <v>-890.86300000000006</v>
      </c>
      <c r="I43" s="534">
        <v>-1009.35</v>
      </c>
      <c r="J43" s="534">
        <v>-907.245</v>
      </c>
      <c r="K43" s="534">
        <v>-1070.9100000000001</v>
      </c>
      <c r="L43" s="534">
        <v>-1114.7329999999999</v>
      </c>
      <c r="M43" s="534">
        <v>-1182</v>
      </c>
      <c r="N43" s="534">
        <v>-1201</v>
      </c>
      <c r="O43" s="534">
        <v>-1003</v>
      </c>
      <c r="P43" s="534">
        <v>-1153</v>
      </c>
      <c r="Q43" s="534">
        <v>-1153</v>
      </c>
      <c r="R43" s="534">
        <v>-1237</v>
      </c>
      <c r="S43" s="534">
        <v>-1328</v>
      </c>
    </row>
    <row r="44" spans="1:19" ht="12" x14ac:dyDescent="0.2">
      <c r="A44" s="536"/>
      <c r="B44" s="513" t="s">
        <v>100</v>
      </c>
      <c r="C44" s="532">
        <v>60</v>
      </c>
      <c r="E44" s="533" t="s">
        <v>480</v>
      </c>
      <c r="F44" s="536"/>
      <c r="G44" s="531" t="s">
        <v>101</v>
      </c>
      <c r="H44" s="534">
        <v>-9.4209999999999994</v>
      </c>
      <c r="I44" s="534">
        <v>-8.8049999999999997</v>
      </c>
      <c r="J44" s="534">
        <v>-11.538</v>
      </c>
      <c r="K44" s="534">
        <v>-8.6750000000000007</v>
      </c>
      <c r="L44" s="534">
        <v>-7.9790000000000001</v>
      </c>
      <c r="M44" s="534">
        <v>-8</v>
      </c>
      <c r="N44" s="534">
        <v>-8</v>
      </c>
      <c r="O44" s="534">
        <v>-8</v>
      </c>
      <c r="P44" s="534">
        <v>-8</v>
      </c>
      <c r="Q44" s="534">
        <v>-8</v>
      </c>
      <c r="R44" s="534">
        <v>-8</v>
      </c>
      <c r="S44" s="534">
        <v>-8</v>
      </c>
    </row>
    <row r="45" spans="1:19" ht="12" x14ac:dyDescent="0.2">
      <c r="B45" s="513" t="s">
        <v>102</v>
      </c>
      <c r="C45" s="532">
        <v>61</v>
      </c>
      <c r="E45" s="533" t="s">
        <v>480</v>
      </c>
      <c r="G45" s="531" t="s">
        <v>103</v>
      </c>
      <c r="H45" s="534">
        <v>-720.60299999999995</v>
      </c>
      <c r="I45" s="534">
        <v>-741.45699999999999</v>
      </c>
      <c r="J45" s="534">
        <v>-724.99400000000003</v>
      </c>
      <c r="K45" s="534">
        <v>-484.16699999999997</v>
      </c>
      <c r="L45" s="534">
        <v>-439.45699999999999</v>
      </c>
      <c r="M45" s="534">
        <v>-457</v>
      </c>
      <c r="N45" s="534">
        <v>-447</v>
      </c>
      <c r="O45" s="534">
        <v>-445</v>
      </c>
      <c r="P45" s="534">
        <v>-472</v>
      </c>
      <c r="Q45" s="534">
        <v>-527</v>
      </c>
      <c r="R45" s="534">
        <v>-563</v>
      </c>
      <c r="S45" s="534">
        <v>-563</v>
      </c>
    </row>
    <row r="46" spans="1:19" x14ac:dyDescent="0.2">
      <c r="B46" s="513" t="s">
        <v>104</v>
      </c>
      <c r="G46" s="531" t="s">
        <v>105</v>
      </c>
      <c r="H46" s="528">
        <f t="shared" ref="H46:S46" si="11">H33+H38+H41</f>
        <v>-574.38600000000042</v>
      </c>
      <c r="I46" s="528">
        <f t="shared" si="11"/>
        <v>-445.86299999999983</v>
      </c>
      <c r="J46" s="528">
        <f t="shared" si="11"/>
        <v>-674.85699999999997</v>
      </c>
      <c r="K46" s="528">
        <f t="shared" si="11"/>
        <v>-443.03300000000036</v>
      </c>
      <c r="L46" s="528">
        <f t="shared" si="11"/>
        <v>-423.8809999999994</v>
      </c>
      <c r="M46" s="528">
        <f t="shared" si="11"/>
        <v>-404</v>
      </c>
      <c r="N46" s="528">
        <f t="shared" si="11"/>
        <v>-395</v>
      </c>
      <c r="O46" s="528">
        <f t="shared" si="11"/>
        <v>-445</v>
      </c>
      <c r="P46" s="528">
        <f t="shared" si="11"/>
        <v>81</v>
      </c>
      <c r="Q46" s="528">
        <f t="shared" si="11"/>
        <v>-4</v>
      </c>
      <c r="R46" s="528">
        <f t="shared" si="11"/>
        <v>-513.25</v>
      </c>
      <c r="S46" s="528">
        <f t="shared" si="11"/>
        <v>-503.14999999999964</v>
      </c>
    </row>
    <row r="47" spans="1:19" ht="12" x14ac:dyDescent="0.2">
      <c r="B47" s="513" t="s">
        <v>106</v>
      </c>
      <c r="C47" s="532">
        <v>65</v>
      </c>
      <c r="E47" s="533" t="s">
        <v>479</v>
      </c>
      <c r="G47" s="531" t="s">
        <v>107</v>
      </c>
      <c r="H47" s="534">
        <v>-75.942999999999998</v>
      </c>
      <c r="I47" s="534">
        <v>-46.874000000000002</v>
      </c>
      <c r="J47" s="534">
        <v>-18.026</v>
      </c>
      <c r="K47" s="534">
        <v>-11.292999999999999</v>
      </c>
      <c r="L47" s="534">
        <v>-2.363</v>
      </c>
      <c r="M47" s="534">
        <v>0</v>
      </c>
      <c r="N47" s="534">
        <v>0</v>
      </c>
      <c r="O47" s="534">
        <v>0</v>
      </c>
      <c r="P47" s="534">
        <v>0</v>
      </c>
      <c r="Q47" s="534">
        <v>0</v>
      </c>
      <c r="R47" s="534">
        <v>0</v>
      </c>
      <c r="S47" s="534">
        <v>0</v>
      </c>
    </row>
    <row r="48" spans="1:19" x14ac:dyDescent="0.2">
      <c r="B48" s="513" t="s">
        <v>108</v>
      </c>
      <c r="G48" s="531" t="s">
        <v>109</v>
      </c>
      <c r="H48" s="528">
        <f t="shared" ref="H48:S48" si="12">H46+H47</f>
        <v>-650.32900000000041</v>
      </c>
      <c r="I48" s="528">
        <f t="shared" si="12"/>
        <v>-492.73699999999985</v>
      </c>
      <c r="J48" s="528">
        <f t="shared" si="12"/>
        <v>-692.88299999999992</v>
      </c>
      <c r="K48" s="528">
        <f t="shared" si="12"/>
        <v>-454.32600000000036</v>
      </c>
      <c r="L48" s="528">
        <f t="shared" si="12"/>
        <v>-426.2439999999994</v>
      </c>
      <c r="M48" s="528">
        <f t="shared" si="12"/>
        <v>-404</v>
      </c>
      <c r="N48" s="528">
        <f t="shared" si="12"/>
        <v>-395</v>
      </c>
      <c r="O48" s="528">
        <f t="shared" si="12"/>
        <v>-445</v>
      </c>
      <c r="P48" s="528">
        <f t="shared" si="12"/>
        <v>81</v>
      </c>
      <c r="Q48" s="528">
        <f t="shared" si="12"/>
        <v>-4</v>
      </c>
      <c r="R48" s="528">
        <f t="shared" si="12"/>
        <v>-513.25</v>
      </c>
      <c r="S48" s="528">
        <f t="shared" si="12"/>
        <v>-503.14999999999964</v>
      </c>
    </row>
    <row r="49" spans="1:19" ht="12" x14ac:dyDescent="0.2">
      <c r="B49" s="513" t="s">
        <v>110</v>
      </c>
      <c r="C49" s="532">
        <v>68</v>
      </c>
      <c r="E49" s="533" t="s">
        <v>480</v>
      </c>
      <c r="G49" s="531" t="s">
        <v>111</v>
      </c>
      <c r="H49" s="534">
        <v>0</v>
      </c>
      <c r="I49" s="534">
        <v>0</v>
      </c>
      <c r="J49" s="534">
        <v>0</v>
      </c>
      <c r="K49" s="534">
        <v>0</v>
      </c>
      <c r="L49" s="534">
        <v>0</v>
      </c>
      <c r="M49" s="534">
        <v>0</v>
      </c>
      <c r="N49" s="534">
        <v>0</v>
      </c>
      <c r="O49" s="534">
        <v>0</v>
      </c>
      <c r="P49" s="534">
        <v>0</v>
      </c>
      <c r="Q49" s="534">
        <v>0</v>
      </c>
      <c r="R49" s="534">
        <v>0</v>
      </c>
      <c r="S49" s="534">
        <v>0</v>
      </c>
    </row>
    <row r="50" spans="1:19" ht="12" x14ac:dyDescent="0.2">
      <c r="B50" s="513" t="s">
        <v>112</v>
      </c>
      <c r="C50" s="532">
        <v>69</v>
      </c>
      <c r="E50" s="533" t="s">
        <v>11</v>
      </c>
      <c r="G50" s="531" t="s">
        <v>113</v>
      </c>
      <c r="H50" s="534">
        <v>0</v>
      </c>
      <c r="I50" s="534">
        <v>0</v>
      </c>
      <c r="J50" s="534">
        <v>0</v>
      </c>
      <c r="K50" s="534">
        <v>0</v>
      </c>
      <c r="L50" s="534">
        <v>0</v>
      </c>
      <c r="M50" s="534">
        <v>0</v>
      </c>
      <c r="N50" s="534">
        <v>0</v>
      </c>
      <c r="O50" s="534">
        <v>0</v>
      </c>
      <c r="P50" s="534">
        <v>0</v>
      </c>
      <c r="Q50" s="534">
        <v>0</v>
      </c>
      <c r="R50" s="534">
        <v>0</v>
      </c>
      <c r="S50" s="534">
        <v>0</v>
      </c>
    </row>
    <row r="51" spans="1:19" x14ac:dyDescent="0.2">
      <c r="B51" s="513" t="s">
        <v>114</v>
      </c>
      <c r="G51" s="531" t="s">
        <v>115</v>
      </c>
      <c r="H51" s="528">
        <f t="shared" ref="H51:S51" si="13">H48+H49+H50</f>
        <v>-650.32900000000041</v>
      </c>
      <c r="I51" s="528">
        <f t="shared" si="13"/>
        <v>-492.73699999999985</v>
      </c>
      <c r="J51" s="528">
        <f t="shared" si="13"/>
        <v>-692.88299999999992</v>
      </c>
      <c r="K51" s="528">
        <f t="shared" si="13"/>
        <v>-454.32600000000036</v>
      </c>
      <c r="L51" s="528">
        <f t="shared" si="13"/>
        <v>-426.2439999999994</v>
      </c>
      <c r="M51" s="528">
        <f t="shared" si="13"/>
        <v>-404</v>
      </c>
      <c r="N51" s="528">
        <f t="shared" si="13"/>
        <v>-395</v>
      </c>
      <c r="O51" s="528">
        <f t="shared" si="13"/>
        <v>-445</v>
      </c>
      <c r="P51" s="528">
        <f t="shared" si="13"/>
        <v>81</v>
      </c>
      <c r="Q51" s="528">
        <f t="shared" si="13"/>
        <v>-4</v>
      </c>
      <c r="R51" s="528">
        <f t="shared" si="13"/>
        <v>-513.25</v>
      </c>
      <c r="S51" s="528">
        <f t="shared" si="13"/>
        <v>-503.14999999999964</v>
      </c>
    </row>
    <row r="52" spans="1:19" x14ac:dyDescent="0.2">
      <c r="A52" s="556"/>
      <c r="C52" s="557"/>
      <c r="D52" s="557"/>
      <c r="E52" s="558"/>
      <c r="F52" s="556"/>
      <c r="G52" s="551" t="s">
        <v>116</v>
      </c>
      <c r="H52" s="552">
        <f t="shared" ref="H52:S52" si="14">H30-H51</f>
        <v>-9.9999999963529262E-4</v>
      </c>
      <c r="I52" s="552">
        <f t="shared" si="14"/>
        <v>9.999999998626663E-4</v>
      </c>
      <c r="J52" s="552">
        <f t="shared" si="14"/>
        <v>0.10999999999989996</v>
      </c>
      <c r="K52" s="552">
        <f t="shared" si="14"/>
        <v>-9.9999999963529262E-4</v>
      </c>
      <c r="L52" s="552">
        <f t="shared" si="14"/>
        <v>-0.27000000000060709</v>
      </c>
      <c r="M52" s="552">
        <f t="shared" si="14"/>
        <v>0</v>
      </c>
      <c r="N52" s="552">
        <f t="shared" si="14"/>
        <v>0</v>
      </c>
      <c r="O52" s="552">
        <f t="shared" si="14"/>
        <v>0</v>
      </c>
      <c r="P52" s="552">
        <f t="shared" si="14"/>
        <v>0</v>
      </c>
      <c r="Q52" s="552">
        <f t="shared" si="14"/>
        <v>0</v>
      </c>
      <c r="R52" s="552">
        <f t="shared" si="14"/>
        <v>0</v>
      </c>
      <c r="S52" s="552">
        <f t="shared" si="14"/>
        <v>0</v>
      </c>
    </row>
    <row r="53" spans="1:19" x14ac:dyDescent="0.2">
      <c r="G53" s="559" t="s">
        <v>117</v>
      </c>
    </row>
    <row r="54" spans="1:19" ht="12" x14ac:dyDescent="0.2">
      <c r="C54" s="532">
        <v>90</v>
      </c>
      <c r="E54" s="533" t="s">
        <v>11</v>
      </c>
      <c r="G54" s="559" t="s">
        <v>118</v>
      </c>
      <c r="H54" s="534">
        <v>129</v>
      </c>
      <c r="I54" s="534">
        <v>124</v>
      </c>
      <c r="J54" s="534">
        <v>130</v>
      </c>
      <c r="K54" s="534">
        <v>132</v>
      </c>
      <c r="L54" s="534">
        <v>129</v>
      </c>
      <c r="M54" s="534">
        <v>134</v>
      </c>
      <c r="N54" s="534">
        <v>134</v>
      </c>
      <c r="O54" s="534">
        <v>135</v>
      </c>
      <c r="P54" s="534">
        <v>135</v>
      </c>
      <c r="Q54" s="534">
        <v>135</v>
      </c>
      <c r="R54" s="534">
        <v>135</v>
      </c>
      <c r="S54" s="534">
        <v>135</v>
      </c>
    </row>
    <row r="55" spans="1:19" ht="12" x14ac:dyDescent="0.2">
      <c r="E55" s="533" t="s">
        <v>11</v>
      </c>
      <c r="G55" s="559" t="s">
        <v>119</v>
      </c>
      <c r="H55" s="534"/>
      <c r="I55" s="534"/>
      <c r="J55" s="534"/>
      <c r="K55" s="534"/>
      <c r="L55" s="560"/>
      <c r="M55" s="560"/>
      <c r="N55" s="560"/>
      <c r="O55" s="560"/>
      <c r="P55" s="560"/>
      <c r="Q55" s="560"/>
      <c r="R55" s="560"/>
      <c r="S55" s="560"/>
    </row>
    <row r="57" spans="1:19" x14ac:dyDescent="0.2">
      <c r="D57" s="561" t="s">
        <v>120</v>
      </c>
      <c r="E57" s="562" t="s">
        <v>3</v>
      </c>
      <c r="F57" s="530"/>
      <c r="G57" s="523" t="s">
        <v>121</v>
      </c>
      <c r="H57" s="554">
        <f t="shared" ref="H57:S57" si="15">H32</f>
        <v>2011</v>
      </c>
      <c r="I57" s="554">
        <f t="shared" si="15"/>
        <v>2012</v>
      </c>
      <c r="J57" s="554">
        <f t="shared" si="15"/>
        <v>2013</v>
      </c>
      <c r="K57" s="554">
        <f t="shared" si="15"/>
        <v>2014</v>
      </c>
      <c r="L57" s="554">
        <f t="shared" si="15"/>
        <v>2015</v>
      </c>
      <c r="M57" s="554">
        <f t="shared" si="15"/>
        <v>2016</v>
      </c>
      <c r="N57" s="554">
        <f t="shared" si="15"/>
        <v>2017</v>
      </c>
      <c r="O57" s="554">
        <f t="shared" si="15"/>
        <v>2018</v>
      </c>
      <c r="P57" s="554">
        <f t="shared" si="15"/>
        <v>2019</v>
      </c>
      <c r="Q57" s="554">
        <f t="shared" si="15"/>
        <v>2020</v>
      </c>
      <c r="R57" s="554">
        <f t="shared" si="15"/>
        <v>2021</v>
      </c>
      <c r="S57" s="554">
        <f t="shared" si="15"/>
        <v>2022</v>
      </c>
    </row>
    <row r="58" spans="1:19" ht="11.25" customHeight="1" x14ac:dyDescent="0.2">
      <c r="B58" s="563" t="s">
        <v>122</v>
      </c>
      <c r="C58" s="529" t="s">
        <v>123</v>
      </c>
      <c r="D58" s="564" t="s">
        <v>124</v>
      </c>
      <c r="E58" s="533" t="s">
        <v>480</v>
      </c>
      <c r="F58" s="535"/>
      <c r="G58" s="527" t="s">
        <v>125</v>
      </c>
      <c r="H58" s="534">
        <v>-30.257999999999999</v>
      </c>
      <c r="I58" s="534">
        <v>-33.759</v>
      </c>
      <c r="J58" s="534">
        <v>-91.878</v>
      </c>
      <c r="K58" s="534">
        <v>-17.890999999999998</v>
      </c>
      <c r="L58" s="534">
        <v>-31.965</v>
      </c>
      <c r="M58" s="534">
        <v>-40</v>
      </c>
      <c r="N58" s="534">
        <v>-187</v>
      </c>
      <c r="O58" s="534">
        <v>-128</v>
      </c>
      <c r="P58" s="534">
        <v>-552</v>
      </c>
      <c r="Q58" s="534">
        <v>-360</v>
      </c>
      <c r="R58" s="534">
        <v>0</v>
      </c>
      <c r="S58" s="534">
        <v>0</v>
      </c>
    </row>
    <row r="59" spans="1:19" ht="12" x14ac:dyDescent="0.2">
      <c r="B59" s="563" t="s">
        <v>126</v>
      </c>
      <c r="C59" s="565" t="s">
        <v>127</v>
      </c>
      <c r="D59" s="564" t="s">
        <v>128</v>
      </c>
      <c r="E59" s="533" t="s">
        <v>11</v>
      </c>
      <c r="F59" s="535"/>
      <c r="G59" s="566" t="s">
        <v>129</v>
      </c>
      <c r="H59" s="534">
        <v>0</v>
      </c>
      <c r="I59" s="534">
        <v>4.5</v>
      </c>
      <c r="J59" s="534">
        <v>0</v>
      </c>
      <c r="K59" s="534">
        <v>0</v>
      </c>
      <c r="L59" s="534">
        <v>0</v>
      </c>
      <c r="M59" s="534">
        <v>0</v>
      </c>
      <c r="N59" s="534">
        <v>150</v>
      </c>
      <c r="O59" s="534">
        <v>0</v>
      </c>
      <c r="P59" s="534">
        <v>0</v>
      </c>
      <c r="Q59" s="534">
        <v>0</v>
      </c>
      <c r="R59" s="534">
        <v>0</v>
      </c>
      <c r="S59" s="534">
        <v>0</v>
      </c>
    </row>
    <row r="60" spans="1:19" ht="12" x14ac:dyDescent="0.2">
      <c r="B60" s="563" t="s">
        <v>130</v>
      </c>
      <c r="C60" s="529" t="s">
        <v>492</v>
      </c>
      <c r="D60" s="564" t="s">
        <v>131</v>
      </c>
      <c r="E60" s="533" t="s">
        <v>11</v>
      </c>
      <c r="F60" s="535"/>
      <c r="G60" s="531" t="s">
        <v>132</v>
      </c>
      <c r="H60" s="534">
        <v>932.36199999999997</v>
      </c>
      <c r="I60" s="534">
        <v>940.81299999999999</v>
      </c>
      <c r="J60" s="534">
        <v>992.46799999999996</v>
      </c>
      <c r="K60" s="534">
        <v>993.74400000000003</v>
      </c>
      <c r="L60" s="534">
        <v>578.18799999999999</v>
      </c>
      <c r="M60" s="534">
        <v>42</v>
      </c>
      <c r="N60" s="534">
        <v>0</v>
      </c>
      <c r="O60" s="534">
        <v>0</v>
      </c>
      <c r="P60" s="534">
        <v>0</v>
      </c>
      <c r="Q60" s="534">
        <v>0</v>
      </c>
      <c r="R60" s="534">
        <v>0</v>
      </c>
      <c r="S60" s="534">
        <v>0</v>
      </c>
    </row>
    <row r="61" spans="1:19" ht="12" x14ac:dyDescent="0.2">
      <c r="B61" s="563" t="s">
        <v>133</v>
      </c>
      <c r="C61" s="529" t="s">
        <v>134</v>
      </c>
      <c r="D61" s="529" t="s">
        <v>135</v>
      </c>
      <c r="E61" s="533" t="s">
        <v>480</v>
      </c>
      <c r="F61" s="535"/>
      <c r="G61" s="531" t="s">
        <v>136</v>
      </c>
      <c r="H61" s="534">
        <v>0</v>
      </c>
      <c r="I61" s="534">
        <v>0</v>
      </c>
      <c r="J61" s="534">
        <v>0</v>
      </c>
      <c r="K61" s="534">
        <v>0</v>
      </c>
      <c r="L61" s="534">
        <v>0</v>
      </c>
      <c r="M61" s="534">
        <v>0</v>
      </c>
      <c r="N61" s="534">
        <v>0</v>
      </c>
      <c r="O61" s="534">
        <v>0</v>
      </c>
      <c r="P61" s="534">
        <v>0</v>
      </c>
      <c r="Q61" s="534">
        <v>0</v>
      </c>
      <c r="R61" s="534">
        <v>0</v>
      </c>
      <c r="S61" s="534">
        <v>0</v>
      </c>
    </row>
    <row r="62" spans="1:19" ht="12" x14ac:dyDescent="0.2">
      <c r="B62" s="563" t="s">
        <v>137</v>
      </c>
      <c r="C62" s="532">
        <v>253800</v>
      </c>
      <c r="D62" s="529" t="s">
        <v>131</v>
      </c>
      <c r="E62" s="533" t="s">
        <v>11</v>
      </c>
      <c r="F62" s="535"/>
      <c r="G62" s="531" t="s">
        <v>138</v>
      </c>
      <c r="H62" s="534">
        <v>0</v>
      </c>
      <c r="I62" s="534">
        <v>0</v>
      </c>
      <c r="J62" s="534">
        <v>0</v>
      </c>
      <c r="K62" s="534">
        <v>0</v>
      </c>
      <c r="L62" s="534">
        <v>0</v>
      </c>
      <c r="M62" s="534">
        <v>0</v>
      </c>
      <c r="N62" s="534">
        <v>0</v>
      </c>
      <c r="O62" s="534">
        <v>0</v>
      </c>
      <c r="P62" s="534">
        <v>0</v>
      </c>
      <c r="Q62" s="534">
        <v>0</v>
      </c>
      <c r="R62" s="534">
        <v>0</v>
      </c>
      <c r="S62" s="534">
        <v>0</v>
      </c>
    </row>
    <row r="63" spans="1:19" ht="12" x14ac:dyDescent="0.2">
      <c r="B63" s="563" t="s">
        <v>139</v>
      </c>
      <c r="C63" s="532">
        <v>150</v>
      </c>
      <c r="D63" s="529" t="s">
        <v>135</v>
      </c>
      <c r="E63" s="533" t="s">
        <v>480</v>
      </c>
      <c r="F63" s="535"/>
      <c r="G63" s="531" t="s">
        <v>140</v>
      </c>
      <c r="H63" s="534">
        <v>0</v>
      </c>
      <c r="I63" s="534">
        <v>0</v>
      </c>
      <c r="J63" s="534">
        <v>0</v>
      </c>
      <c r="K63" s="534">
        <v>0</v>
      </c>
      <c r="L63" s="534">
        <v>0</v>
      </c>
      <c r="M63" s="534">
        <v>0</v>
      </c>
      <c r="N63" s="534">
        <v>0</v>
      </c>
      <c r="O63" s="534">
        <v>0</v>
      </c>
      <c r="P63" s="534">
        <v>0</v>
      </c>
      <c r="Q63" s="534">
        <v>0</v>
      </c>
      <c r="R63" s="534">
        <v>0</v>
      </c>
      <c r="S63" s="534">
        <v>0</v>
      </c>
    </row>
    <row r="64" spans="1:19" ht="12" x14ac:dyDescent="0.2">
      <c r="B64" s="563" t="s">
        <v>141</v>
      </c>
      <c r="C64" s="529" t="s">
        <v>142</v>
      </c>
      <c r="D64" s="529" t="s">
        <v>131</v>
      </c>
      <c r="E64" s="533" t="s">
        <v>11</v>
      </c>
      <c r="F64" s="535"/>
      <c r="G64" s="531" t="s">
        <v>143</v>
      </c>
      <c r="H64" s="534">
        <v>0</v>
      </c>
      <c r="I64" s="534">
        <v>0</v>
      </c>
      <c r="J64" s="534">
        <v>0</v>
      </c>
      <c r="K64" s="534">
        <v>0</v>
      </c>
      <c r="L64" s="534">
        <v>0</v>
      </c>
      <c r="M64" s="534">
        <v>0</v>
      </c>
      <c r="N64" s="534">
        <v>0</v>
      </c>
      <c r="O64" s="534">
        <v>0</v>
      </c>
      <c r="P64" s="534">
        <v>0</v>
      </c>
      <c r="Q64" s="534">
        <v>0</v>
      </c>
      <c r="R64" s="534">
        <v>0</v>
      </c>
      <c r="S64" s="534">
        <v>0</v>
      </c>
    </row>
    <row r="65" spans="2:19" ht="12" x14ac:dyDescent="0.2">
      <c r="B65" s="563" t="s">
        <v>144</v>
      </c>
      <c r="C65" s="529" t="s">
        <v>493</v>
      </c>
      <c r="D65" s="529" t="s">
        <v>135</v>
      </c>
      <c r="E65" s="533" t="s">
        <v>480</v>
      </c>
      <c r="F65" s="535"/>
      <c r="G65" s="531" t="s">
        <v>145</v>
      </c>
      <c r="H65" s="534">
        <v>0</v>
      </c>
      <c r="I65" s="534">
        <v>0</v>
      </c>
      <c r="J65" s="534">
        <v>0</v>
      </c>
      <c r="K65" s="534">
        <v>0</v>
      </c>
      <c r="L65" s="534">
        <v>0</v>
      </c>
      <c r="M65" s="534">
        <v>0</v>
      </c>
      <c r="N65" s="534">
        <v>0</v>
      </c>
      <c r="O65" s="534">
        <v>0</v>
      </c>
      <c r="P65" s="534">
        <v>0</v>
      </c>
      <c r="Q65" s="534">
        <v>0</v>
      </c>
      <c r="R65" s="534">
        <v>0</v>
      </c>
      <c r="S65" s="534">
        <v>0</v>
      </c>
    </row>
    <row r="66" spans="2:19" ht="12" x14ac:dyDescent="0.2">
      <c r="B66" s="563" t="s">
        <v>146</v>
      </c>
      <c r="C66" s="529" t="s">
        <v>493</v>
      </c>
      <c r="D66" s="529" t="s">
        <v>131</v>
      </c>
      <c r="E66" s="533" t="s">
        <v>11</v>
      </c>
      <c r="F66" s="535"/>
      <c r="G66" s="531" t="s">
        <v>147</v>
      </c>
      <c r="H66" s="534">
        <v>0</v>
      </c>
      <c r="I66" s="534">
        <v>0</v>
      </c>
      <c r="J66" s="534">
        <v>0</v>
      </c>
      <c r="K66" s="534">
        <v>0</v>
      </c>
      <c r="L66" s="534">
        <v>0</v>
      </c>
      <c r="M66" s="534">
        <v>0</v>
      </c>
      <c r="N66" s="534">
        <v>0</v>
      </c>
      <c r="O66" s="534">
        <v>0</v>
      </c>
      <c r="P66" s="534">
        <v>0</v>
      </c>
      <c r="Q66" s="534">
        <v>0</v>
      </c>
      <c r="R66" s="534">
        <v>0</v>
      </c>
      <c r="S66" s="534">
        <v>0</v>
      </c>
    </row>
    <row r="67" spans="2:19" ht="12" x14ac:dyDescent="0.2">
      <c r="B67" s="563" t="s">
        <v>148</v>
      </c>
      <c r="C67" s="529" t="s">
        <v>149</v>
      </c>
      <c r="D67" s="529" t="s">
        <v>135</v>
      </c>
      <c r="E67" s="533" t="s">
        <v>480</v>
      </c>
      <c r="F67" s="535"/>
      <c r="G67" s="531" t="s">
        <v>150</v>
      </c>
      <c r="H67" s="534">
        <v>-5.15</v>
      </c>
      <c r="I67" s="534">
        <v>-10.199999999999999</v>
      </c>
      <c r="J67" s="534">
        <v>-14.4</v>
      </c>
      <c r="K67" s="534">
        <v>-15.635999999999999</v>
      </c>
      <c r="L67" s="534">
        <v>-7.4</v>
      </c>
      <c r="M67" s="534">
        <v>-13</v>
      </c>
      <c r="N67" s="534">
        <v>0</v>
      </c>
      <c r="O67" s="534">
        <v>0</v>
      </c>
      <c r="P67" s="534">
        <v>0</v>
      </c>
      <c r="Q67" s="534">
        <v>0</v>
      </c>
      <c r="R67" s="534">
        <v>0</v>
      </c>
      <c r="S67" s="534">
        <v>0</v>
      </c>
    </row>
    <row r="68" spans="2:19" ht="12" x14ac:dyDescent="0.2">
      <c r="B68" s="563" t="s">
        <v>151</v>
      </c>
      <c r="C68" s="529" t="s">
        <v>149</v>
      </c>
      <c r="D68" s="529" t="s">
        <v>131</v>
      </c>
      <c r="E68" s="533" t="s">
        <v>11</v>
      </c>
      <c r="F68" s="535"/>
      <c r="G68" s="531" t="s">
        <v>152</v>
      </c>
      <c r="H68" s="534">
        <v>3.1640000000000001</v>
      </c>
      <c r="I68" s="534">
        <v>6.6970000000000001</v>
      </c>
      <c r="J68" s="534">
        <v>10.823</v>
      </c>
      <c r="K68" s="534">
        <v>14.91</v>
      </c>
      <c r="L68" s="534">
        <v>13.695</v>
      </c>
      <c r="M68" s="534">
        <v>10</v>
      </c>
      <c r="N68" s="534">
        <v>6</v>
      </c>
      <c r="O68" s="534">
        <v>2</v>
      </c>
      <c r="P68" s="534">
        <v>0</v>
      </c>
      <c r="Q68" s="534">
        <v>0</v>
      </c>
      <c r="R68" s="534">
        <v>0</v>
      </c>
      <c r="S68" s="534">
        <v>0</v>
      </c>
    </row>
    <row r="69" spans="2:19" ht="12" x14ac:dyDescent="0.2">
      <c r="B69" s="563" t="s">
        <v>153</v>
      </c>
      <c r="C69" s="529" t="s">
        <v>142</v>
      </c>
      <c r="D69" s="529" t="s">
        <v>131</v>
      </c>
      <c r="E69" s="533" t="s">
        <v>11</v>
      </c>
      <c r="F69" s="535"/>
      <c r="G69" s="531" t="s">
        <v>154</v>
      </c>
      <c r="H69" s="534">
        <v>0</v>
      </c>
      <c r="I69" s="534">
        <v>0</v>
      </c>
      <c r="J69" s="534">
        <v>0</v>
      </c>
      <c r="K69" s="534">
        <v>0</v>
      </c>
      <c r="L69" s="534">
        <v>0</v>
      </c>
      <c r="M69" s="534">
        <v>0</v>
      </c>
      <c r="N69" s="534">
        <v>0</v>
      </c>
      <c r="O69" s="534">
        <v>0</v>
      </c>
      <c r="P69" s="534">
        <v>0</v>
      </c>
      <c r="Q69" s="534">
        <v>0</v>
      </c>
      <c r="R69" s="534">
        <v>0</v>
      </c>
      <c r="S69" s="534">
        <v>0</v>
      </c>
    </row>
    <row r="70" spans="2:19" ht="12" x14ac:dyDescent="0.2">
      <c r="B70" s="563" t="s">
        <v>155</v>
      </c>
      <c r="C70" s="546" t="s">
        <v>156</v>
      </c>
      <c r="D70" s="529"/>
      <c r="E70" s="533" t="s">
        <v>479</v>
      </c>
      <c r="F70" s="535"/>
      <c r="G70" s="531" t="s">
        <v>107</v>
      </c>
      <c r="H70" s="534">
        <v>0.628</v>
      </c>
      <c r="I70" s="534">
        <v>1.6970000000000001</v>
      </c>
      <c r="J70" s="534">
        <v>0.26700000000000002</v>
      </c>
      <c r="K70" s="534">
        <v>0.23700000000000002</v>
      </c>
      <c r="L70" s="534">
        <v>0.97</v>
      </c>
      <c r="M70" s="534">
        <v>1</v>
      </c>
      <c r="N70" s="534">
        <v>0</v>
      </c>
      <c r="O70" s="534">
        <v>0</v>
      </c>
      <c r="P70" s="534">
        <v>0</v>
      </c>
      <c r="Q70" s="534">
        <v>0</v>
      </c>
      <c r="R70" s="534">
        <v>0</v>
      </c>
      <c r="S70" s="534">
        <v>0</v>
      </c>
    </row>
    <row r="71" spans="2:19" x14ac:dyDescent="0.2">
      <c r="B71" s="563" t="s">
        <v>157</v>
      </c>
      <c r="D71" s="529"/>
      <c r="E71" s="535"/>
      <c r="F71" s="535"/>
      <c r="G71" s="567" t="s">
        <v>158</v>
      </c>
      <c r="H71" s="528">
        <f t="shared" ref="H71:S71" si="16">SUM(H58:H70)</f>
        <v>900.74599999999998</v>
      </c>
      <c r="I71" s="528">
        <f t="shared" si="16"/>
        <v>909.74799999999993</v>
      </c>
      <c r="J71" s="528">
        <f t="shared" si="16"/>
        <v>897.28</v>
      </c>
      <c r="K71" s="528">
        <f t="shared" si="16"/>
        <v>975.36400000000003</v>
      </c>
      <c r="L71" s="528">
        <f t="shared" si="16"/>
        <v>553.48800000000006</v>
      </c>
      <c r="M71" s="528">
        <f t="shared" si="16"/>
        <v>0</v>
      </c>
      <c r="N71" s="528">
        <f t="shared" si="16"/>
        <v>-31</v>
      </c>
      <c r="O71" s="528">
        <f t="shared" si="16"/>
        <v>-126</v>
      </c>
      <c r="P71" s="528">
        <f t="shared" si="16"/>
        <v>-552</v>
      </c>
      <c r="Q71" s="528">
        <f t="shared" si="16"/>
        <v>-360</v>
      </c>
      <c r="R71" s="528">
        <f t="shared" si="16"/>
        <v>0</v>
      </c>
      <c r="S71" s="528">
        <f t="shared" si="16"/>
        <v>0</v>
      </c>
    </row>
    <row r="72" spans="2:19" x14ac:dyDescent="0.2">
      <c r="D72" s="529"/>
    </row>
    <row r="73" spans="2:19" x14ac:dyDescent="0.2">
      <c r="D73" s="561" t="s">
        <v>120</v>
      </c>
      <c r="E73" s="562" t="s">
        <v>3</v>
      </c>
      <c r="F73" s="530"/>
      <c r="G73" s="523" t="s">
        <v>159</v>
      </c>
      <c r="H73" s="554">
        <f t="shared" ref="H73:S73" si="17">H57</f>
        <v>2011</v>
      </c>
      <c r="I73" s="554">
        <f t="shared" si="17"/>
        <v>2012</v>
      </c>
      <c r="J73" s="554">
        <f t="shared" si="17"/>
        <v>2013</v>
      </c>
      <c r="K73" s="554">
        <f t="shared" si="17"/>
        <v>2014</v>
      </c>
      <c r="L73" s="554">
        <f t="shared" si="17"/>
        <v>2015</v>
      </c>
      <c r="M73" s="554">
        <f t="shared" si="17"/>
        <v>2016</v>
      </c>
      <c r="N73" s="554">
        <f t="shared" si="17"/>
        <v>2017</v>
      </c>
      <c r="O73" s="554">
        <f t="shared" si="17"/>
        <v>2018</v>
      </c>
      <c r="P73" s="554">
        <f t="shared" si="17"/>
        <v>2019</v>
      </c>
      <c r="Q73" s="554">
        <f t="shared" si="17"/>
        <v>2020</v>
      </c>
      <c r="R73" s="554">
        <f t="shared" si="17"/>
        <v>2021</v>
      </c>
      <c r="S73" s="554">
        <f t="shared" si="17"/>
        <v>2022</v>
      </c>
    </row>
    <row r="74" spans="2:19" ht="12" x14ac:dyDescent="0.2">
      <c r="B74" s="513" t="s">
        <v>160</v>
      </c>
      <c r="C74" s="529" t="s">
        <v>161</v>
      </c>
      <c r="D74" s="529" t="s">
        <v>128</v>
      </c>
      <c r="E74" s="533" t="s">
        <v>11</v>
      </c>
      <c r="G74" s="527" t="s">
        <v>162</v>
      </c>
      <c r="H74" s="534">
        <v>0</v>
      </c>
      <c r="I74" s="534">
        <v>0</v>
      </c>
      <c r="J74" s="534">
        <v>0</v>
      </c>
      <c r="K74" s="534">
        <v>0</v>
      </c>
      <c r="L74" s="534">
        <v>0</v>
      </c>
      <c r="M74" s="534">
        <v>0</v>
      </c>
      <c r="N74" s="534">
        <v>0</v>
      </c>
      <c r="O74" s="534">
        <v>0</v>
      </c>
      <c r="P74" s="534">
        <v>0</v>
      </c>
      <c r="Q74" s="534">
        <v>0</v>
      </c>
      <c r="R74" s="534">
        <v>0</v>
      </c>
      <c r="S74" s="534">
        <v>0</v>
      </c>
    </row>
    <row r="75" spans="2:19" ht="12" x14ac:dyDescent="0.2">
      <c r="B75" s="513" t="s">
        <v>163</v>
      </c>
      <c r="C75" s="529" t="s">
        <v>161</v>
      </c>
      <c r="D75" s="529" t="s">
        <v>124</v>
      </c>
      <c r="E75" s="533" t="s">
        <v>480</v>
      </c>
      <c r="F75" s="535"/>
      <c r="G75" s="531" t="s">
        <v>164</v>
      </c>
      <c r="H75" s="534">
        <v>0</v>
      </c>
      <c r="I75" s="534">
        <v>0</v>
      </c>
      <c r="J75" s="534">
        <v>0</v>
      </c>
      <c r="K75" s="534">
        <v>0</v>
      </c>
      <c r="L75" s="534">
        <v>0</v>
      </c>
      <c r="M75" s="534">
        <v>0</v>
      </c>
      <c r="N75" s="534">
        <v>0</v>
      </c>
      <c r="O75" s="534">
        <v>0</v>
      </c>
      <c r="P75" s="534">
        <v>0</v>
      </c>
      <c r="Q75" s="534">
        <v>0</v>
      </c>
      <c r="R75" s="534">
        <v>0</v>
      </c>
      <c r="S75" s="534">
        <v>0</v>
      </c>
    </row>
    <row r="76" spans="2:19" ht="12" x14ac:dyDescent="0.2">
      <c r="B76" s="513" t="s">
        <v>165</v>
      </c>
      <c r="C76" s="529" t="s">
        <v>166</v>
      </c>
      <c r="D76" s="529" t="s">
        <v>131</v>
      </c>
      <c r="E76" s="533" t="s">
        <v>11</v>
      </c>
      <c r="G76" s="531" t="s">
        <v>167</v>
      </c>
      <c r="H76" s="534">
        <v>0</v>
      </c>
      <c r="I76" s="534">
        <v>0</v>
      </c>
      <c r="J76" s="534">
        <v>0</v>
      </c>
      <c r="K76" s="534">
        <v>0</v>
      </c>
      <c r="L76" s="534">
        <v>0</v>
      </c>
      <c r="M76" s="534">
        <v>0</v>
      </c>
      <c r="N76" s="534">
        <v>0</v>
      </c>
      <c r="O76" s="534">
        <v>0</v>
      </c>
      <c r="P76" s="534">
        <v>0</v>
      </c>
      <c r="Q76" s="534">
        <v>0</v>
      </c>
      <c r="R76" s="534">
        <v>0</v>
      </c>
      <c r="S76" s="534">
        <v>0</v>
      </c>
    </row>
    <row r="77" spans="2:19" ht="12" x14ac:dyDescent="0.2">
      <c r="B77" s="513" t="s">
        <v>168</v>
      </c>
      <c r="C77" s="529" t="s">
        <v>166</v>
      </c>
      <c r="D77" s="529" t="s">
        <v>135</v>
      </c>
      <c r="E77" s="533" t="s">
        <v>480</v>
      </c>
      <c r="F77" s="535"/>
      <c r="G77" s="531" t="s">
        <v>169</v>
      </c>
      <c r="H77" s="534">
        <v>-929.48900000000003</v>
      </c>
      <c r="I77" s="534">
        <v>-942.68499999999995</v>
      </c>
      <c r="J77" s="534">
        <v>-971.98400000000004</v>
      </c>
      <c r="K77" s="534">
        <v>-978.74300000000005</v>
      </c>
      <c r="L77" s="534">
        <v>-593.22299999999996</v>
      </c>
      <c r="M77" s="534">
        <v>-441</v>
      </c>
      <c r="N77" s="534">
        <v>-42</v>
      </c>
      <c r="O77" s="534">
        <v>0</v>
      </c>
      <c r="P77" s="534">
        <v>0</v>
      </c>
      <c r="Q77" s="534">
        <v>0</v>
      </c>
      <c r="R77" s="534">
        <v>0</v>
      </c>
      <c r="S77" s="534">
        <v>0</v>
      </c>
    </row>
    <row r="78" spans="2:19" ht="12" x14ac:dyDescent="0.2">
      <c r="B78" s="513" t="s">
        <v>170</v>
      </c>
      <c r="C78" s="529" t="s">
        <v>171</v>
      </c>
      <c r="D78" s="529" t="s">
        <v>135</v>
      </c>
      <c r="E78" s="533" t="s">
        <v>480</v>
      </c>
      <c r="F78" s="535"/>
      <c r="G78" s="531" t="s">
        <v>172</v>
      </c>
      <c r="H78" s="534">
        <v>0</v>
      </c>
      <c r="I78" s="534">
        <v>0</v>
      </c>
      <c r="J78" s="534">
        <v>0</v>
      </c>
      <c r="K78" s="534">
        <v>0</v>
      </c>
      <c r="L78" s="534">
        <v>0</v>
      </c>
      <c r="M78" s="534">
        <v>0</v>
      </c>
      <c r="N78" s="534">
        <v>0</v>
      </c>
      <c r="O78" s="534">
        <v>0</v>
      </c>
      <c r="P78" s="534">
        <v>0</v>
      </c>
      <c r="Q78" s="534">
        <v>0</v>
      </c>
      <c r="R78" s="534">
        <v>0</v>
      </c>
      <c r="S78" s="534">
        <v>0</v>
      </c>
    </row>
    <row r="79" spans="2:19" ht="12" x14ac:dyDescent="0.2">
      <c r="B79" s="513" t="s">
        <v>173</v>
      </c>
      <c r="C79" s="529" t="s">
        <v>174</v>
      </c>
      <c r="D79" s="529" t="s">
        <v>135</v>
      </c>
      <c r="E79" s="533" t="s">
        <v>480</v>
      </c>
      <c r="F79" s="535"/>
      <c r="G79" s="531" t="s">
        <v>175</v>
      </c>
      <c r="H79" s="534">
        <v>-77.393000000000001</v>
      </c>
      <c r="I79" s="534">
        <v>-49.749000000000002</v>
      </c>
      <c r="J79" s="534">
        <v>-18.488</v>
      </c>
      <c r="K79" s="534">
        <v>-11.888</v>
      </c>
      <c r="L79" s="534">
        <v>-4.5949999999999998</v>
      </c>
      <c r="M79" s="534">
        <v>0</v>
      </c>
      <c r="N79" s="534">
        <v>0</v>
      </c>
      <c r="O79" s="534">
        <v>0</v>
      </c>
      <c r="P79" s="534">
        <v>0</v>
      </c>
      <c r="Q79" s="534">
        <v>0</v>
      </c>
      <c r="R79" s="534">
        <v>0</v>
      </c>
      <c r="S79" s="534">
        <v>0</v>
      </c>
    </row>
    <row r="80" spans="2:19" ht="12" x14ac:dyDescent="0.2">
      <c r="B80" s="513" t="s">
        <v>176</v>
      </c>
      <c r="C80" s="529" t="s">
        <v>177</v>
      </c>
      <c r="D80" s="529" t="s">
        <v>135</v>
      </c>
      <c r="E80" s="533" t="s">
        <v>480</v>
      </c>
      <c r="F80" s="535"/>
      <c r="G80" s="531" t="s">
        <v>178</v>
      </c>
      <c r="H80" s="534">
        <v>0</v>
      </c>
      <c r="I80" s="534">
        <v>0</v>
      </c>
      <c r="J80" s="534">
        <v>0</v>
      </c>
      <c r="K80" s="534">
        <v>0</v>
      </c>
      <c r="L80" s="534">
        <v>0</v>
      </c>
      <c r="M80" s="534">
        <v>0</v>
      </c>
      <c r="N80" s="534">
        <v>0</v>
      </c>
      <c r="O80" s="534">
        <v>0</v>
      </c>
      <c r="P80" s="534">
        <v>0</v>
      </c>
      <c r="Q80" s="534">
        <v>0</v>
      </c>
      <c r="R80" s="534">
        <v>0</v>
      </c>
      <c r="S80" s="534">
        <v>0</v>
      </c>
    </row>
    <row r="81" spans="1:19" ht="12" x14ac:dyDescent="0.2">
      <c r="B81" s="513" t="s">
        <v>179</v>
      </c>
      <c r="C81" s="529" t="s">
        <v>52</v>
      </c>
      <c r="D81" s="529" t="s">
        <v>135</v>
      </c>
      <c r="E81" s="533" t="s">
        <v>480</v>
      </c>
      <c r="F81" s="535"/>
      <c r="G81" s="531" t="s">
        <v>180</v>
      </c>
      <c r="H81" s="534">
        <v>0</v>
      </c>
      <c r="I81" s="534">
        <v>0</v>
      </c>
      <c r="J81" s="534">
        <v>0</v>
      </c>
      <c r="K81" s="534">
        <v>0</v>
      </c>
      <c r="L81" s="534">
        <v>0</v>
      </c>
      <c r="M81" s="534">
        <v>0</v>
      </c>
      <c r="N81" s="534">
        <v>0</v>
      </c>
      <c r="O81" s="534">
        <v>0</v>
      </c>
      <c r="P81" s="534">
        <v>0</v>
      </c>
      <c r="Q81" s="534">
        <v>0</v>
      </c>
      <c r="R81" s="534">
        <v>0</v>
      </c>
      <c r="S81" s="534">
        <v>0</v>
      </c>
    </row>
    <row r="82" spans="1:19" ht="12" x14ac:dyDescent="0.2">
      <c r="B82" s="513" t="s">
        <v>181</v>
      </c>
      <c r="C82" s="529" t="s">
        <v>182</v>
      </c>
      <c r="D82" s="529" t="s">
        <v>131</v>
      </c>
      <c r="E82" s="533" t="s">
        <v>11</v>
      </c>
      <c r="G82" s="531" t="s">
        <v>183</v>
      </c>
      <c r="H82" s="534">
        <v>0</v>
      </c>
      <c r="I82" s="534">
        <v>0</v>
      </c>
      <c r="J82" s="534">
        <v>0</v>
      </c>
      <c r="K82" s="534">
        <v>0</v>
      </c>
      <c r="L82" s="534">
        <v>0</v>
      </c>
      <c r="M82" s="534">
        <v>0</v>
      </c>
      <c r="N82" s="534">
        <v>0</v>
      </c>
      <c r="O82" s="534">
        <v>0</v>
      </c>
      <c r="P82" s="534">
        <v>0</v>
      </c>
      <c r="Q82" s="534">
        <v>0</v>
      </c>
      <c r="R82" s="534">
        <v>0</v>
      </c>
      <c r="S82" s="534">
        <v>0</v>
      </c>
    </row>
    <row r="83" spans="1:19" ht="12" x14ac:dyDescent="0.2">
      <c r="B83" s="513" t="s">
        <v>184</v>
      </c>
      <c r="C83" s="529" t="s">
        <v>182</v>
      </c>
      <c r="D83" s="529" t="s">
        <v>135</v>
      </c>
      <c r="E83" s="533" t="s">
        <v>480</v>
      </c>
      <c r="F83" s="535"/>
      <c r="G83" s="531" t="s">
        <v>494</v>
      </c>
      <c r="H83" s="534">
        <v>0</v>
      </c>
      <c r="I83" s="534">
        <v>0</v>
      </c>
      <c r="J83" s="534">
        <v>0</v>
      </c>
      <c r="K83" s="534">
        <v>0</v>
      </c>
      <c r="L83" s="534">
        <v>0</v>
      </c>
      <c r="M83" s="534">
        <v>0</v>
      </c>
      <c r="N83" s="534">
        <v>0</v>
      </c>
      <c r="O83" s="534">
        <v>0</v>
      </c>
      <c r="P83" s="534">
        <v>0</v>
      </c>
      <c r="Q83" s="534">
        <v>0</v>
      </c>
      <c r="R83" s="534">
        <v>0</v>
      </c>
      <c r="S83" s="534">
        <v>0</v>
      </c>
    </row>
    <row r="84" spans="1:19" ht="12" x14ac:dyDescent="0.2">
      <c r="B84" s="513" t="s">
        <v>185</v>
      </c>
      <c r="C84" s="532">
        <v>68</v>
      </c>
      <c r="D84" s="529" t="s">
        <v>135</v>
      </c>
      <c r="E84" s="533" t="s">
        <v>480</v>
      </c>
      <c r="F84" s="535"/>
      <c r="G84" s="569" t="s">
        <v>111</v>
      </c>
      <c r="H84" s="534">
        <v>0</v>
      </c>
      <c r="I84" s="534">
        <v>0</v>
      </c>
      <c r="J84" s="534">
        <v>0</v>
      </c>
      <c r="K84" s="534">
        <v>0</v>
      </c>
      <c r="L84" s="534">
        <v>0</v>
      </c>
      <c r="M84" s="534">
        <v>0</v>
      </c>
      <c r="N84" s="534">
        <v>0</v>
      </c>
      <c r="O84" s="534">
        <v>0</v>
      </c>
      <c r="P84" s="534">
        <v>0</v>
      </c>
      <c r="Q84" s="534">
        <v>0</v>
      </c>
      <c r="R84" s="534">
        <v>0</v>
      </c>
      <c r="S84" s="534">
        <v>0</v>
      </c>
    </row>
    <row r="85" spans="1:19" x14ac:dyDescent="0.2">
      <c r="B85" s="513" t="s">
        <v>186</v>
      </c>
      <c r="G85" s="569" t="s">
        <v>158</v>
      </c>
      <c r="H85" s="528">
        <f t="shared" ref="H85:S85" si="18">SUM(H74:H84)</f>
        <v>-1006.8820000000001</v>
      </c>
      <c r="I85" s="528">
        <f t="shared" si="18"/>
        <v>-992.43399999999997</v>
      </c>
      <c r="J85" s="528">
        <f t="shared" si="18"/>
        <v>-990.47199999999998</v>
      </c>
      <c r="K85" s="528">
        <f t="shared" si="18"/>
        <v>-990.63100000000009</v>
      </c>
      <c r="L85" s="528">
        <f t="shared" si="18"/>
        <v>-597.81799999999998</v>
      </c>
      <c r="M85" s="528">
        <f t="shared" si="18"/>
        <v>-441</v>
      </c>
      <c r="N85" s="528">
        <f t="shared" si="18"/>
        <v>-42</v>
      </c>
      <c r="O85" s="528">
        <f t="shared" si="18"/>
        <v>0</v>
      </c>
      <c r="P85" s="528">
        <f t="shared" si="18"/>
        <v>0</v>
      </c>
      <c r="Q85" s="528">
        <f t="shared" si="18"/>
        <v>0</v>
      </c>
      <c r="R85" s="528">
        <f t="shared" si="18"/>
        <v>0</v>
      </c>
      <c r="S85" s="528">
        <f t="shared" si="18"/>
        <v>0</v>
      </c>
    </row>
    <row r="87" spans="1:19" x14ac:dyDescent="0.2">
      <c r="A87" s="536" t="s">
        <v>0</v>
      </c>
      <c r="D87" s="756" t="s">
        <v>187</v>
      </c>
      <c r="E87" s="756"/>
      <c r="G87" s="523" t="s">
        <v>495</v>
      </c>
      <c r="H87" s="554">
        <f t="shared" ref="H87:S87" si="19">H32</f>
        <v>2011</v>
      </c>
      <c r="I87" s="554">
        <f t="shared" si="19"/>
        <v>2012</v>
      </c>
      <c r="J87" s="554">
        <f t="shared" si="19"/>
        <v>2013</v>
      </c>
      <c r="K87" s="554">
        <f t="shared" si="19"/>
        <v>2014</v>
      </c>
      <c r="L87" s="554">
        <f t="shared" si="19"/>
        <v>2015</v>
      </c>
      <c r="M87" s="554">
        <f t="shared" si="19"/>
        <v>2016</v>
      </c>
      <c r="N87" s="554">
        <f t="shared" si="19"/>
        <v>2017</v>
      </c>
      <c r="O87" s="554">
        <f t="shared" si="19"/>
        <v>2018</v>
      </c>
      <c r="P87" s="554">
        <f t="shared" si="19"/>
        <v>2019</v>
      </c>
      <c r="Q87" s="554">
        <f t="shared" si="19"/>
        <v>2020</v>
      </c>
      <c r="R87" s="554">
        <f t="shared" si="19"/>
        <v>2021</v>
      </c>
      <c r="S87" s="554">
        <f t="shared" si="19"/>
        <v>2022</v>
      </c>
    </row>
    <row r="88" spans="1:19" x14ac:dyDescent="0.2">
      <c r="A88" s="529" t="s">
        <v>496</v>
      </c>
      <c r="B88" s="513" t="s">
        <v>188</v>
      </c>
      <c r="C88" s="529" t="s">
        <v>497</v>
      </c>
      <c r="E88" s="570"/>
      <c r="G88" s="527" t="s">
        <v>498</v>
      </c>
      <c r="H88" s="528">
        <f t="shared" ref="H88:S88" si="20">H46+H71</f>
        <v>326.35999999999956</v>
      </c>
      <c r="I88" s="528">
        <f t="shared" si="20"/>
        <v>463.8850000000001</v>
      </c>
      <c r="J88" s="528">
        <f t="shared" si="20"/>
        <v>222.423</v>
      </c>
      <c r="K88" s="528">
        <f t="shared" si="20"/>
        <v>532.33099999999968</v>
      </c>
      <c r="L88" s="528">
        <f t="shared" si="20"/>
        <v>129.60700000000065</v>
      </c>
      <c r="M88" s="528">
        <f t="shared" si="20"/>
        <v>-404</v>
      </c>
      <c r="N88" s="528">
        <f t="shared" si="20"/>
        <v>-426</v>
      </c>
      <c r="O88" s="528">
        <f t="shared" si="20"/>
        <v>-571</v>
      </c>
      <c r="P88" s="528">
        <f t="shared" si="20"/>
        <v>-471</v>
      </c>
      <c r="Q88" s="528">
        <f t="shared" si="20"/>
        <v>-364</v>
      </c>
      <c r="R88" s="528">
        <f t="shared" si="20"/>
        <v>-513.25</v>
      </c>
      <c r="S88" s="528">
        <f t="shared" si="20"/>
        <v>-503.14999999999964</v>
      </c>
    </row>
    <row r="89" spans="1:19" x14ac:dyDescent="0.2">
      <c r="A89" s="529" t="s">
        <v>499</v>
      </c>
      <c r="B89" s="513" t="s">
        <v>189</v>
      </c>
      <c r="C89" s="529" t="s">
        <v>190</v>
      </c>
      <c r="E89" s="570"/>
      <c r="G89" s="527" t="s">
        <v>191</v>
      </c>
      <c r="H89" s="571">
        <f t="shared" ref="H89:S89" si="21">H33+H38+H41-H45</f>
        <v>146.21699999999953</v>
      </c>
      <c r="I89" s="528">
        <f t="shared" si="21"/>
        <v>295.59400000000016</v>
      </c>
      <c r="J89" s="528">
        <f t="shared" si="21"/>
        <v>50.137000000000057</v>
      </c>
      <c r="K89" s="528">
        <f t="shared" si="21"/>
        <v>41.133999999999617</v>
      </c>
      <c r="L89" s="528">
        <f t="shared" si="21"/>
        <v>15.57600000000059</v>
      </c>
      <c r="M89" s="528">
        <f t="shared" si="21"/>
        <v>53</v>
      </c>
      <c r="N89" s="528">
        <f t="shared" si="21"/>
        <v>52</v>
      </c>
      <c r="O89" s="528">
        <f t="shared" si="21"/>
        <v>0</v>
      </c>
      <c r="P89" s="528">
        <f t="shared" si="21"/>
        <v>553</v>
      </c>
      <c r="Q89" s="528">
        <f t="shared" si="21"/>
        <v>523</v>
      </c>
      <c r="R89" s="528">
        <f t="shared" si="21"/>
        <v>49.75</v>
      </c>
      <c r="S89" s="528">
        <f t="shared" si="21"/>
        <v>59.850000000000364</v>
      </c>
    </row>
    <row r="90" spans="1:19" x14ac:dyDescent="0.2">
      <c r="A90" s="529" t="s">
        <v>500</v>
      </c>
      <c r="B90" s="513" t="s">
        <v>192</v>
      </c>
      <c r="C90" s="529" t="s">
        <v>501</v>
      </c>
      <c r="E90" s="572">
        <v>0</v>
      </c>
      <c r="G90" s="569" t="s">
        <v>193</v>
      </c>
      <c r="H90" s="573">
        <f t="shared" ref="H90:S90" si="22">H89/H33</f>
        <v>5.3297169345370175E-2</v>
      </c>
      <c r="I90" s="574">
        <f t="shared" si="22"/>
        <v>9.4085121390094562E-2</v>
      </c>
      <c r="J90" s="574">
        <f t="shared" si="22"/>
        <v>1.7439290142941884E-2</v>
      </c>
      <c r="K90" s="574">
        <f t="shared" si="22"/>
        <v>1.2826521407106762E-2</v>
      </c>
      <c r="L90" s="574">
        <f t="shared" si="22"/>
        <v>4.744260422615827E-3</v>
      </c>
      <c r="M90" s="574">
        <f t="shared" si="22"/>
        <v>1.5357867284844973E-2</v>
      </c>
      <c r="N90" s="574">
        <f t="shared" si="22"/>
        <v>1.4484679665738161E-2</v>
      </c>
      <c r="O90" s="574">
        <f t="shared" si="22"/>
        <v>0</v>
      </c>
      <c r="P90" s="574">
        <f t="shared" si="22"/>
        <v>0.10898699251083957</v>
      </c>
      <c r="Q90" s="574">
        <f t="shared" si="22"/>
        <v>0.10192944845059443</v>
      </c>
      <c r="R90" s="574">
        <f t="shared" si="22"/>
        <v>9.8793625577123564E-3</v>
      </c>
      <c r="S90" s="574">
        <f t="shared" si="22"/>
        <v>1.1452682338758357E-2</v>
      </c>
    </row>
    <row r="91" spans="1:19" x14ac:dyDescent="0.2">
      <c r="A91" s="529" t="s">
        <v>502</v>
      </c>
      <c r="B91" s="513" t="s">
        <v>194</v>
      </c>
      <c r="C91" s="529" t="s">
        <v>195</v>
      </c>
      <c r="E91" s="570"/>
      <c r="G91" s="531" t="s">
        <v>196</v>
      </c>
      <c r="H91" s="575">
        <f t="shared" ref="H91:S91" si="23">-H33/(H38+H41)</f>
        <v>0.82687823160724738</v>
      </c>
      <c r="I91" s="575">
        <f t="shared" si="23"/>
        <v>0.87572230731387113</v>
      </c>
      <c r="J91" s="575">
        <f t="shared" si="23"/>
        <v>0.80988883323633265</v>
      </c>
      <c r="K91" s="575">
        <f t="shared" si="23"/>
        <v>0.878620497306562</v>
      </c>
      <c r="L91" s="575">
        <f t="shared" si="23"/>
        <v>0.8856540831064208</v>
      </c>
      <c r="M91" s="575">
        <f t="shared" si="23"/>
        <v>0.89520103761348901</v>
      </c>
      <c r="N91" s="575">
        <f t="shared" si="23"/>
        <v>0.9008782936010038</v>
      </c>
      <c r="O91" s="575">
        <f t="shared" si="23"/>
        <v>0.89713361072584374</v>
      </c>
      <c r="P91" s="575">
        <f t="shared" si="23"/>
        <v>1.016222711796515</v>
      </c>
      <c r="Q91" s="575">
        <f t="shared" si="23"/>
        <v>0.99922103213242452</v>
      </c>
      <c r="R91" s="575">
        <f t="shared" si="23"/>
        <v>0.90750585691115515</v>
      </c>
      <c r="S91" s="575">
        <f t="shared" si="23"/>
        <v>0.91217489963344389</v>
      </c>
    </row>
    <row r="92" spans="1:19" x14ac:dyDescent="0.2">
      <c r="A92" s="529" t="s">
        <v>503</v>
      </c>
      <c r="B92" s="513" t="s">
        <v>197</v>
      </c>
      <c r="C92" s="529" t="s">
        <v>198</v>
      </c>
      <c r="E92" s="570"/>
      <c r="G92" s="527" t="s">
        <v>199</v>
      </c>
      <c r="H92" s="571">
        <f t="shared" ref="H92:S92" si="24">H46</f>
        <v>-574.38600000000042</v>
      </c>
      <c r="I92" s="571">
        <f t="shared" si="24"/>
        <v>-445.86299999999983</v>
      </c>
      <c r="J92" s="571">
        <f t="shared" si="24"/>
        <v>-674.85699999999997</v>
      </c>
      <c r="K92" s="571">
        <f t="shared" si="24"/>
        <v>-443.03300000000036</v>
      </c>
      <c r="L92" s="571">
        <f t="shared" si="24"/>
        <v>-423.8809999999994</v>
      </c>
      <c r="M92" s="571">
        <f t="shared" si="24"/>
        <v>-404</v>
      </c>
      <c r="N92" s="571">
        <f t="shared" si="24"/>
        <v>-395</v>
      </c>
      <c r="O92" s="571">
        <f t="shared" si="24"/>
        <v>-445</v>
      </c>
      <c r="P92" s="571">
        <f t="shared" si="24"/>
        <v>81</v>
      </c>
      <c r="Q92" s="571">
        <f t="shared" si="24"/>
        <v>-4</v>
      </c>
      <c r="R92" s="571">
        <f t="shared" si="24"/>
        <v>-513.25</v>
      </c>
      <c r="S92" s="571">
        <f t="shared" si="24"/>
        <v>-503.14999999999964</v>
      </c>
    </row>
    <row r="93" spans="1:19" x14ac:dyDescent="0.2">
      <c r="A93" s="529" t="s">
        <v>504</v>
      </c>
      <c r="B93" s="513" t="s">
        <v>200</v>
      </c>
      <c r="C93" s="529" t="s">
        <v>201</v>
      </c>
      <c r="D93" s="572">
        <v>-0.30000000000000004</v>
      </c>
      <c r="E93" s="572">
        <v>0</v>
      </c>
      <c r="G93" s="531" t="s">
        <v>202</v>
      </c>
      <c r="H93" s="576">
        <f t="shared" ref="H93:S93" si="25">H46/H33</f>
        <v>-0.20936791147137415</v>
      </c>
      <c r="I93" s="577">
        <f t="shared" si="25"/>
        <v>-0.14191449920618041</v>
      </c>
      <c r="J93" s="577">
        <f t="shared" si="25"/>
        <v>-0.23473736019297758</v>
      </c>
      <c r="K93" s="577">
        <f t="shared" si="25"/>
        <v>-0.13814781588357047</v>
      </c>
      <c r="L93" s="577">
        <f t="shared" si="25"/>
        <v>-0.12910900437845022</v>
      </c>
      <c r="M93" s="577">
        <f t="shared" si="25"/>
        <v>-0.11706751666183715</v>
      </c>
      <c r="N93" s="577">
        <f t="shared" si="25"/>
        <v>-0.11002785515320335</v>
      </c>
      <c r="O93" s="577">
        <f t="shared" si="25"/>
        <v>-0.11466116980159753</v>
      </c>
      <c r="P93" s="577">
        <f t="shared" si="25"/>
        <v>1.5963736696886086E-2</v>
      </c>
      <c r="Q93" s="577">
        <f t="shared" si="25"/>
        <v>-7.7957513155330342E-4</v>
      </c>
      <c r="R93" s="577">
        <f t="shared" si="25"/>
        <v>-0.10192126296976617</v>
      </c>
      <c r="S93" s="577">
        <f t="shared" si="25"/>
        <v>-9.6280987781891869E-2</v>
      </c>
    </row>
    <row r="94" spans="1:19" x14ac:dyDescent="0.2">
      <c r="A94" s="529" t="s">
        <v>505</v>
      </c>
      <c r="B94" s="513" t="s">
        <v>203</v>
      </c>
      <c r="C94" s="529" t="s">
        <v>204</v>
      </c>
      <c r="E94" s="570"/>
      <c r="G94" s="569" t="s">
        <v>205</v>
      </c>
      <c r="H94" s="571">
        <f t="shared" ref="H94:S94" si="26">H29+H30</f>
        <v>2523.3209999999999</v>
      </c>
      <c r="I94" s="571">
        <f t="shared" si="26"/>
        <v>2030.585</v>
      </c>
      <c r="J94" s="571">
        <f t="shared" si="26"/>
        <v>1337.8119999999999</v>
      </c>
      <c r="K94" s="571">
        <f t="shared" si="26"/>
        <v>883.4849999999999</v>
      </c>
      <c r="L94" s="571">
        <f t="shared" si="26"/>
        <v>456.971</v>
      </c>
      <c r="M94" s="571">
        <f t="shared" si="26"/>
        <v>52</v>
      </c>
      <c r="N94" s="571">
        <f t="shared" si="26"/>
        <v>-342</v>
      </c>
      <c r="O94" s="571">
        <f t="shared" si="26"/>
        <v>-787</v>
      </c>
      <c r="P94" s="571">
        <f t="shared" si="26"/>
        <v>-705</v>
      </c>
      <c r="Q94" s="571">
        <f t="shared" si="26"/>
        <v>-709</v>
      </c>
      <c r="R94" s="571">
        <f t="shared" si="26"/>
        <v>-1222.25</v>
      </c>
      <c r="S94" s="571">
        <f t="shared" si="26"/>
        <v>-1725.3999999999996</v>
      </c>
    </row>
    <row r="95" spans="1:19" x14ac:dyDescent="0.2">
      <c r="G95" s="578" t="s">
        <v>206</v>
      </c>
      <c r="H95" s="554">
        <f t="shared" ref="H95:S95" si="27">H87</f>
        <v>2011</v>
      </c>
      <c r="I95" s="554">
        <f t="shared" si="27"/>
        <v>2012</v>
      </c>
      <c r="J95" s="554">
        <f t="shared" si="27"/>
        <v>2013</v>
      </c>
      <c r="K95" s="554">
        <f t="shared" si="27"/>
        <v>2014</v>
      </c>
      <c r="L95" s="554">
        <f t="shared" si="27"/>
        <v>2015</v>
      </c>
      <c r="M95" s="554">
        <f t="shared" si="27"/>
        <v>2016</v>
      </c>
      <c r="N95" s="554">
        <f t="shared" si="27"/>
        <v>2017</v>
      </c>
      <c r="O95" s="554">
        <f t="shared" si="27"/>
        <v>2018</v>
      </c>
      <c r="P95" s="554">
        <f t="shared" si="27"/>
        <v>2019</v>
      </c>
      <c r="Q95" s="554">
        <f t="shared" si="27"/>
        <v>2020</v>
      </c>
      <c r="R95" s="554">
        <f t="shared" si="27"/>
        <v>2021</v>
      </c>
      <c r="S95" s="554">
        <f t="shared" si="27"/>
        <v>2022</v>
      </c>
    </row>
    <row r="96" spans="1:19" x14ac:dyDescent="0.2">
      <c r="A96" s="529" t="s">
        <v>506</v>
      </c>
      <c r="B96" s="513" t="s">
        <v>207</v>
      </c>
      <c r="C96" s="532" t="s">
        <v>208</v>
      </c>
      <c r="E96" s="570"/>
      <c r="F96" s="579"/>
      <c r="G96" s="527" t="s">
        <v>209</v>
      </c>
      <c r="H96" s="571">
        <f t="shared" ref="H96:S96" si="28">H6+H12</f>
        <v>657.61800000000005</v>
      </c>
      <c r="I96" s="528">
        <f t="shared" si="28"/>
        <v>697.37099999999998</v>
      </c>
      <c r="J96" s="528">
        <f t="shared" si="28"/>
        <v>681.79700000000003</v>
      </c>
      <c r="K96" s="528">
        <f t="shared" si="28"/>
        <v>695.91200000000003</v>
      </c>
      <c r="L96" s="528">
        <f t="shared" si="28"/>
        <v>722.11400000000003</v>
      </c>
      <c r="M96" s="528">
        <f t="shared" si="28"/>
        <v>690</v>
      </c>
      <c r="N96" s="528">
        <f t="shared" si="28"/>
        <v>880</v>
      </c>
      <c r="O96" s="528">
        <f t="shared" si="28"/>
        <v>573</v>
      </c>
      <c r="P96" s="528">
        <f t="shared" si="28"/>
        <v>600</v>
      </c>
      <c r="Q96" s="528">
        <f t="shared" si="28"/>
        <v>600</v>
      </c>
      <c r="R96" s="528">
        <f t="shared" si="28"/>
        <v>384</v>
      </c>
      <c r="S96" s="528">
        <f t="shared" si="28"/>
        <v>600</v>
      </c>
    </row>
    <row r="97" spans="1:19" x14ac:dyDescent="0.2">
      <c r="A97" s="529" t="s">
        <v>507</v>
      </c>
      <c r="B97" s="513" t="s">
        <v>210</v>
      </c>
      <c r="C97" s="529" t="s">
        <v>42</v>
      </c>
      <c r="E97" s="570"/>
      <c r="F97" s="579"/>
      <c r="G97" s="531" t="s">
        <v>211</v>
      </c>
      <c r="H97" s="571">
        <f t="shared" ref="H97:S97" si="29">H19</f>
        <v>4612.0259999999998</v>
      </c>
      <c r="I97" s="571">
        <f t="shared" si="29"/>
        <v>3758.14</v>
      </c>
      <c r="J97" s="571">
        <f t="shared" si="29"/>
        <v>2856.0740000000001</v>
      </c>
      <c r="K97" s="571">
        <f t="shared" si="29"/>
        <v>1911.81</v>
      </c>
      <c r="L97" s="571">
        <f t="shared" si="29"/>
        <v>1345.7250000000001</v>
      </c>
      <c r="M97" s="571">
        <f t="shared" si="29"/>
        <v>905</v>
      </c>
      <c r="N97" s="571">
        <f t="shared" si="29"/>
        <v>1074</v>
      </c>
      <c r="O97" s="571">
        <f t="shared" si="29"/>
        <v>689</v>
      </c>
      <c r="P97" s="571">
        <f t="shared" si="29"/>
        <v>954</v>
      </c>
      <c r="Q97" s="571">
        <f t="shared" si="29"/>
        <v>1005</v>
      </c>
      <c r="R97" s="571">
        <f t="shared" si="29"/>
        <v>1000</v>
      </c>
      <c r="S97" s="571">
        <f t="shared" si="29"/>
        <v>1000</v>
      </c>
    </row>
    <row r="98" spans="1:19" x14ac:dyDescent="0.2">
      <c r="A98" s="529" t="s">
        <v>508</v>
      </c>
      <c r="B98" s="513" t="s">
        <v>509</v>
      </c>
      <c r="C98" s="529" t="s">
        <v>510</v>
      </c>
      <c r="E98" s="570"/>
      <c r="F98" s="579"/>
      <c r="G98" s="531" t="s">
        <v>212</v>
      </c>
      <c r="H98" s="571">
        <f t="shared" ref="H98:S98" si="30">H97-H96</f>
        <v>3954.4079999999999</v>
      </c>
      <c r="I98" s="528">
        <f t="shared" si="30"/>
        <v>3060.7689999999998</v>
      </c>
      <c r="J98" s="528">
        <f t="shared" si="30"/>
        <v>2174.277</v>
      </c>
      <c r="K98" s="528">
        <f t="shared" si="30"/>
        <v>1215.8979999999999</v>
      </c>
      <c r="L98" s="528">
        <f t="shared" si="30"/>
        <v>623.6110000000001</v>
      </c>
      <c r="M98" s="528">
        <f t="shared" si="30"/>
        <v>215</v>
      </c>
      <c r="N98" s="528">
        <f t="shared" si="30"/>
        <v>194</v>
      </c>
      <c r="O98" s="528">
        <f t="shared" si="30"/>
        <v>116</v>
      </c>
      <c r="P98" s="528">
        <f t="shared" si="30"/>
        <v>354</v>
      </c>
      <c r="Q98" s="528">
        <f t="shared" si="30"/>
        <v>405</v>
      </c>
      <c r="R98" s="528">
        <f t="shared" si="30"/>
        <v>616</v>
      </c>
      <c r="S98" s="528">
        <f t="shared" si="30"/>
        <v>400</v>
      </c>
    </row>
    <row r="99" spans="1:19" x14ac:dyDescent="0.2">
      <c r="A99" s="529" t="s">
        <v>511</v>
      </c>
      <c r="B99" s="513" t="s">
        <v>512</v>
      </c>
      <c r="C99" s="529" t="s">
        <v>513</v>
      </c>
      <c r="E99" s="572">
        <v>0.4</v>
      </c>
      <c r="F99" s="579"/>
      <c r="G99" s="531" t="s">
        <v>213</v>
      </c>
      <c r="H99" s="580">
        <f t="shared" ref="H99:S99" si="31">H98/H33</f>
        <v>1.4414107308773074</v>
      </c>
      <c r="I99" s="574">
        <f t="shared" si="31"/>
        <v>0.9742174161587791</v>
      </c>
      <c r="J99" s="574">
        <f t="shared" si="31"/>
        <v>0.75628472892524901</v>
      </c>
      <c r="K99" s="574">
        <f t="shared" si="31"/>
        <v>0.37914478839545002</v>
      </c>
      <c r="L99" s="574">
        <f t="shared" si="31"/>
        <v>0.18994433656957929</v>
      </c>
      <c r="M99" s="574">
        <f t="shared" si="31"/>
        <v>6.2300782381918288E-2</v>
      </c>
      <c r="N99" s="574">
        <f t="shared" si="31"/>
        <v>5.4038997214484678E-2</v>
      </c>
      <c r="O99" s="574">
        <f t="shared" si="31"/>
        <v>2.988920381345014E-2</v>
      </c>
      <c r="P99" s="574">
        <f t="shared" si="31"/>
        <v>6.9767441860465115E-2</v>
      </c>
      <c r="Q99" s="574">
        <f t="shared" si="31"/>
        <v>7.8931982069771978E-2</v>
      </c>
      <c r="R99" s="574">
        <f t="shared" si="31"/>
        <v>0.12232537357891078</v>
      </c>
      <c r="S99" s="574">
        <f t="shared" si="31"/>
        <v>7.6542572021776362E-2</v>
      </c>
    </row>
    <row r="100" spans="1:19" x14ac:dyDescent="0.2">
      <c r="A100" s="529" t="s">
        <v>514</v>
      </c>
      <c r="B100" s="513" t="s">
        <v>214</v>
      </c>
      <c r="C100" s="529" t="s">
        <v>515</v>
      </c>
      <c r="D100" s="581">
        <v>0</v>
      </c>
      <c r="E100" s="581">
        <v>5</v>
      </c>
      <c r="F100" s="579"/>
      <c r="G100" s="531" t="s">
        <v>215</v>
      </c>
      <c r="H100" s="575">
        <f t="shared" ref="H100:S100" si="32">H98/H89</f>
        <v>27.0447895935494</v>
      </c>
      <c r="I100" s="575">
        <f t="shared" si="32"/>
        <v>10.354638456802229</v>
      </c>
      <c r="J100" s="575">
        <f t="shared" si="32"/>
        <v>43.366715200350988</v>
      </c>
      <c r="K100" s="575">
        <f t="shared" si="32"/>
        <v>29.559439879418758</v>
      </c>
      <c r="L100" s="575">
        <f t="shared" si="32"/>
        <v>40.036658962504909</v>
      </c>
      <c r="M100" s="575">
        <f t="shared" si="32"/>
        <v>4.0566037735849054</v>
      </c>
      <c r="N100" s="575">
        <f t="shared" si="32"/>
        <v>3.7307692307692308</v>
      </c>
      <c r="O100" s="575" t="e">
        <f t="shared" si="32"/>
        <v>#DIV/0!</v>
      </c>
      <c r="P100" s="575">
        <f t="shared" si="32"/>
        <v>0.64014466546112114</v>
      </c>
      <c r="Q100" s="575">
        <f t="shared" si="32"/>
        <v>0.77437858508604207</v>
      </c>
      <c r="R100" s="575">
        <f t="shared" si="32"/>
        <v>12.381909547738694</v>
      </c>
      <c r="S100" s="575">
        <f t="shared" si="32"/>
        <v>6.6833751044276957</v>
      </c>
    </row>
    <row r="101" spans="1:19" x14ac:dyDescent="0.2">
      <c r="A101" s="529" t="s">
        <v>516</v>
      </c>
      <c r="B101" s="513" t="s">
        <v>216</v>
      </c>
      <c r="C101" s="529" t="s">
        <v>217</v>
      </c>
      <c r="E101" s="570"/>
      <c r="F101" s="579"/>
      <c r="G101" s="531" t="s">
        <v>218</v>
      </c>
      <c r="H101" s="571">
        <f t="shared" ref="H101:S101" si="33">-(H75+H77+H78+H79+H80+H81)</f>
        <v>1006.8820000000001</v>
      </c>
      <c r="I101" s="571">
        <f t="shared" si="33"/>
        <v>992.43399999999997</v>
      </c>
      <c r="J101" s="571">
        <f t="shared" si="33"/>
        <v>990.47199999999998</v>
      </c>
      <c r="K101" s="571">
        <f t="shared" si="33"/>
        <v>990.63100000000009</v>
      </c>
      <c r="L101" s="571">
        <f t="shared" si="33"/>
        <v>597.81799999999998</v>
      </c>
      <c r="M101" s="571">
        <f t="shared" si="33"/>
        <v>441</v>
      </c>
      <c r="N101" s="571">
        <f t="shared" si="33"/>
        <v>42</v>
      </c>
      <c r="O101" s="571">
        <f t="shared" si="33"/>
        <v>0</v>
      </c>
      <c r="P101" s="571">
        <f t="shared" si="33"/>
        <v>0</v>
      </c>
      <c r="Q101" s="571">
        <f t="shared" si="33"/>
        <v>0</v>
      </c>
      <c r="R101" s="571">
        <f t="shared" si="33"/>
        <v>0</v>
      </c>
      <c r="S101" s="571">
        <f t="shared" si="33"/>
        <v>0</v>
      </c>
    </row>
    <row r="102" spans="1:19" x14ac:dyDescent="0.2">
      <c r="A102" s="529" t="s">
        <v>517</v>
      </c>
      <c r="B102" s="513" t="s">
        <v>219</v>
      </c>
      <c r="C102" s="529" t="s">
        <v>518</v>
      </c>
      <c r="E102" s="581">
        <v>1.2</v>
      </c>
      <c r="F102" s="579"/>
      <c r="G102" s="531" t="s">
        <v>220</v>
      </c>
      <c r="H102" s="582">
        <f t="shared" ref="H102:S102" si="34">H89/H101</f>
        <v>0.14521761239152106</v>
      </c>
      <c r="I102" s="575">
        <f t="shared" si="34"/>
        <v>0.2978475142931421</v>
      </c>
      <c r="J102" s="575">
        <f t="shared" si="34"/>
        <v>5.0619300697041472E-2</v>
      </c>
      <c r="K102" s="575">
        <f t="shared" si="34"/>
        <v>4.1523029261147301E-2</v>
      </c>
      <c r="L102" s="575">
        <f t="shared" si="34"/>
        <v>2.6054752449743219E-2</v>
      </c>
      <c r="M102" s="575">
        <f t="shared" si="34"/>
        <v>0.12018140589569161</v>
      </c>
      <c r="N102" s="575">
        <f t="shared" si="34"/>
        <v>1.2380952380952381</v>
      </c>
      <c r="O102" s="575" t="e">
        <f t="shared" si="34"/>
        <v>#DIV/0!</v>
      </c>
      <c r="P102" s="575" t="e">
        <f t="shared" si="34"/>
        <v>#DIV/0!</v>
      </c>
      <c r="Q102" s="575" t="e">
        <f t="shared" si="34"/>
        <v>#DIV/0!</v>
      </c>
      <c r="R102" s="575" t="e">
        <f t="shared" si="34"/>
        <v>#DIV/0!</v>
      </c>
      <c r="S102" s="575" t="e">
        <f t="shared" si="34"/>
        <v>#DIV/0!</v>
      </c>
    </row>
    <row r="103" spans="1:19" x14ac:dyDescent="0.2">
      <c r="A103" s="583" t="s">
        <v>519</v>
      </c>
      <c r="B103" s="513" t="s">
        <v>221</v>
      </c>
      <c r="C103" s="529" t="s">
        <v>222</v>
      </c>
      <c r="E103" s="581">
        <v>0</v>
      </c>
      <c r="F103" s="579"/>
      <c r="G103" s="527" t="s">
        <v>223</v>
      </c>
      <c r="H103" s="571">
        <f t="shared" ref="H103:S103" si="35">H5-H20</f>
        <v>292.68799999999987</v>
      </c>
      <c r="I103" s="571">
        <f t="shared" si="35"/>
        <v>230.05899999999974</v>
      </c>
      <c r="J103" s="571">
        <f t="shared" si="35"/>
        <v>147.67100000000005</v>
      </c>
      <c r="K103" s="571">
        <f t="shared" si="35"/>
        <v>159.62000000000012</v>
      </c>
      <c r="L103" s="571">
        <f t="shared" si="35"/>
        <v>140.5630000000001</v>
      </c>
      <c r="M103" s="571">
        <f t="shared" si="35"/>
        <v>139</v>
      </c>
      <c r="N103" s="571">
        <f t="shared" si="35"/>
        <v>131</v>
      </c>
      <c r="O103" s="571">
        <f t="shared" si="35"/>
        <v>131</v>
      </c>
      <c r="P103" s="571">
        <f t="shared" si="35"/>
        <v>529</v>
      </c>
      <c r="Q103" s="571">
        <f t="shared" si="35"/>
        <v>445</v>
      </c>
      <c r="R103" s="571">
        <f t="shared" si="35"/>
        <v>99</v>
      </c>
      <c r="S103" s="571">
        <f t="shared" si="35"/>
        <v>159</v>
      </c>
    </row>
    <row r="104" spans="1:19" x14ac:dyDescent="0.2">
      <c r="A104" s="529" t="s">
        <v>520</v>
      </c>
      <c r="B104" s="513" t="s">
        <v>224</v>
      </c>
      <c r="C104" s="529" t="s">
        <v>225</v>
      </c>
      <c r="E104" s="581">
        <v>1</v>
      </c>
      <c r="F104" s="579"/>
      <c r="G104" s="531" t="s">
        <v>226</v>
      </c>
      <c r="H104" s="582">
        <f t="shared" ref="H104:S104" si="36">H5/H20</f>
        <v>1.185107324909245</v>
      </c>
      <c r="I104" s="582">
        <f t="shared" si="36"/>
        <v>1.1336657076190828</v>
      </c>
      <c r="J104" s="582">
        <f t="shared" si="36"/>
        <v>1.0822411179414408</v>
      </c>
      <c r="K104" s="582">
        <f t="shared" si="36"/>
        <v>1.1117554682254462</v>
      </c>
      <c r="L104" s="582">
        <f t="shared" si="36"/>
        <v>1.1077966049702255</v>
      </c>
      <c r="M104" s="582">
        <f t="shared" si="36"/>
        <v>1.1537610619469028</v>
      </c>
      <c r="N104" s="582">
        <f t="shared" si="36"/>
        <v>1.1220876048462256</v>
      </c>
      <c r="O104" s="582">
        <f t="shared" si="36"/>
        <v>1.1904069767441861</v>
      </c>
      <c r="P104" s="582">
        <f t="shared" si="36"/>
        <v>1.5545073375262055</v>
      </c>
      <c r="Q104" s="582">
        <f t="shared" si="36"/>
        <v>1.4427860696517414</v>
      </c>
      <c r="R104" s="582">
        <f t="shared" si="36"/>
        <v>1.099</v>
      </c>
      <c r="S104" s="582">
        <f t="shared" si="36"/>
        <v>1.159</v>
      </c>
    </row>
    <row r="105" spans="1:19" x14ac:dyDescent="0.2">
      <c r="A105" s="529" t="s">
        <v>521</v>
      </c>
      <c r="B105" s="513" t="s">
        <v>227</v>
      </c>
      <c r="C105" s="529" t="s">
        <v>228</v>
      </c>
      <c r="E105" s="581">
        <v>1</v>
      </c>
      <c r="F105" s="579"/>
      <c r="G105" s="569" t="s">
        <v>229</v>
      </c>
      <c r="H105" s="582">
        <f t="shared" ref="H105:S105" si="37">-H6/((H38+H41-H45+H47)/12)</f>
        <v>2.9520981761252152</v>
      </c>
      <c r="I105" s="582">
        <f t="shared" si="37"/>
        <v>2.8926033821721835</v>
      </c>
      <c r="J105" s="582">
        <f t="shared" si="37"/>
        <v>2.8779605140504163</v>
      </c>
      <c r="K105" s="582">
        <f t="shared" si="37"/>
        <v>2.6284734418848839</v>
      </c>
      <c r="L105" s="582">
        <f t="shared" si="37"/>
        <v>2.6500309488451066</v>
      </c>
      <c r="M105" s="582">
        <f t="shared" si="37"/>
        <v>2.4367274867569155</v>
      </c>
      <c r="N105" s="582">
        <f t="shared" si="37"/>
        <v>2.9847371396269082</v>
      </c>
      <c r="O105" s="582">
        <f t="shared" si="37"/>
        <v>1.7717083225972687</v>
      </c>
      <c r="P105" s="582">
        <f t="shared" si="37"/>
        <v>1.5925680159256801</v>
      </c>
      <c r="Q105" s="582">
        <f t="shared" si="37"/>
        <v>1.5625</v>
      </c>
      <c r="R105" s="582">
        <f t="shared" si="37"/>
        <v>0.92418772563176899</v>
      </c>
      <c r="S105" s="582">
        <f t="shared" si="37"/>
        <v>1.3937282229965158</v>
      </c>
    </row>
    <row r="106" spans="1:19" x14ac:dyDescent="0.2">
      <c r="C106" s="529"/>
      <c r="F106" s="579"/>
      <c r="G106" s="578" t="s">
        <v>230</v>
      </c>
      <c r="H106" s="554">
        <f t="shared" ref="H106:S106" si="38">H95</f>
        <v>2011</v>
      </c>
      <c r="I106" s="554">
        <f t="shared" si="38"/>
        <v>2012</v>
      </c>
      <c r="J106" s="554">
        <f t="shared" si="38"/>
        <v>2013</v>
      </c>
      <c r="K106" s="554">
        <f t="shared" si="38"/>
        <v>2014</v>
      </c>
      <c r="L106" s="554">
        <f t="shared" si="38"/>
        <v>2015</v>
      </c>
      <c r="M106" s="554">
        <f t="shared" si="38"/>
        <v>2016</v>
      </c>
      <c r="N106" s="554">
        <f t="shared" si="38"/>
        <v>2017</v>
      </c>
      <c r="O106" s="554">
        <f t="shared" si="38"/>
        <v>2018</v>
      </c>
      <c r="P106" s="554">
        <f t="shared" si="38"/>
        <v>2019</v>
      </c>
      <c r="Q106" s="554">
        <f t="shared" si="38"/>
        <v>2020</v>
      </c>
      <c r="R106" s="554">
        <f t="shared" si="38"/>
        <v>2021</v>
      </c>
      <c r="S106" s="554">
        <f t="shared" si="38"/>
        <v>2022</v>
      </c>
    </row>
    <row r="107" spans="1:19" x14ac:dyDescent="0.2">
      <c r="A107" s="529" t="s">
        <v>522</v>
      </c>
      <c r="B107" s="513" t="s">
        <v>231</v>
      </c>
      <c r="C107" s="529" t="s">
        <v>232</v>
      </c>
      <c r="E107" s="572">
        <v>0.60000000000000009</v>
      </c>
      <c r="F107" s="579"/>
      <c r="G107" s="527" t="s">
        <v>233</v>
      </c>
      <c r="H107" s="580">
        <f t="shared" ref="H107:S107" si="39">H17/H4</f>
        <v>0</v>
      </c>
      <c r="I107" s="580">
        <f t="shared" si="39"/>
        <v>0</v>
      </c>
      <c r="J107" s="580">
        <f t="shared" si="39"/>
        <v>0</v>
      </c>
      <c r="K107" s="580">
        <f t="shared" si="39"/>
        <v>0</v>
      </c>
      <c r="L107" s="580">
        <f t="shared" si="39"/>
        <v>0</v>
      </c>
      <c r="M107" s="580">
        <f t="shared" si="39"/>
        <v>0</v>
      </c>
      <c r="N107" s="580">
        <f t="shared" si="39"/>
        <v>0</v>
      </c>
      <c r="O107" s="580">
        <f t="shared" si="39"/>
        <v>0</v>
      </c>
      <c r="P107" s="580">
        <f t="shared" si="39"/>
        <v>0</v>
      </c>
      <c r="Q107" s="580">
        <f t="shared" si="39"/>
        <v>0</v>
      </c>
      <c r="R107" s="580">
        <f t="shared" si="39"/>
        <v>0</v>
      </c>
      <c r="S107" s="580">
        <f t="shared" si="39"/>
        <v>0</v>
      </c>
    </row>
    <row r="108" spans="1:19" x14ac:dyDescent="0.2">
      <c r="A108" s="529" t="s">
        <v>523</v>
      </c>
      <c r="B108" s="513" t="s">
        <v>234</v>
      </c>
      <c r="C108" s="529" t="s">
        <v>235</v>
      </c>
      <c r="E108" s="572">
        <v>0.4</v>
      </c>
      <c r="F108" s="579"/>
      <c r="G108" s="569" t="s">
        <v>236</v>
      </c>
      <c r="H108" s="580" t="e">
        <f t="shared" ref="H108:S108" si="40">H27/H17</f>
        <v>#DIV/0!</v>
      </c>
      <c r="I108" s="580" t="e">
        <f t="shared" si="40"/>
        <v>#DIV/0!</v>
      </c>
      <c r="J108" s="580" t="e">
        <f t="shared" si="40"/>
        <v>#DIV/0!</v>
      </c>
      <c r="K108" s="580" t="e">
        <f t="shared" si="40"/>
        <v>#DIV/0!</v>
      </c>
      <c r="L108" s="580" t="e">
        <f t="shared" si="40"/>
        <v>#DIV/0!</v>
      </c>
      <c r="M108" s="580" t="e">
        <f t="shared" si="40"/>
        <v>#DIV/0!</v>
      </c>
      <c r="N108" s="580" t="e">
        <f t="shared" si="40"/>
        <v>#DIV/0!</v>
      </c>
      <c r="O108" s="580" t="e">
        <f t="shared" si="40"/>
        <v>#DIV/0!</v>
      </c>
      <c r="P108" s="580" t="e">
        <f t="shared" si="40"/>
        <v>#DIV/0!</v>
      </c>
      <c r="Q108" s="580" t="e">
        <f t="shared" si="40"/>
        <v>#DIV/0!</v>
      </c>
      <c r="R108" s="580" t="e">
        <f t="shared" si="40"/>
        <v>#DIV/0!</v>
      </c>
      <c r="S108" s="580" t="e">
        <f t="shared" si="40"/>
        <v>#DIV/0!</v>
      </c>
    </row>
    <row r="109" spans="1:19" x14ac:dyDescent="0.2">
      <c r="C109" s="529"/>
      <c r="F109" s="579"/>
      <c r="G109" s="584" t="s">
        <v>237</v>
      </c>
      <c r="H109" s="554">
        <f t="shared" ref="H109:S109" si="41">H95</f>
        <v>2011</v>
      </c>
      <c r="I109" s="554">
        <f t="shared" si="41"/>
        <v>2012</v>
      </c>
      <c r="J109" s="554">
        <f t="shared" si="41"/>
        <v>2013</v>
      </c>
      <c r="K109" s="554">
        <f t="shared" si="41"/>
        <v>2014</v>
      </c>
      <c r="L109" s="554">
        <f t="shared" si="41"/>
        <v>2015</v>
      </c>
      <c r="M109" s="554">
        <f t="shared" si="41"/>
        <v>2016</v>
      </c>
      <c r="N109" s="554">
        <f t="shared" si="41"/>
        <v>2017</v>
      </c>
      <c r="O109" s="554">
        <f t="shared" si="41"/>
        <v>2018</v>
      </c>
      <c r="P109" s="554">
        <f t="shared" si="41"/>
        <v>2019</v>
      </c>
      <c r="Q109" s="554">
        <f t="shared" si="41"/>
        <v>2020</v>
      </c>
      <c r="R109" s="554">
        <f t="shared" si="41"/>
        <v>2021</v>
      </c>
      <c r="S109" s="554">
        <f t="shared" si="41"/>
        <v>2022</v>
      </c>
    </row>
    <row r="110" spans="1:19" x14ac:dyDescent="0.2">
      <c r="A110" s="529" t="s">
        <v>524</v>
      </c>
      <c r="B110" s="513" t="s">
        <v>238</v>
      </c>
      <c r="C110" s="585" t="s">
        <v>239</v>
      </c>
      <c r="E110" s="570"/>
      <c r="F110" s="579"/>
      <c r="G110" s="531" t="s">
        <v>240</v>
      </c>
      <c r="H110" s="586">
        <f t="shared" ref="H110:S110" si="42">H10/H4</f>
        <v>0.86839395960168453</v>
      </c>
      <c r="I110" s="586">
        <f t="shared" si="42"/>
        <v>0.84865320573073055</v>
      </c>
      <c r="J110" s="586">
        <f t="shared" si="42"/>
        <v>0.82799196422422772</v>
      </c>
      <c r="K110" s="586">
        <f t="shared" si="42"/>
        <v>0.83958630904666354</v>
      </c>
      <c r="L110" s="586">
        <f t="shared" si="42"/>
        <v>0.83780805626407495</v>
      </c>
      <c r="M110" s="586">
        <f t="shared" si="42"/>
        <v>0.87061158665178018</v>
      </c>
      <c r="N110" s="586">
        <f t="shared" si="42"/>
        <v>0.846350178662583</v>
      </c>
      <c r="O110" s="586">
        <f t="shared" si="42"/>
        <v>0.88310019982871824</v>
      </c>
      <c r="P110" s="586">
        <f t="shared" si="42"/>
        <v>0.79831361349109209</v>
      </c>
      <c r="Q110" s="586">
        <f t="shared" si="42"/>
        <v>0.80405405405405406</v>
      </c>
      <c r="R110" s="586">
        <f t="shared" si="42"/>
        <v>0.84030804998546937</v>
      </c>
      <c r="S110" s="586">
        <f t="shared" si="42"/>
        <v>0.8183100799498354</v>
      </c>
    </row>
    <row r="111" spans="1:19" x14ac:dyDescent="0.2">
      <c r="A111" s="529" t="s">
        <v>525</v>
      </c>
      <c r="B111" s="513" t="s">
        <v>241</v>
      </c>
      <c r="C111" s="585" t="s">
        <v>242</v>
      </c>
      <c r="E111" s="570"/>
      <c r="F111" s="579"/>
      <c r="G111" s="531" t="s">
        <v>243</v>
      </c>
      <c r="H111" s="586">
        <f t="shared" ref="H111:S111" si="43">-(H58)/H15</f>
        <v>3.237751294089322E-3</v>
      </c>
      <c r="I111" s="586">
        <f t="shared" si="43"/>
        <v>3.7864402392078205E-3</v>
      </c>
      <c r="J111" s="586">
        <f t="shared" si="43"/>
        <v>1.1062473270325147E-2</v>
      </c>
      <c r="K111" s="586">
        <f t="shared" si="43"/>
        <v>2.2822773022413288E-3</v>
      </c>
      <c r="L111" s="586">
        <f t="shared" si="43"/>
        <v>4.3012225617928175E-3</v>
      </c>
      <c r="M111" s="586">
        <f t="shared" si="43"/>
        <v>5.6996295240809344E-3</v>
      </c>
      <c r="N111" s="586">
        <f t="shared" si="43"/>
        <v>2.8196622436670687E-2</v>
      </c>
      <c r="O111" s="586">
        <f t="shared" si="43"/>
        <v>2.0688540488120251E-2</v>
      </c>
      <c r="P111" s="586">
        <f t="shared" si="43"/>
        <v>9.4037478705281091E-2</v>
      </c>
      <c r="Q111" s="586">
        <f t="shared" si="43"/>
        <v>6.0504201680672269E-2</v>
      </c>
      <c r="R111" s="586">
        <f t="shared" si="43"/>
        <v>0</v>
      </c>
      <c r="S111" s="586">
        <f t="shared" si="43"/>
        <v>0</v>
      </c>
    </row>
    <row r="112" spans="1:19" x14ac:dyDescent="0.2">
      <c r="A112" s="529" t="s">
        <v>526</v>
      </c>
      <c r="B112" s="513" t="s">
        <v>244</v>
      </c>
      <c r="C112" s="529" t="s">
        <v>245</v>
      </c>
      <c r="E112" s="570"/>
      <c r="F112" s="579"/>
      <c r="G112" s="527" t="s">
        <v>246</v>
      </c>
      <c r="H112" s="575">
        <f t="shared" ref="H112:S112" si="44">H33/H4</f>
        <v>0.19267730053766327</v>
      </c>
      <c r="I112" s="575">
        <f t="shared" si="44"/>
        <v>0.2436933373812219</v>
      </c>
      <c r="J112" s="575">
        <f t="shared" si="44"/>
        <v>0.25447670710224002</v>
      </c>
      <c r="K112" s="575">
        <f t="shared" si="44"/>
        <v>0.32397066458077561</v>
      </c>
      <c r="L112" s="575">
        <f t="shared" si="44"/>
        <v>0.36863004751587281</v>
      </c>
      <c r="M112" s="575">
        <f t="shared" si="44"/>
        <v>0.42811065624612332</v>
      </c>
      <c r="N112" s="575">
        <f t="shared" si="44"/>
        <v>0.45814190913731495</v>
      </c>
      <c r="O112" s="575">
        <f t="shared" si="44"/>
        <v>0.55395375392520696</v>
      </c>
      <c r="P112" s="575">
        <f t="shared" si="44"/>
        <v>0.6900584795321637</v>
      </c>
      <c r="Q112" s="575">
        <f t="shared" si="44"/>
        <v>0.69337837837837835</v>
      </c>
      <c r="R112" s="575">
        <f t="shared" si="44"/>
        <v>0.73172769543737282</v>
      </c>
      <c r="S112" s="575">
        <f t="shared" si="44"/>
        <v>0.81922715159115855</v>
      </c>
    </row>
    <row r="113" spans="1:19" x14ac:dyDescent="0.2">
      <c r="A113" s="529" t="s">
        <v>527</v>
      </c>
      <c r="B113" s="513" t="s">
        <v>247</v>
      </c>
      <c r="C113" s="585" t="s">
        <v>248</v>
      </c>
      <c r="E113" s="570"/>
      <c r="F113" s="579"/>
      <c r="G113" s="569" t="s">
        <v>249</v>
      </c>
      <c r="H113" s="575">
        <f t="shared" ref="H113:S113" si="45">H33/H15</f>
        <v>0.2935600765084333</v>
      </c>
      <c r="I113" s="575">
        <f t="shared" si="45"/>
        <v>0.35238401383975926</v>
      </c>
      <c r="J113" s="575">
        <f t="shared" si="45"/>
        <v>0.34615470750511479</v>
      </c>
      <c r="K113" s="575">
        <f t="shared" si="45"/>
        <v>0.40909657996453674</v>
      </c>
      <c r="L113" s="575">
        <f t="shared" si="45"/>
        <v>0.44177854913768333</v>
      </c>
      <c r="M113" s="575">
        <f t="shared" si="45"/>
        <v>0.49173553719008267</v>
      </c>
      <c r="N113" s="575">
        <f t="shared" si="45"/>
        <v>0.54131483715319662</v>
      </c>
      <c r="O113" s="575">
        <f t="shared" si="45"/>
        <v>0.62728301276870857</v>
      </c>
      <c r="P113" s="575">
        <f t="shared" si="45"/>
        <v>0.86439522998296425</v>
      </c>
      <c r="Q113" s="575">
        <f t="shared" si="45"/>
        <v>0.86235294117647054</v>
      </c>
      <c r="R113" s="575">
        <f t="shared" si="45"/>
        <v>0.8707850596576171</v>
      </c>
      <c r="S113" s="575">
        <f t="shared" si="45"/>
        <v>1.0011206896551725</v>
      </c>
    </row>
    <row r="114" spans="1:19" x14ac:dyDescent="0.2">
      <c r="A114" s="529" t="s">
        <v>528</v>
      </c>
      <c r="B114" s="513" t="s">
        <v>250</v>
      </c>
      <c r="C114" s="585" t="s">
        <v>251</v>
      </c>
      <c r="D114" s="572">
        <v>0.5</v>
      </c>
      <c r="E114" s="572">
        <f>1/3</f>
        <v>0.33333333333333331</v>
      </c>
      <c r="F114" s="579"/>
      <c r="G114" s="531" t="s">
        <v>252</v>
      </c>
      <c r="H114" s="586">
        <f t="shared" ref="H114:S114" si="46">H27/H4</f>
        <v>0.67612007333655699</v>
      </c>
      <c r="I114" s="586">
        <f t="shared" si="46"/>
        <v>0.70849757196494845</v>
      </c>
      <c r="J114" s="586">
        <f t="shared" si="46"/>
        <v>0.747193577185988</v>
      </c>
      <c r="K114" s="586">
        <f t="shared" si="46"/>
        <v>0.80686606484143131</v>
      </c>
      <c r="L114" s="586">
        <f t="shared" si="46"/>
        <v>0.84890168035231739</v>
      </c>
      <c r="M114" s="586">
        <f t="shared" si="46"/>
        <v>0.88773105073812186</v>
      </c>
      <c r="N114" s="586">
        <f t="shared" si="46"/>
        <v>0.8629402756508423</v>
      </c>
      <c r="O114" s="586">
        <f t="shared" si="46"/>
        <v>0.90165572366542968</v>
      </c>
      <c r="P114" s="586">
        <f t="shared" si="46"/>
        <v>0.87025703794369647</v>
      </c>
      <c r="Q114" s="586">
        <f t="shared" si="46"/>
        <v>0.86418918918918919</v>
      </c>
      <c r="R114" s="586">
        <f t="shared" si="46"/>
        <v>0.85465707643126998</v>
      </c>
      <c r="S114" s="586">
        <f t="shared" si="46"/>
        <v>0.8431729111145948</v>
      </c>
    </row>
    <row r="115" spans="1:19" x14ac:dyDescent="0.2">
      <c r="A115" s="587"/>
      <c r="C115" s="587"/>
      <c r="D115" s="588"/>
      <c r="E115" s="589"/>
      <c r="F115" s="579"/>
      <c r="G115" s="523" t="s">
        <v>253</v>
      </c>
      <c r="H115" s="554">
        <f t="shared" ref="H115:S115" si="47">H109</f>
        <v>2011</v>
      </c>
      <c r="I115" s="554">
        <f t="shared" si="47"/>
        <v>2012</v>
      </c>
      <c r="J115" s="554">
        <f t="shared" si="47"/>
        <v>2013</v>
      </c>
      <c r="K115" s="554">
        <f t="shared" si="47"/>
        <v>2014</v>
      </c>
      <c r="L115" s="554">
        <f t="shared" si="47"/>
        <v>2015</v>
      </c>
      <c r="M115" s="554">
        <f t="shared" si="47"/>
        <v>2016</v>
      </c>
      <c r="N115" s="554">
        <f t="shared" si="47"/>
        <v>2017</v>
      </c>
      <c r="O115" s="554">
        <f t="shared" si="47"/>
        <v>2018</v>
      </c>
      <c r="P115" s="554">
        <f t="shared" si="47"/>
        <v>2019</v>
      </c>
      <c r="Q115" s="554">
        <f t="shared" si="47"/>
        <v>2020</v>
      </c>
      <c r="R115" s="554">
        <f t="shared" si="47"/>
        <v>2021</v>
      </c>
      <c r="S115" s="554">
        <f t="shared" si="47"/>
        <v>2022</v>
      </c>
    </row>
    <row r="116" spans="1:19" x14ac:dyDescent="0.2">
      <c r="A116" s="529" t="s">
        <v>529</v>
      </c>
      <c r="B116" s="513" t="s">
        <v>254</v>
      </c>
      <c r="C116" s="529" t="s">
        <v>255</v>
      </c>
      <c r="D116" s="590"/>
      <c r="E116" s="572">
        <v>0.05</v>
      </c>
      <c r="G116" s="527" t="s">
        <v>256</v>
      </c>
      <c r="H116" s="574">
        <f t="shared" ref="H116:S116" si="48">H35/H33</f>
        <v>0.46348675325659972</v>
      </c>
      <c r="I116" s="574">
        <f t="shared" si="48"/>
        <v>0.43862985601755955</v>
      </c>
      <c r="J116" s="574">
        <f t="shared" si="48"/>
        <v>0.475170133689514</v>
      </c>
      <c r="K116" s="574">
        <f t="shared" si="48"/>
        <v>0.50391290912328202</v>
      </c>
      <c r="L116" s="574">
        <f t="shared" si="48"/>
        <v>0.46149628783552255</v>
      </c>
      <c r="M116" s="574">
        <f t="shared" si="48"/>
        <v>0.45407128368588817</v>
      </c>
      <c r="N116" s="574">
        <f t="shared" si="48"/>
        <v>0.45431754874651809</v>
      </c>
      <c r="O116" s="574">
        <f t="shared" si="48"/>
        <v>0.42051017778922956</v>
      </c>
      <c r="P116" s="574">
        <f t="shared" si="48"/>
        <v>0.35908553409538824</v>
      </c>
      <c r="Q116" s="574">
        <f t="shared" si="48"/>
        <v>0.37731436367179888</v>
      </c>
      <c r="R116" s="574">
        <f t="shared" si="48"/>
        <v>0.40887653279054759</v>
      </c>
      <c r="S116" s="574">
        <f t="shared" si="48"/>
        <v>0.40184850311432585</v>
      </c>
    </row>
    <row r="117" spans="1:19" x14ac:dyDescent="0.2">
      <c r="A117" s="529" t="s">
        <v>530</v>
      </c>
      <c r="B117" s="513" t="s">
        <v>257</v>
      </c>
      <c r="C117" s="529" t="s">
        <v>258</v>
      </c>
      <c r="E117" s="572">
        <v>0.95</v>
      </c>
      <c r="G117" s="531" t="s">
        <v>259</v>
      </c>
      <c r="H117" s="586">
        <f t="shared" ref="H117:S117" si="49">(H36+H34)/H33</f>
        <v>0.53382937921848905</v>
      </c>
      <c r="I117" s="586">
        <f t="shared" si="49"/>
        <v>0.53753805177460356</v>
      </c>
      <c r="J117" s="586">
        <f t="shared" si="49"/>
        <v>0.52459438354472865</v>
      </c>
      <c r="K117" s="586">
        <f t="shared" si="49"/>
        <v>0.49608709087671804</v>
      </c>
      <c r="L117" s="586">
        <f t="shared" si="49"/>
        <v>0.538270397867885</v>
      </c>
      <c r="M117" s="586">
        <f t="shared" si="49"/>
        <v>0.54563894523326573</v>
      </c>
      <c r="N117" s="586">
        <f t="shared" si="49"/>
        <v>0.53871866295264625</v>
      </c>
      <c r="O117" s="586">
        <f t="shared" si="49"/>
        <v>0.56712187580520479</v>
      </c>
      <c r="P117" s="586">
        <f t="shared" si="49"/>
        <v>0.64091446590461176</v>
      </c>
      <c r="Q117" s="586">
        <f t="shared" si="49"/>
        <v>0.62268563632820118</v>
      </c>
      <c r="R117" s="586">
        <f t="shared" si="49"/>
        <v>0.59112346720945241</v>
      </c>
      <c r="S117" s="586">
        <f t="shared" si="49"/>
        <v>0.59815149688567404</v>
      </c>
    </row>
    <row r="118" spans="1:19" x14ac:dyDescent="0.2">
      <c r="A118" s="529" t="s">
        <v>531</v>
      </c>
      <c r="B118" s="513" t="s">
        <v>260</v>
      </c>
      <c r="C118" s="529" t="s">
        <v>261</v>
      </c>
      <c r="E118" s="572">
        <v>0.95</v>
      </c>
      <c r="G118" s="569" t="s">
        <v>262</v>
      </c>
      <c r="H118" s="574">
        <f t="shared" ref="H118:S118" si="50">H38/(H38+H41)</f>
        <v>5.7055622450317457E-4</v>
      </c>
      <c r="I118" s="574">
        <f t="shared" si="50"/>
        <v>7.1161085227454857E-4</v>
      </c>
      <c r="J118" s="574">
        <f t="shared" si="50"/>
        <v>7.1919504242771851E-4</v>
      </c>
      <c r="K118" s="574">
        <f t="shared" si="50"/>
        <v>7.6986681030207828E-4</v>
      </c>
      <c r="L118" s="574">
        <f t="shared" si="50"/>
        <v>8.1224578541281027E-4</v>
      </c>
      <c r="M118" s="574">
        <f t="shared" si="50"/>
        <v>1.0376134889753567E-3</v>
      </c>
      <c r="N118" s="574">
        <f t="shared" si="50"/>
        <v>1.0037641154328732E-3</v>
      </c>
      <c r="O118" s="574">
        <f t="shared" si="50"/>
        <v>9.2464170134073042E-4</v>
      </c>
      <c r="P118" s="574">
        <f t="shared" si="50"/>
        <v>8.0112157019827761E-4</v>
      </c>
      <c r="Q118" s="574">
        <f t="shared" si="50"/>
        <v>7.7896786757546252E-4</v>
      </c>
      <c r="R118" s="574">
        <f t="shared" si="50"/>
        <v>7.2085060371238064E-4</v>
      </c>
      <c r="S118" s="574">
        <f t="shared" si="50"/>
        <v>6.9820212951649506E-4</v>
      </c>
    </row>
    <row r="119" spans="1:19" x14ac:dyDescent="0.2">
      <c r="A119" s="587"/>
      <c r="C119" s="588"/>
      <c r="D119" s="588"/>
      <c r="E119" s="589"/>
      <c r="F119" s="579"/>
      <c r="G119" s="523" t="s">
        <v>532</v>
      </c>
      <c r="H119" s="554">
        <f t="shared" ref="H119:S119" si="51">H115</f>
        <v>2011</v>
      </c>
      <c r="I119" s="554">
        <f t="shared" si="51"/>
        <v>2012</v>
      </c>
      <c r="J119" s="554">
        <f t="shared" si="51"/>
        <v>2013</v>
      </c>
      <c r="K119" s="554">
        <f t="shared" si="51"/>
        <v>2014</v>
      </c>
      <c r="L119" s="554">
        <f t="shared" si="51"/>
        <v>2015</v>
      </c>
      <c r="M119" s="554">
        <f t="shared" si="51"/>
        <v>2016</v>
      </c>
      <c r="N119" s="554">
        <f t="shared" si="51"/>
        <v>2017</v>
      </c>
      <c r="O119" s="554">
        <f t="shared" si="51"/>
        <v>2018</v>
      </c>
      <c r="P119" s="554">
        <f t="shared" si="51"/>
        <v>2019</v>
      </c>
      <c r="Q119" s="554">
        <f t="shared" si="51"/>
        <v>2020</v>
      </c>
      <c r="R119" s="554">
        <f t="shared" si="51"/>
        <v>2021</v>
      </c>
      <c r="S119" s="554">
        <f t="shared" si="51"/>
        <v>2022</v>
      </c>
    </row>
    <row r="120" spans="1:19" x14ac:dyDescent="0.2">
      <c r="A120" s="515" t="s">
        <v>533</v>
      </c>
      <c r="B120" s="513" t="s">
        <v>263</v>
      </c>
      <c r="C120" s="529" t="s">
        <v>264</v>
      </c>
      <c r="D120" s="591">
        <v>0.5</v>
      </c>
      <c r="E120" s="592" t="s">
        <v>265</v>
      </c>
      <c r="F120" s="515"/>
      <c r="G120" s="527" t="s">
        <v>266</v>
      </c>
      <c r="H120" s="575" t="str">
        <f t="shared" ref="H120:S120" si="52">IF(H116&lt;$D$120,$E$120,H35/H4)</f>
        <v>N/A</v>
      </c>
      <c r="I120" s="575" t="str">
        <f t="shared" si="52"/>
        <v>N/A</v>
      </c>
      <c r="J120" s="575" t="str">
        <f t="shared" si="52"/>
        <v>N/A</v>
      </c>
      <c r="K120" s="575">
        <f t="shared" si="52"/>
        <v>0.16325300005950166</v>
      </c>
      <c r="L120" s="575" t="str">
        <f t="shared" si="52"/>
        <v>N/A</v>
      </c>
      <c r="M120" s="575" t="str">
        <f t="shared" si="52"/>
        <v>N/A</v>
      </c>
      <c r="N120" s="575" t="str">
        <f t="shared" si="52"/>
        <v>N/A</v>
      </c>
      <c r="O120" s="575" t="str">
        <f t="shared" si="52"/>
        <v>N/A</v>
      </c>
      <c r="P120" s="575" t="str">
        <f t="shared" si="52"/>
        <v>N/A</v>
      </c>
      <c r="Q120" s="575" t="str">
        <f t="shared" si="52"/>
        <v>N/A</v>
      </c>
      <c r="R120" s="575" t="str">
        <f t="shared" si="52"/>
        <v>N/A</v>
      </c>
      <c r="S120" s="575" t="str">
        <f t="shared" si="52"/>
        <v>N/A</v>
      </c>
    </row>
    <row r="121" spans="1:19" x14ac:dyDescent="0.2">
      <c r="A121" s="515" t="s">
        <v>534</v>
      </c>
      <c r="B121" s="513" t="s">
        <v>535</v>
      </c>
      <c r="C121" s="529" t="s">
        <v>267</v>
      </c>
      <c r="D121" s="591">
        <v>0.5</v>
      </c>
      <c r="E121" s="592" t="s">
        <v>265</v>
      </c>
      <c r="F121" s="515"/>
      <c r="G121" s="531" t="s">
        <v>268</v>
      </c>
      <c r="H121" s="575" t="str">
        <f t="shared" ref="H121:S121" si="53">IF(H116&lt;$D$121,$E$121,H35/H15)</f>
        <v>N/A</v>
      </c>
      <c r="I121" s="575" t="str">
        <f t="shared" si="53"/>
        <v>N/A</v>
      </c>
      <c r="J121" s="575" t="str">
        <f t="shared" si="53"/>
        <v>N/A</v>
      </c>
      <c r="K121" s="575">
        <f t="shared" si="53"/>
        <v>0.20614904772231507</v>
      </c>
      <c r="L121" s="575" t="str">
        <f t="shared" si="53"/>
        <v>N/A</v>
      </c>
      <c r="M121" s="575" t="str">
        <f t="shared" si="53"/>
        <v>N/A</v>
      </c>
      <c r="N121" s="575" t="str">
        <f t="shared" si="53"/>
        <v>N/A</v>
      </c>
      <c r="O121" s="575" t="str">
        <f t="shared" si="53"/>
        <v>N/A</v>
      </c>
      <c r="P121" s="575" t="str">
        <f t="shared" si="53"/>
        <v>N/A</v>
      </c>
      <c r="Q121" s="575" t="str">
        <f t="shared" si="53"/>
        <v>N/A</v>
      </c>
      <c r="R121" s="575" t="str">
        <f t="shared" si="53"/>
        <v>N/A</v>
      </c>
      <c r="S121" s="575" t="str">
        <f t="shared" si="53"/>
        <v>N/A</v>
      </c>
    </row>
    <row r="122" spans="1:19" x14ac:dyDescent="0.2">
      <c r="A122" s="515" t="s">
        <v>536</v>
      </c>
      <c r="B122" s="513" t="s">
        <v>537</v>
      </c>
      <c r="C122" s="529" t="s">
        <v>201</v>
      </c>
      <c r="D122" s="591">
        <v>0.5</v>
      </c>
      <c r="E122" s="592" t="s">
        <v>265</v>
      </c>
      <c r="F122" s="515"/>
      <c r="G122" s="527" t="s">
        <v>269</v>
      </c>
      <c r="H122" s="586" t="str">
        <f t="shared" ref="H122:S122" si="54">IF(H116&lt;$D$122,$E$122,H46/H33)</f>
        <v>N/A</v>
      </c>
      <c r="I122" s="586" t="str">
        <f t="shared" si="54"/>
        <v>N/A</v>
      </c>
      <c r="J122" s="586" t="str">
        <f t="shared" si="54"/>
        <v>N/A</v>
      </c>
      <c r="K122" s="586">
        <f t="shared" si="54"/>
        <v>-0.13814781588357047</v>
      </c>
      <c r="L122" s="586" t="str">
        <f t="shared" si="54"/>
        <v>N/A</v>
      </c>
      <c r="M122" s="586" t="str">
        <f t="shared" si="54"/>
        <v>N/A</v>
      </c>
      <c r="N122" s="586" t="str">
        <f t="shared" si="54"/>
        <v>N/A</v>
      </c>
      <c r="O122" s="586" t="str">
        <f t="shared" si="54"/>
        <v>N/A</v>
      </c>
      <c r="P122" s="586" t="str">
        <f t="shared" si="54"/>
        <v>N/A</v>
      </c>
      <c r="Q122" s="586" t="str">
        <f t="shared" si="54"/>
        <v>N/A</v>
      </c>
      <c r="R122" s="586" t="str">
        <f t="shared" si="54"/>
        <v>N/A</v>
      </c>
      <c r="S122" s="586" t="str">
        <f t="shared" si="54"/>
        <v>N/A</v>
      </c>
    </row>
    <row r="123" spans="1:19" x14ac:dyDescent="0.2">
      <c r="A123" s="515" t="s">
        <v>538</v>
      </c>
      <c r="B123" s="513" t="s">
        <v>539</v>
      </c>
      <c r="C123" s="529" t="s">
        <v>270</v>
      </c>
      <c r="D123" s="591">
        <v>0.5</v>
      </c>
      <c r="E123" s="592" t="s">
        <v>265</v>
      </c>
      <c r="F123" s="515"/>
      <c r="G123" s="531" t="s">
        <v>271</v>
      </c>
      <c r="H123" s="586" t="str">
        <f t="shared" ref="H123:S123" si="55">IF(H116&lt;$D$122,$E$123,H51/H33)</f>
        <v>N/A</v>
      </c>
      <c r="I123" s="586" t="str">
        <f t="shared" si="55"/>
        <v>N/A</v>
      </c>
      <c r="J123" s="586" t="str">
        <f t="shared" si="55"/>
        <v>N/A</v>
      </c>
      <c r="K123" s="586">
        <f t="shared" si="55"/>
        <v>-0.14166923140966708</v>
      </c>
      <c r="L123" s="586" t="str">
        <f t="shared" si="55"/>
        <v>N/A</v>
      </c>
      <c r="M123" s="586" t="str">
        <f t="shared" si="55"/>
        <v>N/A</v>
      </c>
      <c r="N123" s="586" t="str">
        <f t="shared" si="55"/>
        <v>N/A</v>
      </c>
      <c r="O123" s="586" t="str">
        <f t="shared" si="55"/>
        <v>N/A</v>
      </c>
      <c r="P123" s="586" t="str">
        <f t="shared" si="55"/>
        <v>N/A</v>
      </c>
      <c r="Q123" s="586" t="str">
        <f t="shared" si="55"/>
        <v>N/A</v>
      </c>
      <c r="R123" s="586" t="str">
        <f t="shared" si="55"/>
        <v>N/A</v>
      </c>
      <c r="S123" s="586" t="str">
        <f t="shared" si="55"/>
        <v>N/A</v>
      </c>
    </row>
    <row r="124" spans="1:19" x14ac:dyDescent="0.2">
      <c r="A124" s="515" t="s">
        <v>540</v>
      </c>
      <c r="B124" s="513" t="s">
        <v>541</v>
      </c>
      <c r="C124" s="529" t="s">
        <v>272</v>
      </c>
      <c r="D124" s="591">
        <v>0.5</v>
      </c>
      <c r="E124" s="592" t="s">
        <v>265</v>
      </c>
      <c r="F124" s="515"/>
      <c r="G124" s="531" t="s">
        <v>273</v>
      </c>
      <c r="H124" s="586" t="str">
        <f t="shared" ref="H124:S124" si="56">IF(H116&lt;$D$124,$E$124,H51/H4)</f>
        <v>N/A</v>
      </c>
      <c r="I124" s="586" t="str">
        <f t="shared" si="56"/>
        <v>N/A</v>
      </c>
      <c r="J124" s="586" t="str">
        <f t="shared" si="56"/>
        <v>N/A</v>
      </c>
      <c r="K124" s="586">
        <f t="shared" si="56"/>
        <v>-4.5896675050437534E-2</v>
      </c>
      <c r="L124" s="586" t="str">
        <f t="shared" si="56"/>
        <v>N/A</v>
      </c>
      <c r="M124" s="586" t="str">
        <f t="shared" si="56"/>
        <v>N/A</v>
      </c>
      <c r="N124" s="586" t="str">
        <f t="shared" si="56"/>
        <v>N/A</v>
      </c>
      <c r="O124" s="586" t="str">
        <f t="shared" si="56"/>
        <v>N/A</v>
      </c>
      <c r="P124" s="586" t="str">
        <f t="shared" si="56"/>
        <v>N/A</v>
      </c>
      <c r="Q124" s="586" t="str">
        <f t="shared" si="56"/>
        <v>N/A</v>
      </c>
      <c r="R124" s="586" t="str">
        <f t="shared" si="56"/>
        <v>N/A</v>
      </c>
      <c r="S124" s="586" t="str">
        <f t="shared" si="56"/>
        <v>N/A</v>
      </c>
    </row>
    <row r="125" spans="1:19" x14ac:dyDescent="0.2">
      <c r="A125" s="515" t="s">
        <v>542</v>
      </c>
      <c r="B125" s="513" t="s">
        <v>543</v>
      </c>
      <c r="C125" s="529" t="s">
        <v>274</v>
      </c>
      <c r="D125" s="591">
        <v>0.5</v>
      </c>
      <c r="E125" s="592" t="s">
        <v>265</v>
      </c>
      <c r="F125" s="515"/>
      <c r="G125" s="569" t="s">
        <v>275</v>
      </c>
      <c r="H125" s="586" t="str">
        <f t="shared" ref="H125:S125" si="57">IF(H116&lt;$D$125,$E$125,H51/H27)</f>
        <v>N/A</v>
      </c>
      <c r="I125" s="586" t="str">
        <f t="shared" si="57"/>
        <v>N/A</v>
      </c>
      <c r="J125" s="586" t="str">
        <f t="shared" si="57"/>
        <v>N/A</v>
      </c>
      <c r="K125" s="586">
        <f t="shared" si="57"/>
        <v>-5.6882643911238651E-2</v>
      </c>
      <c r="L125" s="586" t="str">
        <f t="shared" si="57"/>
        <v>N/A</v>
      </c>
      <c r="M125" s="586" t="str">
        <f t="shared" si="57"/>
        <v>N/A</v>
      </c>
      <c r="N125" s="586" t="str">
        <f t="shared" si="57"/>
        <v>N/A</v>
      </c>
      <c r="O125" s="586" t="str">
        <f t="shared" si="57"/>
        <v>N/A</v>
      </c>
      <c r="P125" s="586" t="str">
        <f t="shared" si="57"/>
        <v>N/A</v>
      </c>
      <c r="Q125" s="586" t="str">
        <f t="shared" si="57"/>
        <v>N/A</v>
      </c>
      <c r="R125" s="586" t="str">
        <f t="shared" si="57"/>
        <v>N/A</v>
      </c>
      <c r="S125" s="586" t="str">
        <f t="shared" si="57"/>
        <v>N/A</v>
      </c>
    </row>
    <row r="126" spans="1:19" x14ac:dyDescent="0.2">
      <c r="C126" s="588"/>
      <c r="D126" s="588"/>
      <c r="E126" s="589"/>
      <c r="F126" s="515"/>
      <c r="G126" s="529"/>
      <c r="H126" s="529"/>
      <c r="I126" s="529"/>
      <c r="J126" s="529"/>
      <c r="K126" s="529"/>
      <c r="L126" s="529"/>
      <c r="M126" s="529"/>
      <c r="N126" s="529"/>
      <c r="O126" s="529"/>
      <c r="P126" s="529"/>
      <c r="Q126" s="529"/>
      <c r="R126" s="529"/>
      <c r="S126" s="529"/>
    </row>
    <row r="127" spans="1:19" x14ac:dyDescent="0.2">
      <c r="F127" s="515"/>
      <c r="H127" s="554">
        <f t="shared" ref="H127:S127" si="58">H119</f>
        <v>2011</v>
      </c>
      <c r="I127" s="554">
        <f t="shared" si="58"/>
        <v>2012</v>
      </c>
      <c r="J127" s="554">
        <f t="shared" si="58"/>
        <v>2013</v>
      </c>
      <c r="K127" s="554">
        <f t="shared" si="58"/>
        <v>2014</v>
      </c>
      <c r="L127" s="554">
        <f t="shared" si="58"/>
        <v>2015</v>
      </c>
      <c r="M127" s="554">
        <f t="shared" si="58"/>
        <v>2016</v>
      </c>
      <c r="N127" s="554">
        <f t="shared" si="58"/>
        <v>2017</v>
      </c>
      <c r="O127" s="554">
        <f t="shared" si="58"/>
        <v>2018</v>
      </c>
      <c r="P127" s="554">
        <f t="shared" si="58"/>
        <v>2019</v>
      </c>
      <c r="Q127" s="554">
        <f t="shared" si="58"/>
        <v>2020</v>
      </c>
      <c r="R127" s="554">
        <f t="shared" si="58"/>
        <v>2021</v>
      </c>
      <c r="S127" s="554">
        <f t="shared" si="58"/>
        <v>2022</v>
      </c>
    </row>
    <row r="128" spans="1:19" x14ac:dyDescent="0.2">
      <c r="G128" s="593" t="s">
        <v>276</v>
      </c>
      <c r="H128" s="594">
        <f t="shared" ref="H128:S128" si="59">H33</f>
        <v>2743.4289999999996</v>
      </c>
      <c r="I128" s="594">
        <f t="shared" si="59"/>
        <v>3141.7719999999999</v>
      </c>
      <c r="J128" s="594">
        <f t="shared" si="59"/>
        <v>2874.9450000000002</v>
      </c>
      <c r="K128" s="594">
        <f t="shared" si="59"/>
        <v>3206.9489999999996</v>
      </c>
      <c r="L128" s="594">
        <f t="shared" si="59"/>
        <v>3283.1250000000005</v>
      </c>
      <c r="M128" s="594">
        <f t="shared" si="59"/>
        <v>3451</v>
      </c>
      <c r="N128" s="594">
        <f t="shared" si="59"/>
        <v>3590</v>
      </c>
      <c r="O128" s="594">
        <f t="shared" si="59"/>
        <v>3881</v>
      </c>
      <c r="P128" s="594">
        <f t="shared" si="59"/>
        <v>5074</v>
      </c>
      <c r="Q128" s="594">
        <f t="shared" si="59"/>
        <v>5131</v>
      </c>
      <c r="R128" s="594">
        <f t="shared" si="59"/>
        <v>5035.75</v>
      </c>
      <c r="S128" s="594">
        <f t="shared" si="59"/>
        <v>5225.8500000000004</v>
      </c>
    </row>
    <row r="129" spans="3:19" x14ac:dyDescent="0.2">
      <c r="G129" s="593" t="s">
        <v>277</v>
      </c>
      <c r="H129" s="594">
        <f t="shared" ref="H129:S130" si="60">H35</f>
        <v>1271.5429999999999</v>
      </c>
      <c r="I129" s="594">
        <f t="shared" si="60"/>
        <v>1378.075</v>
      </c>
      <c r="J129" s="594">
        <f t="shared" si="60"/>
        <v>1366.088</v>
      </c>
      <c r="K129" s="594">
        <f t="shared" si="60"/>
        <v>1616.0229999999999</v>
      </c>
      <c r="L129" s="594">
        <f t="shared" si="60"/>
        <v>1515.15</v>
      </c>
      <c r="M129" s="594">
        <f t="shared" si="60"/>
        <v>1567</v>
      </c>
      <c r="N129" s="594">
        <f t="shared" si="60"/>
        <v>1631</v>
      </c>
      <c r="O129" s="594">
        <f t="shared" si="60"/>
        <v>1632</v>
      </c>
      <c r="P129" s="594">
        <f t="shared" si="60"/>
        <v>1822</v>
      </c>
      <c r="Q129" s="594">
        <f t="shared" si="60"/>
        <v>1936</v>
      </c>
      <c r="R129" s="594">
        <f t="shared" si="60"/>
        <v>2059</v>
      </c>
      <c r="S129" s="594">
        <f t="shared" si="60"/>
        <v>2100</v>
      </c>
    </row>
    <row r="130" spans="3:19" x14ac:dyDescent="0.2">
      <c r="G130" s="593" t="s">
        <v>278</v>
      </c>
      <c r="H130" s="594">
        <f t="shared" si="60"/>
        <v>1464.5229999999999</v>
      </c>
      <c r="I130" s="594">
        <f t="shared" si="60"/>
        <v>1688.8219999999999</v>
      </c>
      <c r="J130" s="594">
        <f t="shared" si="60"/>
        <v>1508.18</v>
      </c>
      <c r="K130" s="594">
        <f t="shared" si="60"/>
        <v>1590.9259999999999</v>
      </c>
      <c r="L130" s="594">
        <f t="shared" si="60"/>
        <v>1767.2090000000001</v>
      </c>
      <c r="M130" s="594">
        <f t="shared" si="60"/>
        <v>1883</v>
      </c>
      <c r="N130" s="594">
        <f t="shared" si="60"/>
        <v>1934</v>
      </c>
      <c r="O130" s="594">
        <f t="shared" si="60"/>
        <v>2201</v>
      </c>
      <c r="P130" s="594">
        <f t="shared" si="60"/>
        <v>3252</v>
      </c>
      <c r="Q130" s="594">
        <f t="shared" si="60"/>
        <v>3195</v>
      </c>
      <c r="R130" s="594">
        <f t="shared" si="60"/>
        <v>2976.75</v>
      </c>
      <c r="S130" s="594">
        <f t="shared" si="60"/>
        <v>3125.85</v>
      </c>
    </row>
    <row r="131" spans="3:19" x14ac:dyDescent="0.2">
      <c r="G131" s="593" t="s">
        <v>279</v>
      </c>
      <c r="H131" s="594">
        <f t="shared" ref="H131:S131" si="61">H38+H41</f>
        <v>-3317.8150000000001</v>
      </c>
      <c r="I131" s="594">
        <f t="shared" si="61"/>
        <v>-3587.6349999999998</v>
      </c>
      <c r="J131" s="594">
        <f t="shared" si="61"/>
        <v>-3549.8020000000001</v>
      </c>
      <c r="K131" s="594">
        <f t="shared" si="61"/>
        <v>-3649.982</v>
      </c>
      <c r="L131" s="594">
        <f t="shared" si="61"/>
        <v>-3707.0059999999999</v>
      </c>
      <c r="M131" s="594">
        <f t="shared" si="61"/>
        <v>-3855</v>
      </c>
      <c r="N131" s="594">
        <f t="shared" si="61"/>
        <v>-3985</v>
      </c>
      <c r="O131" s="594">
        <f t="shared" si="61"/>
        <v>-4326</v>
      </c>
      <c r="P131" s="594">
        <f t="shared" si="61"/>
        <v>-4993</v>
      </c>
      <c r="Q131" s="594">
        <f t="shared" si="61"/>
        <v>-5135</v>
      </c>
      <c r="R131" s="594">
        <f t="shared" si="61"/>
        <v>-5549</v>
      </c>
      <c r="S131" s="594">
        <f t="shared" si="61"/>
        <v>-5729</v>
      </c>
    </row>
    <row r="132" spans="3:19" x14ac:dyDescent="0.2">
      <c r="G132" s="593" t="s">
        <v>280</v>
      </c>
      <c r="H132" s="594">
        <f t="shared" ref="H132:S132" si="62">H41</f>
        <v>-3315.922</v>
      </c>
      <c r="I132" s="594">
        <f t="shared" si="62"/>
        <v>-3585.0819999999999</v>
      </c>
      <c r="J132" s="594">
        <f t="shared" si="62"/>
        <v>-3547.2490000000003</v>
      </c>
      <c r="K132" s="594">
        <f t="shared" si="62"/>
        <v>-3647.172</v>
      </c>
      <c r="L132" s="594">
        <f t="shared" si="62"/>
        <v>-3703.9949999999999</v>
      </c>
      <c r="M132" s="594">
        <f t="shared" si="62"/>
        <v>-3851</v>
      </c>
      <c r="N132" s="594">
        <f t="shared" si="62"/>
        <v>-3981</v>
      </c>
      <c r="O132" s="594">
        <f t="shared" si="62"/>
        <v>-4322</v>
      </c>
      <c r="P132" s="594">
        <f t="shared" si="62"/>
        <v>-4989</v>
      </c>
      <c r="Q132" s="594">
        <f t="shared" si="62"/>
        <v>-5131</v>
      </c>
      <c r="R132" s="594">
        <f t="shared" si="62"/>
        <v>-5545</v>
      </c>
      <c r="S132" s="594">
        <f t="shared" si="62"/>
        <v>-5725</v>
      </c>
    </row>
    <row r="133" spans="3:19" x14ac:dyDescent="0.2">
      <c r="G133" s="593" t="s">
        <v>281</v>
      </c>
      <c r="H133" s="594">
        <f t="shared" ref="H133:S133" si="63">H38</f>
        <v>-1.893</v>
      </c>
      <c r="I133" s="594">
        <f t="shared" si="63"/>
        <v>-2.5529999999999999</v>
      </c>
      <c r="J133" s="594">
        <f t="shared" si="63"/>
        <v>-2.5529999999999999</v>
      </c>
      <c r="K133" s="594">
        <f t="shared" si="63"/>
        <v>-2.81</v>
      </c>
      <c r="L133" s="594">
        <f t="shared" si="63"/>
        <v>-3.0110000000000001</v>
      </c>
      <c r="M133" s="594">
        <f t="shared" si="63"/>
        <v>-4</v>
      </c>
      <c r="N133" s="594">
        <f t="shared" si="63"/>
        <v>-4</v>
      </c>
      <c r="O133" s="594">
        <f t="shared" si="63"/>
        <v>-4</v>
      </c>
      <c r="P133" s="594">
        <f t="shared" si="63"/>
        <v>-4</v>
      </c>
      <c r="Q133" s="594">
        <f t="shared" si="63"/>
        <v>-4</v>
      </c>
      <c r="R133" s="594">
        <f t="shared" si="63"/>
        <v>-4</v>
      </c>
      <c r="S133" s="594">
        <f t="shared" si="63"/>
        <v>-4</v>
      </c>
    </row>
    <row r="134" spans="3:19" x14ac:dyDescent="0.2">
      <c r="G134" s="593" t="s">
        <v>282</v>
      </c>
      <c r="H134" s="594">
        <f t="shared" ref="H134:S134" si="64">H46</f>
        <v>-574.38600000000042</v>
      </c>
      <c r="I134" s="594">
        <f t="shared" si="64"/>
        <v>-445.86299999999983</v>
      </c>
      <c r="J134" s="594">
        <f t="shared" si="64"/>
        <v>-674.85699999999997</v>
      </c>
      <c r="K134" s="594">
        <f t="shared" si="64"/>
        <v>-443.03300000000036</v>
      </c>
      <c r="L134" s="594">
        <f t="shared" si="64"/>
        <v>-423.8809999999994</v>
      </c>
      <c r="M134" s="594">
        <f t="shared" si="64"/>
        <v>-404</v>
      </c>
      <c r="N134" s="594">
        <f t="shared" si="64"/>
        <v>-395</v>
      </c>
      <c r="O134" s="594">
        <f t="shared" si="64"/>
        <v>-445</v>
      </c>
      <c r="P134" s="594">
        <f t="shared" si="64"/>
        <v>81</v>
      </c>
      <c r="Q134" s="594">
        <f t="shared" si="64"/>
        <v>-4</v>
      </c>
      <c r="R134" s="594">
        <f t="shared" si="64"/>
        <v>-513.25</v>
      </c>
      <c r="S134" s="594">
        <f t="shared" si="64"/>
        <v>-503.14999999999964</v>
      </c>
    </row>
    <row r="135" spans="3:19" x14ac:dyDescent="0.2">
      <c r="G135" s="593" t="s">
        <v>283</v>
      </c>
      <c r="H135" s="594">
        <f t="shared" ref="H135:S135" si="65">H51</f>
        <v>-650.32900000000041</v>
      </c>
      <c r="I135" s="594">
        <f t="shared" si="65"/>
        <v>-492.73699999999985</v>
      </c>
      <c r="J135" s="594">
        <f t="shared" si="65"/>
        <v>-692.88299999999992</v>
      </c>
      <c r="K135" s="594">
        <f t="shared" si="65"/>
        <v>-454.32600000000036</v>
      </c>
      <c r="L135" s="594">
        <f t="shared" si="65"/>
        <v>-426.2439999999994</v>
      </c>
      <c r="M135" s="594">
        <f t="shared" si="65"/>
        <v>-404</v>
      </c>
      <c r="N135" s="594">
        <f t="shared" si="65"/>
        <v>-395</v>
      </c>
      <c r="O135" s="594">
        <f t="shared" si="65"/>
        <v>-445</v>
      </c>
      <c r="P135" s="594">
        <f t="shared" si="65"/>
        <v>81</v>
      </c>
      <c r="Q135" s="594">
        <f t="shared" si="65"/>
        <v>-4</v>
      </c>
      <c r="R135" s="594">
        <f t="shared" si="65"/>
        <v>-513.25</v>
      </c>
      <c r="S135" s="594">
        <f t="shared" si="65"/>
        <v>-503.14999999999964</v>
      </c>
    </row>
    <row r="136" spans="3:19" x14ac:dyDescent="0.2">
      <c r="G136" s="593" t="s">
        <v>284</v>
      </c>
      <c r="H136" s="594">
        <f t="shared" ref="H136:S137" si="66">H4</f>
        <v>14238.465</v>
      </c>
      <c r="I136" s="594">
        <f t="shared" si="66"/>
        <v>12892.317999999999</v>
      </c>
      <c r="J136" s="594">
        <f t="shared" si="66"/>
        <v>11297.477999999999</v>
      </c>
      <c r="K136" s="594">
        <f t="shared" si="66"/>
        <v>9898.8869999999988</v>
      </c>
      <c r="L136" s="594">
        <f t="shared" si="66"/>
        <v>8906.2870000000003</v>
      </c>
      <c r="M136" s="594">
        <f t="shared" si="66"/>
        <v>8061</v>
      </c>
      <c r="N136" s="594">
        <f t="shared" si="66"/>
        <v>7836</v>
      </c>
      <c r="O136" s="594">
        <f t="shared" si="66"/>
        <v>7006</v>
      </c>
      <c r="P136" s="594">
        <f t="shared" si="66"/>
        <v>7353</v>
      </c>
      <c r="Q136" s="594">
        <f t="shared" si="66"/>
        <v>7400</v>
      </c>
      <c r="R136" s="594">
        <f t="shared" si="66"/>
        <v>6882</v>
      </c>
      <c r="S136" s="594">
        <f t="shared" si="66"/>
        <v>6379</v>
      </c>
    </row>
    <row r="137" spans="3:19" x14ac:dyDescent="0.2">
      <c r="G137" s="593" t="s">
        <v>285</v>
      </c>
      <c r="H137" s="594">
        <f t="shared" si="66"/>
        <v>1873.8679999999999</v>
      </c>
      <c r="I137" s="594">
        <f t="shared" si="66"/>
        <v>1951.2109999999998</v>
      </c>
      <c r="J137" s="594">
        <f t="shared" si="66"/>
        <v>1943.2570000000001</v>
      </c>
      <c r="K137" s="594">
        <f t="shared" si="66"/>
        <v>1587.9170000000001</v>
      </c>
      <c r="L137" s="594">
        <f t="shared" si="66"/>
        <v>1444.528</v>
      </c>
      <c r="M137" s="594">
        <f t="shared" si="66"/>
        <v>1043</v>
      </c>
      <c r="N137" s="594">
        <f t="shared" si="66"/>
        <v>1204</v>
      </c>
      <c r="O137" s="594">
        <f t="shared" si="66"/>
        <v>819</v>
      </c>
      <c r="P137" s="594">
        <f t="shared" si="66"/>
        <v>1483</v>
      </c>
      <c r="Q137" s="594">
        <f t="shared" si="66"/>
        <v>1450</v>
      </c>
      <c r="R137" s="594">
        <f t="shared" si="66"/>
        <v>1099</v>
      </c>
      <c r="S137" s="594">
        <f t="shared" si="66"/>
        <v>1159</v>
      </c>
    </row>
    <row r="138" spans="3:19" x14ac:dyDescent="0.2">
      <c r="G138" s="593" t="s">
        <v>286</v>
      </c>
      <c r="H138" s="594">
        <f t="shared" ref="H138:S138" si="67">H10</f>
        <v>12364.597</v>
      </c>
      <c r="I138" s="594">
        <f t="shared" si="67"/>
        <v>10941.107</v>
      </c>
      <c r="J138" s="594">
        <f t="shared" si="67"/>
        <v>9354.2209999999995</v>
      </c>
      <c r="K138" s="594">
        <f t="shared" si="67"/>
        <v>8310.9699999999993</v>
      </c>
      <c r="L138" s="594">
        <f t="shared" si="67"/>
        <v>7461.759</v>
      </c>
      <c r="M138" s="594">
        <f t="shared" si="67"/>
        <v>7018</v>
      </c>
      <c r="N138" s="594">
        <f t="shared" si="67"/>
        <v>6632</v>
      </c>
      <c r="O138" s="594">
        <f t="shared" si="67"/>
        <v>6187</v>
      </c>
      <c r="P138" s="594">
        <f t="shared" si="67"/>
        <v>5870</v>
      </c>
      <c r="Q138" s="594">
        <f t="shared" si="67"/>
        <v>5950</v>
      </c>
      <c r="R138" s="594">
        <f t="shared" si="67"/>
        <v>5783</v>
      </c>
      <c r="S138" s="594">
        <f t="shared" si="67"/>
        <v>5220</v>
      </c>
    </row>
    <row r="139" spans="3:19" x14ac:dyDescent="0.2">
      <c r="G139" s="593" t="s">
        <v>287</v>
      </c>
      <c r="H139" s="594">
        <f t="shared" ref="H139:S140" si="68">H19</f>
        <v>4612.0259999999998</v>
      </c>
      <c r="I139" s="594">
        <f t="shared" si="68"/>
        <v>3758.14</v>
      </c>
      <c r="J139" s="594">
        <f t="shared" si="68"/>
        <v>2856.0740000000001</v>
      </c>
      <c r="K139" s="594">
        <f t="shared" si="68"/>
        <v>1911.81</v>
      </c>
      <c r="L139" s="594">
        <f t="shared" si="68"/>
        <v>1345.7250000000001</v>
      </c>
      <c r="M139" s="594">
        <f t="shared" si="68"/>
        <v>905</v>
      </c>
      <c r="N139" s="594">
        <f t="shared" si="68"/>
        <v>1074</v>
      </c>
      <c r="O139" s="594">
        <f t="shared" si="68"/>
        <v>689</v>
      </c>
      <c r="P139" s="594">
        <f t="shared" si="68"/>
        <v>954</v>
      </c>
      <c r="Q139" s="594">
        <f t="shared" si="68"/>
        <v>1005</v>
      </c>
      <c r="R139" s="594">
        <f t="shared" si="68"/>
        <v>1000</v>
      </c>
      <c r="S139" s="594">
        <f t="shared" si="68"/>
        <v>1000</v>
      </c>
    </row>
    <row r="140" spans="3:19" x14ac:dyDescent="0.2">
      <c r="G140" s="593" t="s">
        <v>288</v>
      </c>
      <c r="H140" s="594">
        <f t="shared" si="68"/>
        <v>1581.18</v>
      </c>
      <c r="I140" s="594">
        <f t="shared" si="68"/>
        <v>1721.152</v>
      </c>
      <c r="J140" s="594">
        <f t="shared" si="68"/>
        <v>1795.586</v>
      </c>
      <c r="K140" s="594">
        <f t="shared" si="68"/>
        <v>1428.297</v>
      </c>
      <c r="L140" s="594">
        <f t="shared" si="68"/>
        <v>1303.9649999999999</v>
      </c>
      <c r="M140" s="594">
        <f t="shared" si="68"/>
        <v>904</v>
      </c>
      <c r="N140" s="594">
        <f t="shared" si="68"/>
        <v>1073</v>
      </c>
      <c r="O140" s="594">
        <f t="shared" si="68"/>
        <v>688</v>
      </c>
      <c r="P140" s="594">
        <f t="shared" si="68"/>
        <v>954</v>
      </c>
      <c r="Q140" s="594">
        <f t="shared" si="68"/>
        <v>1005</v>
      </c>
      <c r="R140" s="594">
        <f t="shared" si="68"/>
        <v>1000</v>
      </c>
      <c r="S140" s="594">
        <f t="shared" si="68"/>
        <v>1000</v>
      </c>
    </row>
    <row r="141" spans="3:19" x14ac:dyDescent="0.2">
      <c r="G141" s="593" t="s">
        <v>289</v>
      </c>
      <c r="H141" s="594">
        <f t="shared" ref="H141:S141" si="69">H24</f>
        <v>3970.335</v>
      </c>
      <c r="I141" s="594">
        <f t="shared" si="69"/>
        <v>3027.6509999999998</v>
      </c>
      <c r="J141" s="594">
        <f t="shared" si="69"/>
        <v>2055.6660000000002</v>
      </c>
      <c r="K141" s="594">
        <f t="shared" si="69"/>
        <v>1076.924</v>
      </c>
      <c r="L141" s="594">
        <f t="shared" si="69"/>
        <v>483.7</v>
      </c>
      <c r="M141" s="594">
        <f t="shared" si="69"/>
        <v>42</v>
      </c>
      <c r="N141" s="594">
        <f t="shared" si="69"/>
        <v>0</v>
      </c>
      <c r="O141" s="594">
        <f t="shared" si="69"/>
        <v>0</v>
      </c>
      <c r="P141" s="594">
        <f t="shared" si="69"/>
        <v>0</v>
      </c>
      <c r="Q141" s="594">
        <f t="shared" si="69"/>
        <v>0</v>
      </c>
      <c r="R141" s="594">
        <f t="shared" si="69"/>
        <v>0</v>
      </c>
      <c r="S141" s="594">
        <f t="shared" si="69"/>
        <v>0</v>
      </c>
    </row>
    <row r="142" spans="3:19" x14ac:dyDescent="0.2">
      <c r="G142" s="593" t="s">
        <v>290</v>
      </c>
      <c r="H142" s="594">
        <f t="shared" ref="H142:S142" si="70">H27</f>
        <v>9626.9120000000003</v>
      </c>
      <c r="I142" s="594">
        <f t="shared" si="70"/>
        <v>9134.1759999999995</v>
      </c>
      <c r="J142" s="594">
        <f t="shared" si="70"/>
        <v>8441.4030000000002</v>
      </c>
      <c r="K142" s="594">
        <f t="shared" si="70"/>
        <v>7987.076</v>
      </c>
      <c r="L142" s="594">
        <f t="shared" si="70"/>
        <v>7560.5619999999999</v>
      </c>
      <c r="M142" s="594">
        <f t="shared" si="70"/>
        <v>7156</v>
      </c>
      <c r="N142" s="594">
        <f t="shared" si="70"/>
        <v>6762</v>
      </c>
      <c r="O142" s="594">
        <f t="shared" si="70"/>
        <v>6317</v>
      </c>
      <c r="P142" s="594">
        <f t="shared" si="70"/>
        <v>6399</v>
      </c>
      <c r="Q142" s="594">
        <f t="shared" si="70"/>
        <v>6395</v>
      </c>
      <c r="R142" s="594">
        <f t="shared" si="70"/>
        <v>5881.75</v>
      </c>
      <c r="S142" s="594">
        <f t="shared" si="70"/>
        <v>5378.6</v>
      </c>
    </row>
    <row r="143" spans="3:19" x14ac:dyDescent="0.2">
      <c r="C143" s="588"/>
      <c r="D143" s="588"/>
      <c r="E143" s="589"/>
      <c r="G143" s="529"/>
      <c r="H143" s="529"/>
      <c r="I143" s="529"/>
      <c r="J143" s="529"/>
      <c r="K143" s="529"/>
      <c r="L143" s="529"/>
      <c r="M143" s="529"/>
      <c r="N143" s="529"/>
      <c r="O143" s="529"/>
      <c r="P143" s="529"/>
      <c r="Q143" s="529"/>
      <c r="R143" s="529"/>
      <c r="S143" s="529"/>
    </row>
    <row r="144" spans="3:19" x14ac:dyDescent="0.2">
      <c r="C144" s="529" t="s">
        <v>544</v>
      </c>
      <c r="G144" s="529"/>
      <c r="H144" s="529"/>
      <c r="I144" s="529"/>
      <c r="J144" s="529"/>
      <c r="K144" s="529"/>
      <c r="L144" s="529"/>
      <c r="M144" s="529"/>
      <c r="N144" s="529"/>
      <c r="O144" s="529"/>
      <c r="P144" s="529"/>
      <c r="Q144" s="529"/>
      <c r="R144" s="529"/>
      <c r="S144" s="529"/>
    </row>
    <row r="145" spans="3:19" x14ac:dyDescent="0.2">
      <c r="C145" s="529"/>
      <c r="H145" s="568"/>
      <c r="I145" s="568"/>
      <c r="J145" s="568"/>
      <c r="K145" s="568"/>
      <c r="L145" s="568"/>
      <c r="M145" s="568"/>
      <c r="N145" s="568"/>
      <c r="O145" s="568"/>
      <c r="P145" s="568"/>
      <c r="Q145" s="568"/>
      <c r="R145" s="568"/>
      <c r="S145" s="568"/>
    </row>
    <row r="146" spans="3:19" x14ac:dyDescent="0.2">
      <c r="C146" s="529" t="s">
        <v>291</v>
      </c>
      <c r="H146" s="568"/>
      <c r="I146" s="568"/>
      <c r="J146" s="568"/>
      <c r="K146" s="568"/>
      <c r="L146" s="568"/>
      <c r="M146" s="568"/>
      <c r="N146" s="568"/>
      <c r="O146" s="568"/>
      <c r="P146" s="568"/>
      <c r="Q146" s="568"/>
      <c r="R146" s="568"/>
      <c r="S146" s="568"/>
    </row>
    <row r="147" spans="3:19" x14ac:dyDescent="0.2">
      <c r="C147" s="529" t="s">
        <v>292</v>
      </c>
      <c r="F147" s="535"/>
      <c r="G147" s="595"/>
      <c r="H147" s="595"/>
      <c r="I147" s="595"/>
      <c r="J147" s="595"/>
      <c r="K147" s="595"/>
      <c r="L147" s="595"/>
      <c r="M147" s="595"/>
      <c r="N147" s="595"/>
      <c r="O147" s="595"/>
      <c r="P147" s="595"/>
      <c r="Q147" s="595"/>
      <c r="R147" s="595"/>
      <c r="S147" s="595"/>
    </row>
    <row r="148" spans="3:19" x14ac:dyDescent="0.2">
      <c r="C148" s="529"/>
      <c r="F148" s="535"/>
      <c r="G148" s="559"/>
      <c r="H148" s="559"/>
      <c r="I148" s="559"/>
      <c r="J148" s="559"/>
      <c r="K148" s="559"/>
      <c r="L148" s="559"/>
      <c r="M148" s="559"/>
      <c r="N148" s="559"/>
      <c r="O148" s="559"/>
      <c r="P148" s="559"/>
      <c r="Q148" s="559"/>
      <c r="R148" s="559"/>
      <c r="S148" s="559"/>
    </row>
    <row r="149" spans="3:19" x14ac:dyDescent="0.2">
      <c r="C149" s="529" t="s">
        <v>293</v>
      </c>
      <c r="F149" s="535"/>
    </row>
    <row r="150" spans="3:19" x14ac:dyDescent="0.2">
      <c r="C150" s="529" t="s">
        <v>294</v>
      </c>
      <c r="F150" s="535"/>
    </row>
  </sheetData>
  <sheetProtection selectLockedCells="1" selectUnlockedCells="1"/>
  <mergeCells count="2">
    <mergeCell ref="M2:R2"/>
    <mergeCell ref="D87:E87"/>
  </mergeCells>
  <conditionalFormatting sqref="H116:Q116">
    <cfRule type="cellIs" dxfId="1940" priority="1" stopIfTrue="1" operator="greaterThan">
      <formula>$E$116</formula>
    </cfRule>
    <cfRule type="cellIs" dxfId="1939" priority="2" stopIfTrue="1" operator="lessThanOrEqual">
      <formula>$E$116</formula>
    </cfRule>
  </conditionalFormatting>
  <conditionalFormatting sqref="H118:Q118">
    <cfRule type="cellIs" dxfId="1938" priority="3" stopIfTrue="1" operator="lessThanOrEqual">
      <formula>$E$118</formula>
    </cfRule>
    <cfRule type="cellIs" dxfId="1937" priority="4" stopIfTrue="1" operator="greaterThan">
      <formula>$E$118</formula>
    </cfRule>
  </conditionalFormatting>
  <conditionalFormatting sqref="H99:Q99">
    <cfRule type="cellIs" dxfId="1936" priority="5" stopIfTrue="1" operator="greaterThan">
      <formula>$E$99</formula>
    </cfRule>
    <cfRule type="cellIs" dxfId="1935" priority="6" stopIfTrue="1" operator="lessThanOrEqual">
      <formula>$E$99</formula>
    </cfRule>
  </conditionalFormatting>
  <conditionalFormatting sqref="H102:Q102">
    <cfRule type="cellIs" dxfId="1934" priority="7" stopIfTrue="1" operator="greaterThanOrEqual">
      <formula>$E$102</formula>
    </cfRule>
    <cfRule type="cellIs" dxfId="1933" priority="8" stopIfTrue="1" operator="lessThan">
      <formula>$E$102</formula>
    </cfRule>
  </conditionalFormatting>
  <conditionalFormatting sqref="H104:Q104">
    <cfRule type="cellIs" dxfId="1932" priority="9" stopIfTrue="1" operator="lessThan">
      <formula>$E$104</formula>
    </cfRule>
    <cfRule type="cellIs" dxfId="1931" priority="10" stopIfTrue="1" operator="greaterThanOrEqual">
      <formula>$E$104</formula>
    </cfRule>
  </conditionalFormatting>
  <conditionalFormatting sqref="H103:Q103">
    <cfRule type="cellIs" dxfId="1930" priority="11" stopIfTrue="1" operator="greaterThan">
      <formula>$E$103</formula>
    </cfRule>
    <cfRule type="cellIs" dxfId="1929" priority="12" stopIfTrue="1" operator="lessThanOrEqual">
      <formula>$E$103</formula>
    </cfRule>
  </conditionalFormatting>
  <conditionalFormatting sqref="H100:Q100">
    <cfRule type="cellIs" dxfId="1928" priority="13" stopIfTrue="1" operator="between">
      <formula>$D$100</formula>
      <formula>$E$100</formula>
    </cfRule>
    <cfRule type="cellIs" dxfId="1927" priority="14" stopIfTrue="1" operator="lessThanOrEqual">
      <formula>$D$100</formula>
    </cfRule>
    <cfRule type="cellIs" dxfId="1926" priority="15" stopIfTrue="1" operator="greaterThan">
      <formula>$E$100</formula>
    </cfRule>
  </conditionalFormatting>
  <conditionalFormatting sqref="H117:Q117">
    <cfRule type="cellIs" dxfId="1925" priority="16" stopIfTrue="1" operator="greaterThan">
      <formula>$E$117</formula>
    </cfRule>
    <cfRule type="cellIs" dxfId="1924" priority="17" stopIfTrue="1" operator="lessThanOrEqual">
      <formula>$E$117</formula>
    </cfRule>
  </conditionalFormatting>
  <conditionalFormatting sqref="H107:Q107">
    <cfRule type="cellIs" dxfId="1923" priority="18" stopIfTrue="1" operator="greaterThan">
      <formula>$E$107</formula>
    </cfRule>
    <cfRule type="cellIs" dxfId="1922" priority="19" stopIfTrue="1" operator="lessThanOrEqual">
      <formula>$E$107</formula>
    </cfRule>
  </conditionalFormatting>
  <conditionalFormatting sqref="H108:Q108">
    <cfRule type="cellIs" dxfId="1921" priority="20" stopIfTrue="1" operator="lessThan">
      <formula>$E$108</formula>
    </cfRule>
    <cfRule type="cellIs" dxfId="1920" priority="21" stopIfTrue="1" operator="greaterThanOrEqual">
      <formula>$E$108</formula>
    </cfRule>
  </conditionalFormatting>
  <conditionalFormatting sqref="H93:Q93">
    <cfRule type="cellIs" dxfId="1919" priority="22" stopIfTrue="1" operator="lessThan">
      <formula>$D$93</formula>
    </cfRule>
    <cfRule type="cellIs" dxfId="1918" priority="23" stopIfTrue="1" operator="between">
      <formula>$D$93</formula>
      <formula>$E$93</formula>
    </cfRule>
    <cfRule type="cellIs" dxfId="1917" priority="24" stopIfTrue="1" operator="greaterThan">
      <formula>$E$93</formula>
    </cfRule>
  </conditionalFormatting>
  <conditionalFormatting sqref="H114:Q114">
    <cfRule type="cellIs" dxfId="1916" priority="25" stopIfTrue="1" operator="lessThan">
      <formula>$E$114</formula>
    </cfRule>
    <cfRule type="cellIs" dxfId="1915" priority="26" stopIfTrue="1" operator="between">
      <formula>$D$114</formula>
      <formula>$E$114</formula>
    </cfRule>
    <cfRule type="cellIs" dxfId="1914" priority="27" stopIfTrue="1" operator="greaterThanOrEqual">
      <formula>$D$114</formula>
    </cfRule>
  </conditionalFormatting>
  <conditionalFormatting sqref="H90:Q90">
    <cfRule type="cellIs" dxfId="1913" priority="28" stopIfTrue="1" operator="lessThan">
      <formula>$E$90</formula>
    </cfRule>
    <cfRule type="cellIs" dxfId="1912" priority="29" stopIfTrue="1" operator="greaterThan">
      <formula>$E$90</formula>
    </cfRule>
  </conditionalFormatting>
  <conditionalFormatting sqref="R116">
    <cfRule type="cellIs" dxfId="1911" priority="30" stopIfTrue="1" operator="greaterThan">
      <formula>$E$116</formula>
    </cfRule>
    <cfRule type="cellIs" dxfId="1910" priority="31" stopIfTrue="1" operator="lessThanOrEqual">
      <formula>$E$116</formula>
    </cfRule>
  </conditionalFormatting>
  <conditionalFormatting sqref="R118">
    <cfRule type="cellIs" dxfId="1909" priority="32" stopIfTrue="1" operator="lessThanOrEqual">
      <formula>$E$118</formula>
    </cfRule>
    <cfRule type="cellIs" dxfId="1908" priority="33" stopIfTrue="1" operator="greaterThan">
      <formula>$E$118</formula>
    </cfRule>
  </conditionalFormatting>
  <conditionalFormatting sqref="R99">
    <cfRule type="cellIs" dxfId="1907" priority="34" stopIfTrue="1" operator="greaterThan">
      <formula>$E$99</formula>
    </cfRule>
    <cfRule type="cellIs" dxfId="1906" priority="35" stopIfTrue="1" operator="lessThanOrEqual">
      <formula>$E$99</formula>
    </cfRule>
  </conditionalFormatting>
  <conditionalFormatting sqref="R102">
    <cfRule type="cellIs" dxfId="1905" priority="36" stopIfTrue="1" operator="greaterThanOrEqual">
      <formula>$E$102</formula>
    </cfRule>
    <cfRule type="cellIs" dxfId="1904" priority="37" stopIfTrue="1" operator="lessThan">
      <formula>$E$102</formula>
    </cfRule>
  </conditionalFormatting>
  <conditionalFormatting sqref="R104">
    <cfRule type="cellIs" dxfId="1903" priority="38" stopIfTrue="1" operator="lessThan">
      <formula>$E$104</formula>
    </cfRule>
    <cfRule type="cellIs" dxfId="1902" priority="39" stopIfTrue="1" operator="greaterThanOrEqual">
      <formula>$E$104</formula>
    </cfRule>
  </conditionalFormatting>
  <conditionalFormatting sqref="R103">
    <cfRule type="cellIs" dxfId="1901" priority="40" stopIfTrue="1" operator="greaterThan">
      <formula>$E$103</formula>
    </cfRule>
    <cfRule type="cellIs" dxfId="1900" priority="41" stopIfTrue="1" operator="lessThanOrEqual">
      <formula>$E$103</formula>
    </cfRule>
  </conditionalFormatting>
  <conditionalFormatting sqref="R100">
    <cfRule type="cellIs" dxfId="1899" priority="42" stopIfTrue="1" operator="between">
      <formula>$D$100</formula>
      <formula>$E$100</formula>
    </cfRule>
    <cfRule type="cellIs" dxfId="1898" priority="43" stopIfTrue="1" operator="lessThanOrEqual">
      <formula>$D$100</formula>
    </cfRule>
    <cfRule type="cellIs" dxfId="1897" priority="44" stopIfTrue="1" operator="greaterThan">
      <formula>$E$100</formula>
    </cfRule>
  </conditionalFormatting>
  <conditionalFormatting sqref="R117">
    <cfRule type="cellIs" dxfId="1896" priority="45" stopIfTrue="1" operator="greaterThan">
      <formula>$E$117</formula>
    </cfRule>
    <cfRule type="cellIs" dxfId="1895" priority="46" stopIfTrue="1" operator="lessThanOrEqual">
      <formula>$E$117</formula>
    </cfRule>
  </conditionalFormatting>
  <conditionalFormatting sqref="R107">
    <cfRule type="cellIs" dxfId="1894" priority="47" stopIfTrue="1" operator="greaterThan">
      <formula>$E$107</formula>
    </cfRule>
    <cfRule type="cellIs" dxfId="1893" priority="48" stopIfTrue="1" operator="lessThanOrEqual">
      <formula>$E$107</formula>
    </cfRule>
  </conditionalFormatting>
  <conditionalFormatting sqref="R108">
    <cfRule type="cellIs" dxfId="1892" priority="49" stopIfTrue="1" operator="lessThan">
      <formula>$E$108</formula>
    </cfRule>
    <cfRule type="cellIs" dxfId="1891" priority="50" stopIfTrue="1" operator="greaterThanOrEqual">
      <formula>$E$108</formula>
    </cfRule>
  </conditionalFormatting>
  <conditionalFormatting sqref="R93">
    <cfRule type="cellIs" dxfId="1890" priority="51" stopIfTrue="1" operator="lessThan">
      <formula>$D$93</formula>
    </cfRule>
    <cfRule type="cellIs" dxfId="1889" priority="52" stopIfTrue="1" operator="between">
      <formula>$D$93</formula>
      <formula>$E$93</formula>
    </cfRule>
    <cfRule type="cellIs" dxfId="1888" priority="53" stopIfTrue="1" operator="greaterThan">
      <formula>$E$93</formula>
    </cfRule>
  </conditionalFormatting>
  <conditionalFormatting sqref="R114">
    <cfRule type="cellIs" dxfId="1887" priority="54" stopIfTrue="1" operator="lessThan">
      <formula>$E$114</formula>
    </cfRule>
    <cfRule type="cellIs" dxfId="1886" priority="55" stopIfTrue="1" operator="between">
      <formula>$D$114</formula>
      <formula>$E$114</formula>
    </cfRule>
    <cfRule type="cellIs" dxfId="1885" priority="56" stopIfTrue="1" operator="greaterThanOrEqual">
      <formula>$D$114</formula>
    </cfRule>
  </conditionalFormatting>
  <conditionalFormatting sqref="R90">
    <cfRule type="cellIs" dxfId="1884" priority="57" stopIfTrue="1" operator="lessThan">
      <formula>$E$90</formula>
    </cfRule>
    <cfRule type="cellIs" dxfId="1883" priority="58" stopIfTrue="1" operator="greaterThan">
      <formula>$E$90</formula>
    </cfRule>
  </conditionalFormatting>
  <conditionalFormatting sqref="S116">
    <cfRule type="cellIs" dxfId="1882" priority="59" stopIfTrue="1" operator="greaterThan">
      <formula>$E$116</formula>
    </cfRule>
    <cfRule type="cellIs" dxfId="1881" priority="60" stopIfTrue="1" operator="lessThanOrEqual">
      <formula>$E$116</formula>
    </cfRule>
  </conditionalFormatting>
  <conditionalFormatting sqref="S118">
    <cfRule type="cellIs" dxfId="1880" priority="61" stopIfTrue="1" operator="lessThanOrEqual">
      <formula>$E$118</formula>
    </cfRule>
    <cfRule type="cellIs" dxfId="1879" priority="62" stopIfTrue="1" operator="greaterThan">
      <formula>$E$118</formula>
    </cfRule>
  </conditionalFormatting>
  <conditionalFormatting sqref="S99">
    <cfRule type="cellIs" dxfId="1878" priority="63" stopIfTrue="1" operator="greaterThan">
      <formula>$E$99</formula>
    </cfRule>
    <cfRule type="cellIs" dxfId="1877" priority="64" stopIfTrue="1" operator="lessThanOrEqual">
      <formula>$E$99</formula>
    </cfRule>
  </conditionalFormatting>
  <conditionalFormatting sqref="S102">
    <cfRule type="cellIs" dxfId="1876" priority="65" stopIfTrue="1" operator="greaterThanOrEqual">
      <formula>$E$102</formula>
    </cfRule>
    <cfRule type="cellIs" dxfId="1875" priority="66" stopIfTrue="1" operator="lessThan">
      <formula>$E$102</formula>
    </cfRule>
  </conditionalFormatting>
  <conditionalFormatting sqref="S104">
    <cfRule type="cellIs" dxfId="1874" priority="67" stopIfTrue="1" operator="lessThan">
      <formula>$E$104</formula>
    </cfRule>
    <cfRule type="cellIs" dxfId="1873" priority="68" stopIfTrue="1" operator="greaterThanOrEqual">
      <formula>$E$104</formula>
    </cfRule>
  </conditionalFormatting>
  <conditionalFormatting sqref="S103">
    <cfRule type="cellIs" dxfId="1872" priority="69" stopIfTrue="1" operator="greaterThan">
      <formula>$E$103</formula>
    </cfRule>
    <cfRule type="cellIs" dxfId="1871" priority="70" stopIfTrue="1" operator="lessThanOrEqual">
      <formula>$E$103</formula>
    </cfRule>
  </conditionalFormatting>
  <conditionalFormatting sqref="S100">
    <cfRule type="cellIs" dxfId="1870" priority="71" stopIfTrue="1" operator="between">
      <formula>$D$100</formula>
      <formula>$E$100</formula>
    </cfRule>
    <cfRule type="cellIs" dxfId="1869" priority="72" stopIfTrue="1" operator="lessThanOrEqual">
      <formula>$D$100</formula>
    </cfRule>
    <cfRule type="cellIs" dxfId="1868" priority="73" stopIfTrue="1" operator="greaterThan">
      <formula>$E$100</formula>
    </cfRule>
  </conditionalFormatting>
  <conditionalFormatting sqref="S117">
    <cfRule type="cellIs" dxfId="1867" priority="74" stopIfTrue="1" operator="greaterThan">
      <formula>$E$117</formula>
    </cfRule>
    <cfRule type="cellIs" dxfId="1866" priority="75" stopIfTrue="1" operator="lessThanOrEqual">
      <formula>$E$117</formula>
    </cfRule>
  </conditionalFormatting>
  <conditionalFormatting sqref="S107">
    <cfRule type="cellIs" dxfId="1865" priority="76" stopIfTrue="1" operator="greaterThan">
      <formula>$E$107</formula>
    </cfRule>
    <cfRule type="cellIs" dxfId="1864" priority="77" stopIfTrue="1" operator="lessThanOrEqual">
      <formula>$E$107</formula>
    </cfRule>
  </conditionalFormatting>
  <conditionalFormatting sqref="S108">
    <cfRule type="cellIs" dxfId="1863" priority="78" stopIfTrue="1" operator="lessThan">
      <formula>$E$108</formula>
    </cfRule>
    <cfRule type="cellIs" dxfId="1862" priority="79" stopIfTrue="1" operator="greaterThanOrEqual">
      <formula>$E$108</formula>
    </cfRule>
  </conditionalFormatting>
  <conditionalFormatting sqref="S93">
    <cfRule type="cellIs" dxfId="1861" priority="80" stopIfTrue="1" operator="lessThan">
      <formula>$D$93</formula>
    </cfRule>
    <cfRule type="cellIs" dxfId="1860" priority="81" stopIfTrue="1" operator="between">
      <formula>$D$93</formula>
      <formula>$E$93</formula>
    </cfRule>
    <cfRule type="cellIs" dxfId="1859" priority="82" stopIfTrue="1" operator="greaterThan">
      <formula>$E$93</formula>
    </cfRule>
  </conditionalFormatting>
  <conditionalFormatting sqref="S114">
    <cfRule type="cellIs" dxfId="1858" priority="83" stopIfTrue="1" operator="lessThan">
      <formula>$E$114</formula>
    </cfRule>
    <cfRule type="cellIs" dxfId="1857" priority="84" stopIfTrue="1" operator="between">
      <formula>$D$114</formula>
      <formula>$E$114</formula>
    </cfRule>
    <cfRule type="cellIs" dxfId="1856" priority="85" stopIfTrue="1" operator="greaterThanOrEqual">
      <formula>$D$114</formula>
    </cfRule>
  </conditionalFormatting>
  <conditionalFormatting sqref="S90">
    <cfRule type="cellIs" dxfId="1855" priority="86" stopIfTrue="1" operator="lessThan">
      <formula>$E$90</formula>
    </cfRule>
    <cfRule type="cellIs" dxfId="1854" priority="87" stopIfTrue="1" operator="greaterThan">
      <formula>$E$90</formula>
    </cfRule>
  </conditionalFormatting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/>
  <headerFooter alignWithMargins="0">
    <oddHeader>&amp;C&amp;A</oddHeader>
    <oddFooter>&amp;CPage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AA53C-DC93-4512-95CF-C3C8E774BACA}">
  <dimension ref="A1:U202"/>
  <sheetViews>
    <sheetView workbookViewId="0">
      <selection activeCell="G2" sqref="G2"/>
    </sheetView>
  </sheetViews>
  <sheetFormatPr defaultColWidth="11.42578125" defaultRowHeight="11.25" outlineLevelCol="1" x14ac:dyDescent="0.2"/>
  <cols>
    <col min="1" max="1" width="7.28515625" style="199" customWidth="1"/>
    <col min="2" max="2" width="4.7109375" style="199" bestFit="1" customWidth="1"/>
    <col min="3" max="3" width="11.42578125" style="199" customWidth="1"/>
    <col min="4" max="5" width="5.140625" style="199" bestFit="1" customWidth="1"/>
    <col min="6" max="6" width="2.7109375" style="213" customWidth="1"/>
    <col min="7" max="7" width="29.42578125" style="199" customWidth="1"/>
    <col min="8" max="12" width="7.85546875" style="199" hidden="1" customWidth="1" outlineLevel="1"/>
    <col min="13" max="13" width="8.7109375" style="199" customWidth="1" collapsed="1"/>
    <col min="14" max="19" width="8.7109375" style="199" bestFit="1" customWidth="1"/>
    <col min="20" max="256" width="11.42578125" style="199"/>
    <col min="257" max="257" width="7.28515625" style="199" customWidth="1"/>
    <col min="258" max="258" width="4.7109375" style="199" bestFit="1" customWidth="1"/>
    <col min="259" max="259" width="11.42578125" style="199"/>
    <col min="260" max="261" width="5.140625" style="199" bestFit="1" customWidth="1"/>
    <col min="262" max="262" width="2.7109375" style="199" customWidth="1"/>
    <col min="263" max="263" width="29.42578125" style="199" customWidth="1"/>
    <col min="264" max="268" width="0" style="199" hidden="1" customWidth="1"/>
    <col min="269" max="269" width="8.7109375" style="199" customWidth="1"/>
    <col min="270" max="275" width="8.7109375" style="199" bestFit="1" customWidth="1"/>
    <col min="276" max="512" width="11.42578125" style="199"/>
    <col min="513" max="513" width="7.28515625" style="199" customWidth="1"/>
    <col min="514" max="514" width="4.7109375" style="199" bestFit="1" customWidth="1"/>
    <col min="515" max="515" width="11.42578125" style="199"/>
    <col min="516" max="517" width="5.140625" style="199" bestFit="1" customWidth="1"/>
    <col min="518" max="518" width="2.7109375" style="199" customWidth="1"/>
    <col min="519" max="519" width="29.42578125" style="199" customWidth="1"/>
    <col min="520" max="524" width="0" style="199" hidden="1" customWidth="1"/>
    <col min="525" max="525" width="8.7109375" style="199" customWidth="1"/>
    <col min="526" max="531" width="8.7109375" style="199" bestFit="1" customWidth="1"/>
    <col min="532" max="768" width="11.42578125" style="199"/>
    <col min="769" max="769" width="7.28515625" style="199" customWidth="1"/>
    <col min="770" max="770" width="4.7109375" style="199" bestFit="1" customWidth="1"/>
    <col min="771" max="771" width="11.42578125" style="199"/>
    <col min="772" max="773" width="5.140625" style="199" bestFit="1" customWidth="1"/>
    <col min="774" max="774" width="2.7109375" style="199" customWidth="1"/>
    <col min="775" max="775" width="29.42578125" style="199" customWidth="1"/>
    <col min="776" max="780" width="0" style="199" hidden="1" customWidth="1"/>
    <col min="781" max="781" width="8.7109375" style="199" customWidth="1"/>
    <col min="782" max="787" width="8.7109375" style="199" bestFit="1" customWidth="1"/>
    <col min="788" max="1024" width="11.42578125" style="199"/>
    <col min="1025" max="1025" width="7.28515625" style="199" customWidth="1"/>
    <col min="1026" max="1026" width="4.7109375" style="199" bestFit="1" customWidth="1"/>
    <col min="1027" max="1027" width="11.42578125" style="199"/>
    <col min="1028" max="1029" width="5.140625" style="199" bestFit="1" customWidth="1"/>
    <col min="1030" max="1030" width="2.7109375" style="199" customWidth="1"/>
    <col min="1031" max="1031" width="29.42578125" style="199" customWidth="1"/>
    <col min="1032" max="1036" width="0" style="199" hidden="1" customWidth="1"/>
    <col min="1037" max="1037" width="8.7109375" style="199" customWidth="1"/>
    <col min="1038" max="1043" width="8.7109375" style="199" bestFit="1" customWidth="1"/>
    <col min="1044" max="1280" width="11.42578125" style="199"/>
    <col min="1281" max="1281" width="7.28515625" style="199" customWidth="1"/>
    <col min="1282" max="1282" width="4.7109375" style="199" bestFit="1" customWidth="1"/>
    <col min="1283" max="1283" width="11.42578125" style="199"/>
    <col min="1284" max="1285" width="5.140625" style="199" bestFit="1" customWidth="1"/>
    <col min="1286" max="1286" width="2.7109375" style="199" customWidth="1"/>
    <col min="1287" max="1287" width="29.42578125" style="199" customWidth="1"/>
    <col min="1288" max="1292" width="0" style="199" hidden="1" customWidth="1"/>
    <col min="1293" max="1293" width="8.7109375" style="199" customWidth="1"/>
    <col min="1294" max="1299" width="8.7109375" style="199" bestFit="1" customWidth="1"/>
    <col min="1300" max="1536" width="11.42578125" style="199"/>
    <col min="1537" max="1537" width="7.28515625" style="199" customWidth="1"/>
    <col min="1538" max="1538" width="4.7109375" style="199" bestFit="1" customWidth="1"/>
    <col min="1539" max="1539" width="11.42578125" style="199"/>
    <col min="1540" max="1541" width="5.140625" style="199" bestFit="1" customWidth="1"/>
    <col min="1542" max="1542" width="2.7109375" style="199" customWidth="1"/>
    <col min="1543" max="1543" width="29.42578125" style="199" customWidth="1"/>
    <col min="1544" max="1548" width="0" style="199" hidden="1" customWidth="1"/>
    <col min="1549" max="1549" width="8.7109375" style="199" customWidth="1"/>
    <col min="1550" max="1555" width="8.7109375" style="199" bestFit="1" customWidth="1"/>
    <col min="1556" max="1792" width="11.42578125" style="199"/>
    <col min="1793" max="1793" width="7.28515625" style="199" customWidth="1"/>
    <col min="1794" max="1794" width="4.7109375" style="199" bestFit="1" customWidth="1"/>
    <col min="1795" max="1795" width="11.42578125" style="199"/>
    <col min="1796" max="1797" width="5.140625" style="199" bestFit="1" customWidth="1"/>
    <col min="1798" max="1798" width="2.7109375" style="199" customWidth="1"/>
    <col min="1799" max="1799" width="29.42578125" style="199" customWidth="1"/>
    <col min="1800" max="1804" width="0" style="199" hidden="1" customWidth="1"/>
    <col min="1805" max="1805" width="8.7109375" style="199" customWidth="1"/>
    <col min="1806" max="1811" width="8.7109375" style="199" bestFit="1" customWidth="1"/>
    <col min="1812" max="2048" width="11.42578125" style="199"/>
    <col min="2049" max="2049" width="7.28515625" style="199" customWidth="1"/>
    <col min="2050" max="2050" width="4.7109375" style="199" bestFit="1" customWidth="1"/>
    <col min="2051" max="2051" width="11.42578125" style="199"/>
    <col min="2052" max="2053" width="5.140625" style="199" bestFit="1" customWidth="1"/>
    <col min="2054" max="2054" width="2.7109375" style="199" customWidth="1"/>
    <col min="2055" max="2055" width="29.42578125" style="199" customWidth="1"/>
    <col min="2056" max="2060" width="0" style="199" hidden="1" customWidth="1"/>
    <col min="2061" max="2061" width="8.7109375" style="199" customWidth="1"/>
    <col min="2062" max="2067" width="8.7109375" style="199" bestFit="1" customWidth="1"/>
    <col min="2068" max="2304" width="11.42578125" style="199"/>
    <col min="2305" max="2305" width="7.28515625" style="199" customWidth="1"/>
    <col min="2306" max="2306" width="4.7109375" style="199" bestFit="1" customWidth="1"/>
    <col min="2307" max="2307" width="11.42578125" style="199"/>
    <col min="2308" max="2309" width="5.140625" style="199" bestFit="1" customWidth="1"/>
    <col min="2310" max="2310" width="2.7109375" style="199" customWidth="1"/>
    <col min="2311" max="2311" width="29.42578125" style="199" customWidth="1"/>
    <col min="2312" max="2316" width="0" style="199" hidden="1" customWidth="1"/>
    <col min="2317" max="2317" width="8.7109375" style="199" customWidth="1"/>
    <col min="2318" max="2323" width="8.7109375" style="199" bestFit="1" customWidth="1"/>
    <col min="2324" max="2560" width="11.42578125" style="199"/>
    <col min="2561" max="2561" width="7.28515625" style="199" customWidth="1"/>
    <col min="2562" max="2562" width="4.7109375" style="199" bestFit="1" customWidth="1"/>
    <col min="2563" max="2563" width="11.42578125" style="199"/>
    <col min="2564" max="2565" width="5.140625" style="199" bestFit="1" customWidth="1"/>
    <col min="2566" max="2566" width="2.7109375" style="199" customWidth="1"/>
    <col min="2567" max="2567" width="29.42578125" style="199" customWidth="1"/>
    <col min="2568" max="2572" width="0" style="199" hidden="1" customWidth="1"/>
    <col min="2573" max="2573" width="8.7109375" style="199" customWidth="1"/>
    <col min="2574" max="2579" width="8.7109375" style="199" bestFit="1" customWidth="1"/>
    <col min="2580" max="2816" width="11.42578125" style="199"/>
    <col min="2817" max="2817" width="7.28515625" style="199" customWidth="1"/>
    <col min="2818" max="2818" width="4.7109375" style="199" bestFit="1" customWidth="1"/>
    <col min="2819" max="2819" width="11.42578125" style="199"/>
    <col min="2820" max="2821" width="5.140625" style="199" bestFit="1" customWidth="1"/>
    <col min="2822" max="2822" width="2.7109375" style="199" customWidth="1"/>
    <col min="2823" max="2823" width="29.42578125" style="199" customWidth="1"/>
    <col min="2824" max="2828" width="0" style="199" hidden="1" customWidth="1"/>
    <col min="2829" max="2829" width="8.7109375" style="199" customWidth="1"/>
    <col min="2830" max="2835" width="8.7109375" style="199" bestFit="1" customWidth="1"/>
    <col min="2836" max="3072" width="11.42578125" style="199"/>
    <col min="3073" max="3073" width="7.28515625" style="199" customWidth="1"/>
    <col min="3074" max="3074" width="4.7109375" style="199" bestFit="1" customWidth="1"/>
    <col min="3075" max="3075" width="11.42578125" style="199"/>
    <col min="3076" max="3077" width="5.140625" style="199" bestFit="1" customWidth="1"/>
    <col min="3078" max="3078" width="2.7109375" style="199" customWidth="1"/>
    <col min="3079" max="3079" width="29.42578125" style="199" customWidth="1"/>
    <col min="3080" max="3084" width="0" style="199" hidden="1" customWidth="1"/>
    <col min="3085" max="3085" width="8.7109375" style="199" customWidth="1"/>
    <col min="3086" max="3091" width="8.7109375" style="199" bestFit="1" customWidth="1"/>
    <col min="3092" max="3328" width="11.42578125" style="199"/>
    <col min="3329" max="3329" width="7.28515625" style="199" customWidth="1"/>
    <col min="3330" max="3330" width="4.7109375" style="199" bestFit="1" customWidth="1"/>
    <col min="3331" max="3331" width="11.42578125" style="199"/>
    <col min="3332" max="3333" width="5.140625" style="199" bestFit="1" customWidth="1"/>
    <col min="3334" max="3334" width="2.7109375" style="199" customWidth="1"/>
    <col min="3335" max="3335" width="29.42578125" style="199" customWidth="1"/>
    <col min="3336" max="3340" width="0" style="199" hidden="1" customWidth="1"/>
    <col min="3341" max="3341" width="8.7109375" style="199" customWidth="1"/>
    <col min="3342" max="3347" width="8.7109375" style="199" bestFit="1" customWidth="1"/>
    <col min="3348" max="3584" width="11.42578125" style="199"/>
    <col min="3585" max="3585" width="7.28515625" style="199" customWidth="1"/>
    <col min="3586" max="3586" width="4.7109375" style="199" bestFit="1" customWidth="1"/>
    <col min="3587" max="3587" width="11.42578125" style="199"/>
    <col min="3588" max="3589" width="5.140625" style="199" bestFit="1" customWidth="1"/>
    <col min="3590" max="3590" width="2.7109375" style="199" customWidth="1"/>
    <col min="3591" max="3591" width="29.42578125" style="199" customWidth="1"/>
    <col min="3592" max="3596" width="0" style="199" hidden="1" customWidth="1"/>
    <col min="3597" max="3597" width="8.7109375" style="199" customWidth="1"/>
    <col min="3598" max="3603" width="8.7109375" style="199" bestFit="1" customWidth="1"/>
    <col min="3604" max="3840" width="11.42578125" style="199"/>
    <col min="3841" max="3841" width="7.28515625" style="199" customWidth="1"/>
    <col min="3842" max="3842" width="4.7109375" style="199" bestFit="1" customWidth="1"/>
    <col min="3843" max="3843" width="11.42578125" style="199"/>
    <col min="3844" max="3845" width="5.140625" style="199" bestFit="1" customWidth="1"/>
    <col min="3846" max="3846" width="2.7109375" style="199" customWidth="1"/>
    <col min="3847" max="3847" width="29.42578125" style="199" customWidth="1"/>
    <col min="3848" max="3852" width="0" style="199" hidden="1" customWidth="1"/>
    <col min="3853" max="3853" width="8.7109375" style="199" customWidth="1"/>
    <col min="3854" max="3859" width="8.7109375" style="199" bestFit="1" customWidth="1"/>
    <col min="3860" max="4096" width="11.42578125" style="199"/>
    <col min="4097" max="4097" width="7.28515625" style="199" customWidth="1"/>
    <col min="4098" max="4098" width="4.7109375" style="199" bestFit="1" customWidth="1"/>
    <col min="4099" max="4099" width="11.42578125" style="199"/>
    <col min="4100" max="4101" width="5.140625" style="199" bestFit="1" customWidth="1"/>
    <col min="4102" max="4102" width="2.7109375" style="199" customWidth="1"/>
    <col min="4103" max="4103" width="29.42578125" style="199" customWidth="1"/>
    <col min="4104" max="4108" width="0" style="199" hidden="1" customWidth="1"/>
    <col min="4109" max="4109" width="8.7109375" style="199" customWidth="1"/>
    <col min="4110" max="4115" width="8.7109375" style="199" bestFit="1" customWidth="1"/>
    <col min="4116" max="4352" width="11.42578125" style="199"/>
    <col min="4353" max="4353" width="7.28515625" style="199" customWidth="1"/>
    <col min="4354" max="4354" width="4.7109375" style="199" bestFit="1" customWidth="1"/>
    <col min="4355" max="4355" width="11.42578125" style="199"/>
    <col min="4356" max="4357" width="5.140625" style="199" bestFit="1" customWidth="1"/>
    <col min="4358" max="4358" width="2.7109375" style="199" customWidth="1"/>
    <col min="4359" max="4359" width="29.42578125" style="199" customWidth="1"/>
    <col min="4360" max="4364" width="0" style="199" hidden="1" customWidth="1"/>
    <col min="4365" max="4365" width="8.7109375" style="199" customWidth="1"/>
    <col min="4366" max="4371" width="8.7109375" style="199" bestFit="1" customWidth="1"/>
    <col min="4372" max="4608" width="11.42578125" style="199"/>
    <col min="4609" max="4609" width="7.28515625" style="199" customWidth="1"/>
    <col min="4610" max="4610" width="4.7109375" style="199" bestFit="1" customWidth="1"/>
    <col min="4611" max="4611" width="11.42578125" style="199"/>
    <col min="4612" max="4613" width="5.140625" style="199" bestFit="1" customWidth="1"/>
    <col min="4614" max="4614" width="2.7109375" style="199" customWidth="1"/>
    <col min="4615" max="4615" width="29.42578125" style="199" customWidth="1"/>
    <col min="4616" max="4620" width="0" style="199" hidden="1" customWidth="1"/>
    <col min="4621" max="4621" width="8.7109375" style="199" customWidth="1"/>
    <col min="4622" max="4627" width="8.7109375" style="199" bestFit="1" customWidth="1"/>
    <col min="4628" max="4864" width="11.42578125" style="199"/>
    <col min="4865" max="4865" width="7.28515625" style="199" customWidth="1"/>
    <col min="4866" max="4866" width="4.7109375" style="199" bestFit="1" customWidth="1"/>
    <col min="4867" max="4867" width="11.42578125" style="199"/>
    <col min="4868" max="4869" width="5.140625" style="199" bestFit="1" customWidth="1"/>
    <col min="4870" max="4870" width="2.7109375" style="199" customWidth="1"/>
    <col min="4871" max="4871" width="29.42578125" style="199" customWidth="1"/>
    <col min="4872" max="4876" width="0" style="199" hidden="1" customWidth="1"/>
    <col min="4877" max="4877" width="8.7109375" style="199" customWidth="1"/>
    <col min="4878" max="4883" width="8.7109375" style="199" bestFit="1" customWidth="1"/>
    <col min="4884" max="5120" width="11.42578125" style="199"/>
    <col min="5121" max="5121" width="7.28515625" style="199" customWidth="1"/>
    <col min="5122" max="5122" width="4.7109375" style="199" bestFit="1" customWidth="1"/>
    <col min="5123" max="5123" width="11.42578125" style="199"/>
    <col min="5124" max="5125" width="5.140625" style="199" bestFit="1" customWidth="1"/>
    <col min="5126" max="5126" width="2.7109375" style="199" customWidth="1"/>
    <col min="5127" max="5127" width="29.42578125" style="199" customWidth="1"/>
    <col min="5128" max="5132" width="0" style="199" hidden="1" customWidth="1"/>
    <col min="5133" max="5133" width="8.7109375" style="199" customWidth="1"/>
    <col min="5134" max="5139" width="8.7109375" style="199" bestFit="1" customWidth="1"/>
    <col min="5140" max="5376" width="11.42578125" style="199"/>
    <col min="5377" max="5377" width="7.28515625" style="199" customWidth="1"/>
    <col min="5378" max="5378" width="4.7109375" style="199" bestFit="1" customWidth="1"/>
    <col min="5379" max="5379" width="11.42578125" style="199"/>
    <col min="5380" max="5381" width="5.140625" style="199" bestFit="1" customWidth="1"/>
    <col min="5382" max="5382" width="2.7109375" style="199" customWidth="1"/>
    <col min="5383" max="5383" width="29.42578125" style="199" customWidth="1"/>
    <col min="5384" max="5388" width="0" style="199" hidden="1" customWidth="1"/>
    <col min="5389" max="5389" width="8.7109375" style="199" customWidth="1"/>
    <col min="5390" max="5395" width="8.7109375" style="199" bestFit="1" customWidth="1"/>
    <col min="5396" max="5632" width="11.42578125" style="199"/>
    <col min="5633" max="5633" width="7.28515625" style="199" customWidth="1"/>
    <col min="5634" max="5634" width="4.7109375" style="199" bestFit="1" customWidth="1"/>
    <col min="5635" max="5635" width="11.42578125" style="199"/>
    <col min="5636" max="5637" width="5.140625" style="199" bestFit="1" customWidth="1"/>
    <col min="5638" max="5638" width="2.7109375" style="199" customWidth="1"/>
    <col min="5639" max="5639" width="29.42578125" style="199" customWidth="1"/>
    <col min="5640" max="5644" width="0" style="199" hidden="1" customWidth="1"/>
    <col min="5645" max="5645" width="8.7109375" style="199" customWidth="1"/>
    <col min="5646" max="5651" width="8.7109375" style="199" bestFit="1" customWidth="1"/>
    <col min="5652" max="5888" width="11.42578125" style="199"/>
    <col min="5889" max="5889" width="7.28515625" style="199" customWidth="1"/>
    <col min="5890" max="5890" width="4.7109375" style="199" bestFit="1" customWidth="1"/>
    <col min="5891" max="5891" width="11.42578125" style="199"/>
    <col min="5892" max="5893" width="5.140625" style="199" bestFit="1" customWidth="1"/>
    <col min="5894" max="5894" width="2.7109375" style="199" customWidth="1"/>
    <col min="5895" max="5895" width="29.42578125" style="199" customWidth="1"/>
    <col min="5896" max="5900" width="0" style="199" hidden="1" customWidth="1"/>
    <col min="5901" max="5901" width="8.7109375" style="199" customWidth="1"/>
    <col min="5902" max="5907" width="8.7109375" style="199" bestFit="1" customWidth="1"/>
    <col min="5908" max="6144" width="11.42578125" style="199"/>
    <col min="6145" max="6145" width="7.28515625" style="199" customWidth="1"/>
    <col min="6146" max="6146" width="4.7109375" style="199" bestFit="1" customWidth="1"/>
    <col min="6147" max="6147" width="11.42578125" style="199"/>
    <col min="6148" max="6149" width="5.140625" style="199" bestFit="1" customWidth="1"/>
    <col min="6150" max="6150" width="2.7109375" style="199" customWidth="1"/>
    <col min="6151" max="6151" width="29.42578125" style="199" customWidth="1"/>
    <col min="6152" max="6156" width="0" style="199" hidden="1" customWidth="1"/>
    <col min="6157" max="6157" width="8.7109375" style="199" customWidth="1"/>
    <col min="6158" max="6163" width="8.7109375" style="199" bestFit="1" customWidth="1"/>
    <col min="6164" max="6400" width="11.42578125" style="199"/>
    <col min="6401" max="6401" width="7.28515625" style="199" customWidth="1"/>
    <col min="6402" max="6402" width="4.7109375" style="199" bestFit="1" customWidth="1"/>
    <col min="6403" max="6403" width="11.42578125" style="199"/>
    <col min="6404" max="6405" width="5.140625" style="199" bestFit="1" customWidth="1"/>
    <col min="6406" max="6406" width="2.7109375" style="199" customWidth="1"/>
    <col min="6407" max="6407" width="29.42578125" style="199" customWidth="1"/>
    <col min="6408" max="6412" width="0" style="199" hidden="1" customWidth="1"/>
    <col min="6413" max="6413" width="8.7109375" style="199" customWidth="1"/>
    <col min="6414" max="6419" width="8.7109375" style="199" bestFit="1" customWidth="1"/>
    <col min="6420" max="6656" width="11.42578125" style="199"/>
    <col min="6657" max="6657" width="7.28515625" style="199" customWidth="1"/>
    <col min="6658" max="6658" width="4.7109375" style="199" bestFit="1" customWidth="1"/>
    <col min="6659" max="6659" width="11.42578125" style="199"/>
    <col min="6660" max="6661" width="5.140625" style="199" bestFit="1" customWidth="1"/>
    <col min="6662" max="6662" width="2.7109375" style="199" customWidth="1"/>
    <col min="6663" max="6663" width="29.42578125" style="199" customWidth="1"/>
    <col min="6664" max="6668" width="0" style="199" hidden="1" customWidth="1"/>
    <col min="6669" max="6669" width="8.7109375" style="199" customWidth="1"/>
    <col min="6670" max="6675" width="8.7109375" style="199" bestFit="1" customWidth="1"/>
    <col min="6676" max="6912" width="11.42578125" style="199"/>
    <col min="6913" max="6913" width="7.28515625" style="199" customWidth="1"/>
    <col min="6914" max="6914" width="4.7109375" style="199" bestFit="1" customWidth="1"/>
    <col min="6915" max="6915" width="11.42578125" style="199"/>
    <col min="6916" max="6917" width="5.140625" style="199" bestFit="1" customWidth="1"/>
    <col min="6918" max="6918" width="2.7109375" style="199" customWidth="1"/>
    <col min="6919" max="6919" width="29.42578125" style="199" customWidth="1"/>
    <col min="6920" max="6924" width="0" style="199" hidden="1" customWidth="1"/>
    <col min="6925" max="6925" width="8.7109375" style="199" customWidth="1"/>
    <col min="6926" max="6931" width="8.7109375" style="199" bestFit="1" customWidth="1"/>
    <col min="6932" max="7168" width="11.42578125" style="199"/>
    <col min="7169" max="7169" width="7.28515625" style="199" customWidth="1"/>
    <col min="7170" max="7170" width="4.7109375" style="199" bestFit="1" customWidth="1"/>
    <col min="7171" max="7171" width="11.42578125" style="199"/>
    <col min="7172" max="7173" width="5.140625" style="199" bestFit="1" customWidth="1"/>
    <col min="7174" max="7174" width="2.7109375" style="199" customWidth="1"/>
    <col min="7175" max="7175" width="29.42578125" style="199" customWidth="1"/>
    <col min="7176" max="7180" width="0" style="199" hidden="1" customWidth="1"/>
    <col min="7181" max="7181" width="8.7109375" style="199" customWidth="1"/>
    <col min="7182" max="7187" width="8.7109375" style="199" bestFit="1" customWidth="1"/>
    <col min="7188" max="7424" width="11.42578125" style="199"/>
    <col min="7425" max="7425" width="7.28515625" style="199" customWidth="1"/>
    <col min="7426" max="7426" width="4.7109375" style="199" bestFit="1" customWidth="1"/>
    <col min="7427" max="7427" width="11.42578125" style="199"/>
    <col min="7428" max="7429" width="5.140625" style="199" bestFit="1" customWidth="1"/>
    <col min="7430" max="7430" width="2.7109375" style="199" customWidth="1"/>
    <col min="7431" max="7431" width="29.42578125" style="199" customWidth="1"/>
    <col min="7432" max="7436" width="0" style="199" hidden="1" customWidth="1"/>
    <col min="7437" max="7437" width="8.7109375" style="199" customWidth="1"/>
    <col min="7438" max="7443" width="8.7109375" style="199" bestFit="1" customWidth="1"/>
    <col min="7444" max="7680" width="11.42578125" style="199"/>
    <col min="7681" max="7681" width="7.28515625" style="199" customWidth="1"/>
    <col min="7682" max="7682" width="4.7109375" style="199" bestFit="1" customWidth="1"/>
    <col min="7683" max="7683" width="11.42578125" style="199"/>
    <col min="7684" max="7685" width="5.140625" style="199" bestFit="1" customWidth="1"/>
    <col min="7686" max="7686" width="2.7109375" style="199" customWidth="1"/>
    <col min="7687" max="7687" width="29.42578125" style="199" customWidth="1"/>
    <col min="7688" max="7692" width="0" style="199" hidden="1" customWidth="1"/>
    <col min="7693" max="7693" width="8.7109375" style="199" customWidth="1"/>
    <col min="7694" max="7699" width="8.7109375" style="199" bestFit="1" customWidth="1"/>
    <col min="7700" max="7936" width="11.42578125" style="199"/>
    <col min="7937" max="7937" width="7.28515625" style="199" customWidth="1"/>
    <col min="7938" max="7938" width="4.7109375" style="199" bestFit="1" customWidth="1"/>
    <col min="7939" max="7939" width="11.42578125" style="199"/>
    <col min="7940" max="7941" width="5.140625" style="199" bestFit="1" customWidth="1"/>
    <col min="7942" max="7942" width="2.7109375" style="199" customWidth="1"/>
    <col min="7943" max="7943" width="29.42578125" style="199" customWidth="1"/>
    <col min="7944" max="7948" width="0" style="199" hidden="1" customWidth="1"/>
    <col min="7949" max="7949" width="8.7109375" style="199" customWidth="1"/>
    <col min="7950" max="7955" width="8.7109375" style="199" bestFit="1" customWidth="1"/>
    <col min="7956" max="8192" width="11.42578125" style="199"/>
    <col min="8193" max="8193" width="7.28515625" style="199" customWidth="1"/>
    <col min="8194" max="8194" width="4.7109375" style="199" bestFit="1" customWidth="1"/>
    <col min="8195" max="8195" width="11.42578125" style="199"/>
    <col min="8196" max="8197" width="5.140625" style="199" bestFit="1" customWidth="1"/>
    <col min="8198" max="8198" width="2.7109375" style="199" customWidth="1"/>
    <col min="8199" max="8199" width="29.42578125" style="199" customWidth="1"/>
    <col min="8200" max="8204" width="0" style="199" hidden="1" customWidth="1"/>
    <col min="8205" max="8205" width="8.7109375" style="199" customWidth="1"/>
    <col min="8206" max="8211" width="8.7109375" style="199" bestFit="1" customWidth="1"/>
    <col min="8212" max="8448" width="11.42578125" style="199"/>
    <col min="8449" max="8449" width="7.28515625" style="199" customWidth="1"/>
    <col min="8450" max="8450" width="4.7109375" style="199" bestFit="1" customWidth="1"/>
    <col min="8451" max="8451" width="11.42578125" style="199"/>
    <col min="8452" max="8453" width="5.140625" style="199" bestFit="1" customWidth="1"/>
    <col min="8454" max="8454" width="2.7109375" style="199" customWidth="1"/>
    <col min="8455" max="8455" width="29.42578125" style="199" customWidth="1"/>
    <col min="8456" max="8460" width="0" style="199" hidden="1" customWidth="1"/>
    <col min="8461" max="8461" width="8.7109375" style="199" customWidth="1"/>
    <col min="8462" max="8467" width="8.7109375" style="199" bestFit="1" customWidth="1"/>
    <col min="8468" max="8704" width="11.42578125" style="199"/>
    <col min="8705" max="8705" width="7.28515625" style="199" customWidth="1"/>
    <col min="8706" max="8706" width="4.7109375" style="199" bestFit="1" customWidth="1"/>
    <col min="8707" max="8707" width="11.42578125" style="199"/>
    <col min="8708" max="8709" width="5.140625" style="199" bestFit="1" customWidth="1"/>
    <col min="8710" max="8710" width="2.7109375" style="199" customWidth="1"/>
    <col min="8711" max="8711" width="29.42578125" style="199" customWidth="1"/>
    <col min="8712" max="8716" width="0" style="199" hidden="1" customWidth="1"/>
    <col min="8717" max="8717" width="8.7109375" style="199" customWidth="1"/>
    <col min="8718" max="8723" width="8.7109375" style="199" bestFit="1" customWidth="1"/>
    <col min="8724" max="8960" width="11.42578125" style="199"/>
    <col min="8961" max="8961" width="7.28515625" style="199" customWidth="1"/>
    <col min="8962" max="8962" width="4.7109375" style="199" bestFit="1" customWidth="1"/>
    <col min="8963" max="8963" width="11.42578125" style="199"/>
    <col min="8964" max="8965" width="5.140625" style="199" bestFit="1" customWidth="1"/>
    <col min="8966" max="8966" width="2.7109375" style="199" customWidth="1"/>
    <col min="8967" max="8967" width="29.42578125" style="199" customWidth="1"/>
    <col min="8968" max="8972" width="0" style="199" hidden="1" customWidth="1"/>
    <col min="8973" max="8973" width="8.7109375" style="199" customWidth="1"/>
    <col min="8974" max="8979" width="8.7109375" style="199" bestFit="1" customWidth="1"/>
    <col min="8980" max="9216" width="11.42578125" style="199"/>
    <col min="9217" max="9217" width="7.28515625" style="199" customWidth="1"/>
    <col min="9218" max="9218" width="4.7109375" style="199" bestFit="1" customWidth="1"/>
    <col min="9219" max="9219" width="11.42578125" style="199"/>
    <col min="9220" max="9221" width="5.140625" style="199" bestFit="1" customWidth="1"/>
    <col min="9222" max="9222" width="2.7109375" style="199" customWidth="1"/>
    <col min="9223" max="9223" width="29.42578125" style="199" customWidth="1"/>
    <col min="9224" max="9228" width="0" style="199" hidden="1" customWidth="1"/>
    <col min="9229" max="9229" width="8.7109375" style="199" customWidth="1"/>
    <col min="9230" max="9235" width="8.7109375" style="199" bestFit="1" customWidth="1"/>
    <col min="9236" max="9472" width="11.42578125" style="199"/>
    <col min="9473" max="9473" width="7.28515625" style="199" customWidth="1"/>
    <col min="9474" max="9474" width="4.7109375" style="199" bestFit="1" customWidth="1"/>
    <col min="9475" max="9475" width="11.42578125" style="199"/>
    <col min="9476" max="9477" width="5.140625" style="199" bestFit="1" customWidth="1"/>
    <col min="9478" max="9478" width="2.7109375" style="199" customWidth="1"/>
    <col min="9479" max="9479" width="29.42578125" style="199" customWidth="1"/>
    <col min="9480" max="9484" width="0" style="199" hidden="1" customWidth="1"/>
    <col min="9485" max="9485" width="8.7109375" style="199" customWidth="1"/>
    <col min="9486" max="9491" width="8.7109375" style="199" bestFit="1" customWidth="1"/>
    <col min="9492" max="9728" width="11.42578125" style="199"/>
    <col min="9729" max="9729" width="7.28515625" style="199" customWidth="1"/>
    <col min="9730" max="9730" width="4.7109375" style="199" bestFit="1" customWidth="1"/>
    <col min="9731" max="9731" width="11.42578125" style="199"/>
    <col min="9732" max="9733" width="5.140625" style="199" bestFit="1" customWidth="1"/>
    <col min="9734" max="9734" width="2.7109375" style="199" customWidth="1"/>
    <col min="9735" max="9735" width="29.42578125" style="199" customWidth="1"/>
    <col min="9736" max="9740" width="0" style="199" hidden="1" customWidth="1"/>
    <col min="9741" max="9741" width="8.7109375" style="199" customWidth="1"/>
    <col min="9742" max="9747" width="8.7109375" style="199" bestFit="1" customWidth="1"/>
    <col min="9748" max="9984" width="11.42578125" style="199"/>
    <col min="9985" max="9985" width="7.28515625" style="199" customWidth="1"/>
    <col min="9986" max="9986" width="4.7109375" style="199" bestFit="1" customWidth="1"/>
    <col min="9987" max="9987" width="11.42578125" style="199"/>
    <col min="9988" max="9989" width="5.140625" style="199" bestFit="1" customWidth="1"/>
    <col min="9990" max="9990" width="2.7109375" style="199" customWidth="1"/>
    <col min="9991" max="9991" width="29.42578125" style="199" customWidth="1"/>
    <col min="9992" max="9996" width="0" style="199" hidden="1" customWidth="1"/>
    <col min="9997" max="9997" width="8.7109375" style="199" customWidth="1"/>
    <col min="9998" max="10003" width="8.7109375" style="199" bestFit="1" customWidth="1"/>
    <col min="10004" max="10240" width="11.42578125" style="199"/>
    <col min="10241" max="10241" width="7.28515625" style="199" customWidth="1"/>
    <col min="10242" max="10242" width="4.7109375" style="199" bestFit="1" customWidth="1"/>
    <col min="10243" max="10243" width="11.42578125" style="199"/>
    <col min="10244" max="10245" width="5.140625" style="199" bestFit="1" customWidth="1"/>
    <col min="10246" max="10246" width="2.7109375" style="199" customWidth="1"/>
    <col min="10247" max="10247" width="29.42578125" style="199" customWidth="1"/>
    <col min="10248" max="10252" width="0" style="199" hidden="1" customWidth="1"/>
    <col min="10253" max="10253" width="8.7109375" style="199" customWidth="1"/>
    <col min="10254" max="10259" width="8.7109375" style="199" bestFit="1" customWidth="1"/>
    <col min="10260" max="10496" width="11.42578125" style="199"/>
    <col min="10497" max="10497" width="7.28515625" style="199" customWidth="1"/>
    <col min="10498" max="10498" width="4.7109375" style="199" bestFit="1" customWidth="1"/>
    <col min="10499" max="10499" width="11.42578125" style="199"/>
    <col min="10500" max="10501" width="5.140625" style="199" bestFit="1" customWidth="1"/>
    <col min="10502" max="10502" width="2.7109375" style="199" customWidth="1"/>
    <col min="10503" max="10503" width="29.42578125" style="199" customWidth="1"/>
    <col min="10504" max="10508" width="0" style="199" hidden="1" customWidth="1"/>
    <col min="10509" max="10509" width="8.7109375" style="199" customWidth="1"/>
    <col min="10510" max="10515" width="8.7109375" style="199" bestFit="1" customWidth="1"/>
    <col min="10516" max="10752" width="11.42578125" style="199"/>
    <col min="10753" max="10753" width="7.28515625" style="199" customWidth="1"/>
    <col min="10754" max="10754" width="4.7109375" style="199" bestFit="1" customWidth="1"/>
    <col min="10755" max="10755" width="11.42578125" style="199"/>
    <col min="10756" max="10757" width="5.140625" style="199" bestFit="1" customWidth="1"/>
    <col min="10758" max="10758" width="2.7109375" style="199" customWidth="1"/>
    <col min="10759" max="10759" width="29.42578125" style="199" customWidth="1"/>
    <col min="10760" max="10764" width="0" style="199" hidden="1" customWidth="1"/>
    <col min="10765" max="10765" width="8.7109375" style="199" customWidth="1"/>
    <col min="10766" max="10771" width="8.7109375" style="199" bestFit="1" customWidth="1"/>
    <col min="10772" max="11008" width="11.42578125" style="199"/>
    <col min="11009" max="11009" width="7.28515625" style="199" customWidth="1"/>
    <col min="11010" max="11010" width="4.7109375" style="199" bestFit="1" customWidth="1"/>
    <col min="11011" max="11011" width="11.42578125" style="199"/>
    <col min="11012" max="11013" width="5.140625" style="199" bestFit="1" customWidth="1"/>
    <col min="11014" max="11014" width="2.7109375" style="199" customWidth="1"/>
    <col min="11015" max="11015" width="29.42578125" style="199" customWidth="1"/>
    <col min="11016" max="11020" width="0" style="199" hidden="1" customWidth="1"/>
    <col min="11021" max="11021" width="8.7109375" style="199" customWidth="1"/>
    <col min="11022" max="11027" width="8.7109375" style="199" bestFit="1" customWidth="1"/>
    <col min="11028" max="11264" width="11.42578125" style="199"/>
    <col min="11265" max="11265" width="7.28515625" style="199" customWidth="1"/>
    <col min="11266" max="11266" width="4.7109375" style="199" bestFit="1" customWidth="1"/>
    <col min="11267" max="11267" width="11.42578125" style="199"/>
    <col min="11268" max="11269" width="5.140625" style="199" bestFit="1" customWidth="1"/>
    <col min="11270" max="11270" width="2.7109375" style="199" customWidth="1"/>
    <col min="11271" max="11271" width="29.42578125" style="199" customWidth="1"/>
    <col min="11272" max="11276" width="0" style="199" hidden="1" customWidth="1"/>
    <col min="11277" max="11277" width="8.7109375" style="199" customWidth="1"/>
    <col min="11278" max="11283" width="8.7109375" style="199" bestFit="1" customWidth="1"/>
    <col min="11284" max="11520" width="11.42578125" style="199"/>
    <col min="11521" max="11521" width="7.28515625" style="199" customWidth="1"/>
    <col min="11522" max="11522" width="4.7109375" style="199" bestFit="1" customWidth="1"/>
    <col min="11523" max="11523" width="11.42578125" style="199"/>
    <col min="11524" max="11525" width="5.140625" style="199" bestFit="1" customWidth="1"/>
    <col min="11526" max="11526" width="2.7109375" style="199" customWidth="1"/>
    <col min="11527" max="11527" width="29.42578125" style="199" customWidth="1"/>
    <col min="11528" max="11532" width="0" style="199" hidden="1" customWidth="1"/>
    <col min="11533" max="11533" width="8.7109375" style="199" customWidth="1"/>
    <col min="11534" max="11539" width="8.7109375" style="199" bestFit="1" customWidth="1"/>
    <col min="11540" max="11776" width="11.42578125" style="199"/>
    <col min="11777" max="11777" width="7.28515625" style="199" customWidth="1"/>
    <col min="11778" max="11778" width="4.7109375" style="199" bestFit="1" customWidth="1"/>
    <col min="11779" max="11779" width="11.42578125" style="199"/>
    <col min="11780" max="11781" width="5.140625" style="199" bestFit="1" customWidth="1"/>
    <col min="11782" max="11782" width="2.7109375" style="199" customWidth="1"/>
    <col min="11783" max="11783" width="29.42578125" style="199" customWidth="1"/>
    <col min="11784" max="11788" width="0" style="199" hidden="1" customWidth="1"/>
    <col min="11789" max="11789" width="8.7109375" style="199" customWidth="1"/>
    <col min="11790" max="11795" width="8.7109375" style="199" bestFit="1" customWidth="1"/>
    <col min="11796" max="12032" width="11.42578125" style="199"/>
    <col min="12033" max="12033" width="7.28515625" style="199" customWidth="1"/>
    <col min="12034" max="12034" width="4.7109375" style="199" bestFit="1" customWidth="1"/>
    <col min="12035" max="12035" width="11.42578125" style="199"/>
    <col min="12036" max="12037" width="5.140625" style="199" bestFit="1" customWidth="1"/>
    <col min="12038" max="12038" width="2.7109375" style="199" customWidth="1"/>
    <col min="12039" max="12039" width="29.42578125" style="199" customWidth="1"/>
    <col min="12040" max="12044" width="0" style="199" hidden="1" customWidth="1"/>
    <col min="12045" max="12045" width="8.7109375" style="199" customWidth="1"/>
    <col min="12046" max="12051" width="8.7109375" style="199" bestFit="1" customWidth="1"/>
    <col min="12052" max="12288" width="11.42578125" style="199"/>
    <col min="12289" max="12289" width="7.28515625" style="199" customWidth="1"/>
    <col min="12290" max="12290" width="4.7109375" style="199" bestFit="1" customWidth="1"/>
    <col min="12291" max="12291" width="11.42578125" style="199"/>
    <col min="12292" max="12293" width="5.140625" style="199" bestFit="1" customWidth="1"/>
    <col min="12294" max="12294" width="2.7109375" style="199" customWidth="1"/>
    <col min="12295" max="12295" width="29.42578125" style="199" customWidth="1"/>
    <col min="12296" max="12300" width="0" style="199" hidden="1" customWidth="1"/>
    <col min="12301" max="12301" width="8.7109375" style="199" customWidth="1"/>
    <col min="12302" max="12307" width="8.7109375" style="199" bestFit="1" customWidth="1"/>
    <col min="12308" max="12544" width="11.42578125" style="199"/>
    <col min="12545" max="12545" width="7.28515625" style="199" customWidth="1"/>
    <col min="12546" max="12546" width="4.7109375" style="199" bestFit="1" customWidth="1"/>
    <col min="12547" max="12547" width="11.42578125" style="199"/>
    <col min="12548" max="12549" width="5.140625" style="199" bestFit="1" customWidth="1"/>
    <col min="12550" max="12550" width="2.7109375" style="199" customWidth="1"/>
    <col min="12551" max="12551" width="29.42578125" style="199" customWidth="1"/>
    <col min="12552" max="12556" width="0" style="199" hidden="1" customWidth="1"/>
    <col min="12557" max="12557" width="8.7109375" style="199" customWidth="1"/>
    <col min="12558" max="12563" width="8.7109375" style="199" bestFit="1" customWidth="1"/>
    <col min="12564" max="12800" width="11.42578125" style="199"/>
    <col min="12801" max="12801" width="7.28515625" style="199" customWidth="1"/>
    <col min="12802" max="12802" width="4.7109375" style="199" bestFit="1" customWidth="1"/>
    <col min="12803" max="12803" width="11.42578125" style="199"/>
    <col min="12804" max="12805" width="5.140625" style="199" bestFit="1" customWidth="1"/>
    <col min="12806" max="12806" width="2.7109375" style="199" customWidth="1"/>
    <col min="12807" max="12807" width="29.42578125" style="199" customWidth="1"/>
    <col min="12808" max="12812" width="0" style="199" hidden="1" customWidth="1"/>
    <col min="12813" max="12813" width="8.7109375" style="199" customWidth="1"/>
    <col min="12814" max="12819" width="8.7109375" style="199" bestFit="1" customWidth="1"/>
    <col min="12820" max="13056" width="11.42578125" style="199"/>
    <col min="13057" max="13057" width="7.28515625" style="199" customWidth="1"/>
    <col min="13058" max="13058" width="4.7109375" style="199" bestFit="1" customWidth="1"/>
    <col min="13059" max="13059" width="11.42578125" style="199"/>
    <col min="13060" max="13061" width="5.140625" style="199" bestFit="1" customWidth="1"/>
    <col min="13062" max="13062" width="2.7109375" style="199" customWidth="1"/>
    <col min="13063" max="13063" width="29.42578125" style="199" customWidth="1"/>
    <col min="13064" max="13068" width="0" style="199" hidden="1" customWidth="1"/>
    <col min="13069" max="13069" width="8.7109375" style="199" customWidth="1"/>
    <col min="13070" max="13075" width="8.7109375" style="199" bestFit="1" customWidth="1"/>
    <col min="13076" max="13312" width="11.42578125" style="199"/>
    <col min="13313" max="13313" width="7.28515625" style="199" customWidth="1"/>
    <col min="13314" max="13314" width="4.7109375" style="199" bestFit="1" customWidth="1"/>
    <col min="13315" max="13315" width="11.42578125" style="199"/>
    <col min="13316" max="13317" width="5.140625" style="199" bestFit="1" customWidth="1"/>
    <col min="13318" max="13318" width="2.7109375" style="199" customWidth="1"/>
    <col min="13319" max="13319" width="29.42578125" style="199" customWidth="1"/>
    <col min="13320" max="13324" width="0" style="199" hidden="1" customWidth="1"/>
    <col min="13325" max="13325" width="8.7109375" style="199" customWidth="1"/>
    <col min="13326" max="13331" width="8.7109375" style="199" bestFit="1" customWidth="1"/>
    <col min="13332" max="13568" width="11.42578125" style="199"/>
    <col min="13569" max="13569" width="7.28515625" style="199" customWidth="1"/>
    <col min="13570" max="13570" width="4.7109375" style="199" bestFit="1" customWidth="1"/>
    <col min="13571" max="13571" width="11.42578125" style="199"/>
    <col min="13572" max="13573" width="5.140625" style="199" bestFit="1" customWidth="1"/>
    <col min="13574" max="13574" width="2.7109375" style="199" customWidth="1"/>
    <col min="13575" max="13575" width="29.42578125" style="199" customWidth="1"/>
    <col min="13576" max="13580" width="0" style="199" hidden="1" customWidth="1"/>
    <col min="13581" max="13581" width="8.7109375" style="199" customWidth="1"/>
    <col min="13582" max="13587" width="8.7109375" style="199" bestFit="1" customWidth="1"/>
    <col min="13588" max="13824" width="11.42578125" style="199"/>
    <col min="13825" max="13825" width="7.28515625" style="199" customWidth="1"/>
    <col min="13826" max="13826" width="4.7109375" style="199" bestFit="1" customWidth="1"/>
    <col min="13827" max="13827" width="11.42578125" style="199"/>
    <col min="13828" max="13829" width="5.140625" style="199" bestFit="1" customWidth="1"/>
    <col min="13830" max="13830" width="2.7109375" style="199" customWidth="1"/>
    <col min="13831" max="13831" width="29.42578125" style="199" customWidth="1"/>
    <col min="13832" max="13836" width="0" style="199" hidden="1" customWidth="1"/>
    <col min="13837" max="13837" width="8.7109375" style="199" customWidth="1"/>
    <col min="13838" max="13843" width="8.7109375" style="199" bestFit="1" customWidth="1"/>
    <col min="13844" max="14080" width="11.42578125" style="199"/>
    <col min="14081" max="14081" width="7.28515625" style="199" customWidth="1"/>
    <col min="14082" max="14082" width="4.7109375" style="199" bestFit="1" customWidth="1"/>
    <col min="14083" max="14083" width="11.42578125" style="199"/>
    <col min="14084" max="14085" width="5.140625" style="199" bestFit="1" customWidth="1"/>
    <col min="14086" max="14086" width="2.7109375" style="199" customWidth="1"/>
    <col min="14087" max="14087" width="29.42578125" style="199" customWidth="1"/>
    <col min="14088" max="14092" width="0" style="199" hidden="1" customWidth="1"/>
    <col min="14093" max="14093" width="8.7109375" style="199" customWidth="1"/>
    <col min="14094" max="14099" width="8.7109375" style="199" bestFit="1" customWidth="1"/>
    <col min="14100" max="14336" width="11.42578125" style="199"/>
    <col min="14337" max="14337" width="7.28515625" style="199" customWidth="1"/>
    <col min="14338" max="14338" width="4.7109375" style="199" bestFit="1" customWidth="1"/>
    <col min="14339" max="14339" width="11.42578125" style="199"/>
    <col min="14340" max="14341" width="5.140625" style="199" bestFit="1" customWidth="1"/>
    <col min="14342" max="14342" width="2.7109375" style="199" customWidth="1"/>
    <col min="14343" max="14343" width="29.42578125" style="199" customWidth="1"/>
    <col min="14344" max="14348" width="0" style="199" hidden="1" customWidth="1"/>
    <col min="14349" max="14349" width="8.7109375" style="199" customWidth="1"/>
    <col min="14350" max="14355" width="8.7109375" style="199" bestFit="1" customWidth="1"/>
    <col min="14356" max="14592" width="11.42578125" style="199"/>
    <col min="14593" max="14593" width="7.28515625" style="199" customWidth="1"/>
    <col min="14594" max="14594" width="4.7109375" style="199" bestFit="1" customWidth="1"/>
    <col min="14595" max="14595" width="11.42578125" style="199"/>
    <col min="14596" max="14597" width="5.140625" style="199" bestFit="1" customWidth="1"/>
    <col min="14598" max="14598" width="2.7109375" style="199" customWidth="1"/>
    <col min="14599" max="14599" width="29.42578125" style="199" customWidth="1"/>
    <col min="14600" max="14604" width="0" style="199" hidden="1" customWidth="1"/>
    <col min="14605" max="14605" width="8.7109375" style="199" customWidth="1"/>
    <col min="14606" max="14611" width="8.7109375" style="199" bestFit="1" customWidth="1"/>
    <col min="14612" max="14848" width="11.42578125" style="199"/>
    <col min="14849" max="14849" width="7.28515625" style="199" customWidth="1"/>
    <col min="14850" max="14850" width="4.7109375" style="199" bestFit="1" customWidth="1"/>
    <col min="14851" max="14851" width="11.42578125" style="199"/>
    <col min="14852" max="14853" width="5.140625" style="199" bestFit="1" customWidth="1"/>
    <col min="14854" max="14854" width="2.7109375" style="199" customWidth="1"/>
    <col min="14855" max="14855" width="29.42578125" style="199" customWidth="1"/>
    <col min="14856" max="14860" width="0" style="199" hidden="1" customWidth="1"/>
    <col min="14861" max="14861" width="8.7109375" style="199" customWidth="1"/>
    <col min="14862" max="14867" width="8.7109375" style="199" bestFit="1" customWidth="1"/>
    <col min="14868" max="15104" width="11.42578125" style="199"/>
    <col min="15105" max="15105" width="7.28515625" style="199" customWidth="1"/>
    <col min="15106" max="15106" width="4.7109375" style="199" bestFit="1" customWidth="1"/>
    <col min="15107" max="15107" width="11.42578125" style="199"/>
    <col min="15108" max="15109" width="5.140625" style="199" bestFit="1" customWidth="1"/>
    <col min="15110" max="15110" width="2.7109375" style="199" customWidth="1"/>
    <col min="15111" max="15111" width="29.42578125" style="199" customWidth="1"/>
    <col min="15112" max="15116" width="0" style="199" hidden="1" customWidth="1"/>
    <col min="15117" max="15117" width="8.7109375" style="199" customWidth="1"/>
    <col min="15118" max="15123" width="8.7109375" style="199" bestFit="1" customWidth="1"/>
    <col min="15124" max="15360" width="11.42578125" style="199"/>
    <col min="15361" max="15361" width="7.28515625" style="199" customWidth="1"/>
    <col min="15362" max="15362" width="4.7109375" style="199" bestFit="1" customWidth="1"/>
    <col min="15363" max="15363" width="11.42578125" style="199"/>
    <col min="15364" max="15365" width="5.140625" style="199" bestFit="1" customWidth="1"/>
    <col min="15366" max="15366" width="2.7109375" style="199" customWidth="1"/>
    <col min="15367" max="15367" width="29.42578125" style="199" customWidth="1"/>
    <col min="15368" max="15372" width="0" style="199" hidden="1" customWidth="1"/>
    <col min="15373" max="15373" width="8.7109375" style="199" customWidth="1"/>
    <col min="15374" max="15379" width="8.7109375" style="199" bestFit="1" customWidth="1"/>
    <col min="15380" max="15616" width="11.42578125" style="199"/>
    <col min="15617" max="15617" width="7.28515625" style="199" customWidth="1"/>
    <col min="15618" max="15618" width="4.7109375" style="199" bestFit="1" customWidth="1"/>
    <col min="15619" max="15619" width="11.42578125" style="199"/>
    <col min="15620" max="15621" width="5.140625" style="199" bestFit="1" customWidth="1"/>
    <col min="15622" max="15622" width="2.7109375" style="199" customWidth="1"/>
    <col min="15623" max="15623" width="29.42578125" style="199" customWidth="1"/>
    <col min="15624" max="15628" width="0" style="199" hidden="1" customWidth="1"/>
    <col min="15629" max="15629" width="8.7109375" style="199" customWidth="1"/>
    <col min="15630" max="15635" width="8.7109375" style="199" bestFit="1" customWidth="1"/>
    <col min="15636" max="15872" width="11.42578125" style="199"/>
    <col min="15873" max="15873" width="7.28515625" style="199" customWidth="1"/>
    <col min="15874" max="15874" width="4.7109375" style="199" bestFit="1" customWidth="1"/>
    <col min="15875" max="15875" width="11.42578125" style="199"/>
    <col min="15876" max="15877" width="5.140625" style="199" bestFit="1" customWidth="1"/>
    <col min="15878" max="15878" width="2.7109375" style="199" customWidth="1"/>
    <col min="15879" max="15879" width="29.42578125" style="199" customWidth="1"/>
    <col min="15880" max="15884" width="0" style="199" hidden="1" customWidth="1"/>
    <col min="15885" max="15885" width="8.7109375" style="199" customWidth="1"/>
    <col min="15886" max="15891" width="8.7109375" style="199" bestFit="1" customWidth="1"/>
    <col min="15892" max="16128" width="11.42578125" style="199"/>
    <col min="16129" max="16129" width="7.28515625" style="199" customWidth="1"/>
    <col min="16130" max="16130" width="4.7109375" style="199" bestFit="1" customWidth="1"/>
    <col min="16131" max="16131" width="11.42578125" style="199"/>
    <col min="16132" max="16133" width="5.140625" style="199" bestFit="1" customWidth="1"/>
    <col min="16134" max="16134" width="2.7109375" style="199" customWidth="1"/>
    <col min="16135" max="16135" width="29.42578125" style="199" customWidth="1"/>
    <col min="16136" max="16140" width="0" style="199" hidden="1" customWidth="1"/>
    <col min="16141" max="16141" width="8.7109375" style="199" customWidth="1"/>
    <col min="16142" max="16147" width="8.7109375" style="199" bestFit="1" customWidth="1"/>
    <col min="16148" max="16384" width="11.42578125" style="199"/>
  </cols>
  <sheetData>
    <row r="1" spans="1:19" x14ac:dyDescent="0.2">
      <c r="A1" s="195"/>
      <c r="B1" s="196"/>
      <c r="C1" s="197"/>
      <c r="D1" s="197"/>
      <c r="E1" s="195"/>
      <c r="F1" s="195"/>
      <c r="G1" s="198"/>
      <c r="H1" s="198"/>
      <c r="I1" s="198"/>
      <c r="J1" s="198"/>
      <c r="K1" s="198"/>
      <c r="L1" s="198"/>
      <c r="M1" s="198"/>
      <c r="N1" s="198"/>
      <c r="O1" s="198"/>
      <c r="P1" s="198"/>
      <c r="Q1" s="198"/>
      <c r="R1" s="198"/>
    </row>
    <row r="2" spans="1:19" x14ac:dyDescent="0.2">
      <c r="A2" s="197" t="s">
        <v>0</v>
      </c>
      <c r="B2" s="200" t="s">
        <v>1</v>
      </c>
      <c r="C2" s="197" t="s">
        <v>2</v>
      </c>
      <c r="D2" s="197"/>
      <c r="E2" s="195" t="s">
        <v>3</v>
      </c>
      <c r="F2" s="195"/>
      <c r="G2" s="201" t="s">
        <v>472</v>
      </c>
      <c r="H2" s="202"/>
      <c r="I2" s="203"/>
      <c r="J2" s="203"/>
      <c r="K2" s="757" t="s">
        <v>473</v>
      </c>
      <c r="L2" s="758"/>
      <c r="M2" s="759" t="s">
        <v>474</v>
      </c>
      <c r="N2" s="760"/>
      <c r="O2" s="760"/>
      <c r="P2" s="760"/>
      <c r="Q2" s="760"/>
      <c r="R2" s="761"/>
    </row>
    <row r="3" spans="1:19" x14ac:dyDescent="0.2">
      <c r="A3" s="195"/>
      <c r="B3" s="204"/>
      <c r="C3" s="197"/>
      <c r="D3" s="197"/>
      <c r="E3" s="195"/>
      <c r="F3" s="195"/>
      <c r="G3" s="205" t="s">
        <v>4</v>
      </c>
      <c r="H3" s="206">
        <v>40908</v>
      </c>
      <c r="I3" s="206">
        <v>41274</v>
      </c>
      <c r="J3" s="206">
        <v>41639</v>
      </c>
      <c r="K3" s="207">
        <v>42004</v>
      </c>
      <c r="L3" s="208">
        <v>42369</v>
      </c>
      <c r="M3" s="208">
        <v>42735</v>
      </c>
      <c r="N3" s="208">
        <v>43100</v>
      </c>
      <c r="O3" s="208">
        <v>43465</v>
      </c>
      <c r="P3" s="208">
        <v>43830</v>
      </c>
      <c r="Q3" s="208">
        <v>44196</v>
      </c>
      <c r="R3" s="208">
        <v>44561</v>
      </c>
      <c r="S3" s="208">
        <v>44926</v>
      </c>
    </row>
    <row r="4" spans="1:19" x14ac:dyDescent="0.2">
      <c r="A4" s="209"/>
      <c r="B4" s="196" t="s">
        <v>5</v>
      </c>
      <c r="C4" s="197">
        <v>1</v>
      </c>
      <c r="D4" s="197"/>
      <c r="E4" s="200"/>
      <c r="F4" s="209"/>
      <c r="G4" s="210" t="s">
        <v>6</v>
      </c>
      <c r="H4" s="211">
        <f t="shared" ref="H4:S4" si="0">H5+H10</f>
        <v>0</v>
      </c>
      <c r="I4" s="211">
        <f t="shared" si="0"/>
        <v>0</v>
      </c>
      <c r="J4" s="211">
        <f t="shared" si="0"/>
        <v>0</v>
      </c>
      <c r="K4" s="212">
        <f t="shared" si="0"/>
        <v>72.506</v>
      </c>
      <c r="L4" s="212">
        <f t="shared" si="0"/>
        <v>192.00199999999998</v>
      </c>
      <c r="M4" s="212">
        <f t="shared" si="0"/>
        <v>291.976</v>
      </c>
      <c r="N4" s="212">
        <f t="shared" si="0"/>
        <v>319.30799999999999</v>
      </c>
      <c r="O4" s="212">
        <f t="shared" si="0"/>
        <v>366.95300000000003</v>
      </c>
      <c r="P4" s="212">
        <f t="shared" si="0"/>
        <v>372.95299999999997</v>
      </c>
      <c r="Q4" s="212">
        <f t="shared" si="0"/>
        <v>380.95299999999997</v>
      </c>
      <c r="R4" s="212">
        <f t="shared" si="0"/>
        <v>390.95299999999997</v>
      </c>
      <c r="S4" s="212">
        <f t="shared" si="0"/>
        <v>400.95299999999997</v>
      </c>
    </row>
    <row r="5" spans="1:19" x14ac:dyDescent="0.2">
      <c r="A5" s="213"/>
      <c r="B5" s="196" t="s">
        <v>7</v>
      </c>
      <c r="C5" s="197">
        <v>10</v>
      </c>
      <c r="D5" s="197"/>
      <c r="E5" s="214"/>
      <c r="G5" s="215" t="s">
        <v>8</v>
      </c>
      <c r="H5" s="211">
        <f t="shared" ref="H5:R5" si="1">SUM(H6:H9)</f>
        <v>0</v>
      </c>
      <c r="I5" s="211">
        <f t="shared" si="1"/>
        <v>0</v>
      </c>
      <c r="J5" s="211">
        <f t="shared" si="1"/>
        <v>0</v>
      </c>
      <c r="K5" s="212">
        <f t="shared" si="1"/>
        <v>57.292999999999999</v>
      </c>
      <c r="L5" s="212">
        <f t="shared" si="1"/>
        <v>178.30699999999999</v>
      </c>
      <c r="M5" s="212">
        <f t="shared" si="1"/>
        <v>279.435</v>
      </c>
      <c r="N5" s="212">
        <f t="shared" si="1"/>
        <v>307.84199999999998</v>
      </c>
      <c r="O5" s="212">
        <f t="shared" si="1"/>
        <v>356.56200000000001</v>
      </c>
      <c r="P5" s="212">
        <f t="shared" si="1"/>
        <v>363.637</v>
      </c>
      <c r="Q5" s="212">
        <f t="shared" si="1"/>
        <v>372.71199999999999</v>
      </c>
      <c r="R5" s="212">
        <f t="shared" si="1"/>
        <v>383.78699999999998</v>
      </c>
      <c r="S5" s="212">
        <f>SUM(S6:S9)</f>
        <v>394.86199999999997</v>
      </c>
    </row>
    <row r="6" spans="1:19" ht="12" x14ac:dyDescent="0.2">
      <c r="A6" s="213"/>
      <c r="B6" s="196" t="s">
        <v>9</v>
      </c>
      <c r="C6" s="216" t="s">
        <v>10</v>
      </c>
      <c r="D6" s="216"/>
      <c r="E6" s="217" t="s">
        <v>11</v>
      </c>
      <c r="G6" s="215" t="s">
        <v>12</v>
      </c>
      <c r="H6" s="211">
        <v>0</v>
      </c>
      <c r="I6" s="211">
        <v>0</v>
      </c>
      <c r="J6" s="211">
        <v>0</v>
      </c>
      <c r="K6" s="218">
        <v>0</v>
      </c>
      <c r="L6" s="218">
        <v>167.76</v>
      </c>
      <c r="M6" s="218">
        <v>206.21299999999999</v>
      </c>
      <c r="N6" s="219">
        <v>258.24299999999999</v>
      </c>
      <c r="O6" s="219">
        <f>N6+O30-O45</f>
        <v>307.452</v>
      </c>
      <c r="P6" s="219">
        <f>O6+P30-P45</f>
        <v>314.52699999999999</v>
      </c>
      <c r="Q6" s="219">
        <f>P6+Q30-Q45</f>
        <v>324.60199999999998</v>
      </c>
      <c r="R6" s="219">
        <f>Q6+R30-R45</f>
        <v>335.67699999999996</v>
      </c>
      <c r="S6" s="219">
        <f>R6+S30-S45</f>
        <v>346.75199999999995</v>
      </c>
    </row>
    <row r="7" spans="1:19" ht="12" x14ac:dyDescent="0.2">
      <c r="A7" s="213"/>
      <c r="B7" s="196" t="s">
        <v>13</v>
      </c>
      <c r="C7" s="216" t="s">
        <v>14</v>
      </c>
      <c r="D7" s="216"/>
      <c r="E7" s="217" t="s">
        <v>11</v>
      </c>
      <c r="G7" s="215" t="s">
        <v>15</v>
      </c>
      <c r="H7" s="211">
        <v>0</v>
      </c>
      <c r="I7" s="211">
        <v>0</v>
      </c>
      <c r="J7" s="211">
        <v>0</v>
      </c>
      <c r="K7" s="218">
        <v>51.058</v>
      </c>
      <c r="L7" s="218">
        <v>5.4359999999999999</v>
      </c>
      <c r="M7" s="218">
        <v>68.64</v>
      </c>
      <c r="N7" s="219">
        <v>45.11</v>
      </c>
      <c r="O7" s="219">
        <f>N7</f>
        <v>45.11</v>
      </c>
      <c r="P7" s="219">
        <f>O7</f>
        <v>45.11</v>
      </c>
      <c r="Q7" s="219">
        <f>P7</f>
        <v>45.11</v>
      </c>
      <c r="R7" s="219">
        <f>Q7</f>
        <v>45.11</v>
      </c>
      <c r="S7" s="219">
        <f>R7</f>
        <v>45.11</v>
      </c>
    </row>
    <row r="8" spans="1:19" ht="12" x14ac:dyDescent="0.2">
      <c r="A8" s="213"/>
      <c r="B8" s="196" t="s">
        <v>16</v>
      </c>
      <c r="C8" s="216" t="s">
        <v>17</v>
      </c>
      <c r="D8" s="216"/>
      <c r="E8" s="217" t="s">
        <v>11</v>
      </c>
      <c r="G8" s="215" t="s">
        <v>18</v>
      </c>
      <c r="H8" s="211">
        <v>0</v>
      </c>
      <c r="I8" s="211">
        <v>0</v>
      </c>
      <c r="J8" s="211">
        <v>0</v>
      </c>
      <c r="K8" s="218">
        <v>0</v>
      </c>
      <c r="L8" s="218">
        <v>0</v>
      </c>
      <c r="M8" s="218">
        <v>0</v>
      </c>
      <c r="N8" s="219">
        <v>0</v>
      </c>
      <c r="O8" s="219">
        <v>0</v>
      </c>
      <c r="P8" s="219">
        <v>0</v>
      </c>
      <c r="Q8" s="219">
        <v>0</v>
      </c>
      <c r="R8" s="219">
        <v>0</v>
      </c>
      <c r="S8" s="218">
        <v>0</v>
      </c>
    </row>
    <row r="9" spans="1:19" x14ac:dyDescent="0.2">
      <c r="A9" s="213"/>
      <c r="B9" s="196" t="s">
        <v>19</v>
      </c>
      <c r="C9" s="216">
        <v>108</v>
      </c>
      <c r="D9" s="216"/>
      <c r="E9" s="220"/>
      <c r="G9" s="215" t="s">
        <v>20</v>
      </c>
      <c r="H9" s="211">
        <v>0</v>
      </c>
      <c r="I9" s="211">
        <v>0</v>
      </c>
      <c r="J9" s="211">
        <v>0</v>
      </c>
      <c r="K9" s="218">
        <v>6.2350000000000003</v>
      </c>
      <c r="L9" s="218">
        <v>5.1109999999999998</v>
      </c>
      <c r="M9" s="218">
        <v>4.5819999999999999</v>
      </c>
      <c r="N9" s="219">
        <v>4.4889999999999999</v>
      </c>
      <c r="O9" s="219">
        <v>4</v>
      </c>
      <c r="P9" s="219">
        <v>4</v>
      </c>
      <c r="Q9" s="219">
        <v>3</v>
      </c>
      <c r="R9" s="219">
        <v>3</v>
      </c>
      <c r="S9" s="218">
        <v>3</v>
      </c>
    </row>
    <row r="10" spans="1:19" x14ac:dyDescent="0.2">
      <c r="A10" s="221"/>
      <c r="B10" s="196" t="s">
        <v>21</v>
      </c>
      <c r="C10" s="222">
        <v>15</v>
      </c>
      <c r="D10" s="222"/>
      <c r="E10" s="220"/>
      <c r="F10" s="221"/>
      <c r="G10" s="215" t="s">
        <v>22</v>
      </c>
      <c r="H10" s="211">
        <f t="shared" ref="H10:S10" si="2">SUM(H11:H16)</f>
        <v>0</v>
      </c>
      <c r="I10" s="211">
        <f t="shared" si="2"/>
        <v>0</v>
      </c>
      <c r="J10" s="211">
        <f t="shared" si="2"/>
        <v>0</v>
      </c>
      <c r="K10" s="212">
        <f t="shared" si="2"/>
        <v>15.212999999999999</v>
      </c>
      <c r="L10" s="212">
        <f t="shared" si="2"/>
        <v>13.695</v>
      </c>
      <c r="M10" s="212">
        <f t="shared" si="2"/>
        <v>12.541</v>
      </c>
      <c r="N10" s="223">
        <f t="shared" si="2"/>
        <v>11.465999999999999</v>
      </c>
      <c r="O10" s="223">
        <f t="shared" si="2"/>
        <v>10.391</v>
      </c>
      <c r="P10" s="223">
        <f t="shared" si="2"/>
        <v>9.3160000000000007</v>
      </c>
      <c r="Q10" s="223">
        <f t="shared" si="2"/>
        <v>8.2410000000000014</v>
      </c>
      <c r="R10" s="223">
        <f t="shared" si="2"/>
        <v>7.1660000000000013</v>
      </c>
      <c r="S10" s="212">
        <f t="shared" si="2"/>
        <v>6.0910000000000011</v>
      </c>
    </row>
    <row r="11" spans="1:19" ht="12" x14ac:dyDescent="0.2">
      <c r="A11" s="221"/>
      <c r="B11" s="196" t="s">
        <v>23</v>
      </c>
      <c r="C11" s="222">
        <v>150</v>
      </c>
      <c r="D11" s="222"/>
      <c r="E11" s="217" t="s">
        <v>11</v>
      </c>
      <c r="F11" s="221"/>
      <c r="G11" s="215" t="s">
        <v>24</v>
      </c>
      <c r="H11" s="211">
        <v>0</v>
      </c>
      <c r="I11" s="211">
        <v>0</v>
      </c>
      <c r="J11" s="211">
        <v>0</v>
      </c>
      <c r="K11" s="218">
        <v>0</v>
      </c>
      <c r="L11" s="218">
        <v>0</v>
      </c>
      <c r="M11" s="218">
        <v>0</v>
      </c>
      <c r="N11" s="219">
        <v>0</v>
      </c>
      <c r="O11" s="219">
        <v>0</v>
      </c>
      <c r="P11" s="219">
        <v>0</v>
      </c>
      <c r="Q11" s="219">
        <v>0</v>
      </c>
      <c r="R11" s="219">
        <v>0</v>
      </c>
      <c r="S11" s="218">
        <v>0</v>
      </c>
    </row>
    <row r="12" spans="1:19" ht="12" x14ac:dyDescent="0.2">
      <c r="A12" s="221"/>
      <c r="B12" s="196" t="s">
        <v>25</v>
      </c>
      <c r="C12" s="222">
        <v>151</v>
      </c>
      <c r="D12" s="222"/>
      <c r="E12" s="217" t="s">
        <v>11</v>
      </c>
      <c r="F12" s="221"/>
      <c r="G12" s="215" t="s">
        <v>26</v>
      </c>
      <c r="H12" s="211">
        <v>0</v>
      </c>
      <c r="I12" s="211">
        <v>0</v>
      </c>
      <c r="J12" s="211">
        <v>0</v>
      </c>
      <c r="K12" s="218">
        <v>0</v>
      </c>
      <c r="L12" s="218">
        <v>0</v>
      </c>
      <c r="M12" s="218">
        <v>0</v>
      </c>
      <c r="N12" s="219">
        <v>0</v>
      </c>
      <c r="O12" s="219">
        <v>0</v>
      </c>
      <c r="P12" s="219">
        <v>0</v>
      </c>
      <c r="Q12" s="219">
        <v>0</v>
      </c>
      <c r="R12" s="219">
        <v>0</v>
      </c>
      <c r="S12" s="218">
        <v>0</v>
      </c>
    </row>
    <row r="13" spans="1:19" ht="12" x14ac:dyDescent="0.2">
      <c r="A13" s="213"/>
      <c r="B13" s="196" t="s">
        <v>27</v>
      </c>
      <c r="C13" s="216" t="s">
        <v>28</v>
      </c>
      <c r="D13" s="216"/>
      <c r="E13" s="217" t="s">
        <v>11</v>
      </c>
      <c r="G13" s="215" t="s">
        <v>29</v>
      </c>
      <c r="H13" s="211">
        <v>0</v>
      </c>
      <c r="I13" s="211">
        <v>0</v>
      </c>
      <c r="J13" s="211">
        <v>0</v>
      </c>
      <c r="K13" s="218">
        <v>0</v>
      </c>
      <c r="L13" s="218">
        <v>0</v>
      </c>
      <c r="M13" s="218">
        <v>0</v>
      </c>
      <c r="N13" s="219">
        <v>0</v>
      </c>
      <c r="O13" s="219">
        <v>0</v>
      </c>
      <c r="P13" s="219">
        <v>0</v>
      </c>
      <c r="Q13" s="219">
        <v>0</v>
      </c>
      <c r="R13" s="219">
        <v>0</v>
      </c>
      <c r="S13" s="218">
        <v>0</v>
      </c>
    </row>
    <row r="14" spans="1:19" ht="12" x14ac:dyDescent="0.2">
      <c r="A14" s="213"/>
      <c r="B14" s="196" t="s">
        <v>30</v>
      </c>
      <c r="C14" s="216">
        <v>154</v>
      </c>
      <c r="D14" s="216"/>
      <c r="E14" s="217" t="s">
        <v>11</v>
      </c>
      <c r="G14" s="215" t="s">
        <v>31</v>
      </c>
      <c r="H14" s="211">
        <v>0</v>
      </c>
      <c r="I14" s="211">
        <v>0</v>
      </c>
      <c r="J14" s="211">
        <v>0</v>
      </c>
      <c r="K14" s="218">
        <v>0</v>
      </c>
      <c r="L14" s="218">
        <v>0</v>
      </c>
      <c r="M14" s="218">
        <v>0</v>
      </c>
      <c r="N14" s="219">
        <v>0</v>
      </c>
      <c r="O14" s="219">
        <v>0</v>
      </c>
      <c r="P14" s="219">
        <v>0</v>
      </c>
      <c r="Q14" s="219">
        <v>0</v>
      </c>
      <c r="R14" s="219">
        <v>0</v>
      </c>
      <c r="S14" s="218">
        <v>0</v>
      </c>
    </row>
    <row r="15" spans="1:19" ht="12" x14ac:dyDescent="0.2">
      <c r="A15" s="213"/>
      <c r="B15" s="196" t="s">
        <v>32</v>
      </c>
      <c r="C15" s="216" t="s">
        <v>33</v>
      </c>
      <c r="D15" s="216"/>
      <c r="E15" s="217" t="s">
        <v>11</v>
      </c>
      <c r="G15" s="215" t="s">
        <v>34</v>
      </c>
      <c r="H15" s="211">
        <v>0</v>
      </c>
      <c r="I15" s="211">
        <v>0</v>
      </c>
      <c r="J15" s="211">
        <v>0</v>
      </c>
      <c r="K15" s="218">
        <v>15.212999999999999</v>
      </c>
      <c r="L15" s="218">
        <v>13.695</v>
      </c>
      <c r="M15" s="218">
        <v>12.541</v>
      </c>
      <c r="N15" s="219">
        <v>11.465999999999999</v>
      </c>
      <c r="O15" s="219">
        <f>N15-1.075</f>
        <v>10.391</v>
      </c>
      <c r="P15" s="219">
        <f>O15-1.075</f>
        <v>9.3160000000000007</v>
      </c>
      <c r="Q15" s="219">
        <f>P15-1.075</f>
        <v>8.2410000000000014</v>
      </c>
      <c r="R15" s="219">
        <f>Q15-1.075</f>
        <v>7.1660000000000013</v>
      </c>
      <c r="S15" s="219">
        <f>R15-1.075</f>
        <v>6.0910000000000011</v>
      </c>
    </row>
    <row r="16" spans="1:19" ht="12" x14ac:dyDescent="0.2">
      <c r="A16" s="213"/>
      <c r="B16" s="196" t="s">
        <v>35</v>
      </c>
      <c r="C16" s="216">
        <v>157</v>
      </c>
      <c r="D16" s="216"/>
      <c r="E16" s="217" t="s">
        <v>11</v>
      </c>
      <c r="G16" s="215" t="s">
        <v>36</v>
      </c>
      <c r="H16" s="211">
        <v>0</v>
      </c>
      <c r="I16" s="211">
        <v>0</v>
      </c>
      <c r="J16" s="211">
        <v>0</v>
      </c>
      <c r="K16" s="218">
        <v>0</v>
      </c>
      <c r="L16" s="218">
        <v>0</v>
      </c>
      <c r="M16" s="218">
        <v>0</v>
      </c>
      <c r="N16" s="219">
        <v>0</v>
      </c>
      <c r="O16" s="219">
        <v>0</v>
      </c>
      <c r="P16" s="219">
        <v>0</v>
      </c>
      <c r="Q16" s="219">
        <v>0</v>
      </c>
      <c r="R16" s="219">
        <v>0</v>
      </c>
      <c r="S16" s="218">
        <v>0</v>
      </c>
    </row>
    <row r="17" spans="1:19" ht="12" x14ac:dyDescent="0.2">
      <c r="A17" s="224"/>
      <c r="B17" s="196" t="s">
        <v>37</v>
      </c>
      <c r="C17" s="225" t="s">
        <v>38</v>
      </c>
      <c r="D17" s="224"/>
      <c r="E17" s="217" t="s">
        <v>11</v>
      </c>
      <c r="F17" s="226"/>
      <c r="G17" s="227" t="s">
        <v>39</v>
      </c>
      <c r="H17" s="228">
        <v>0</v>
      </c>
      <c r="I17" s="228">
        <v>0</v>
      </c>
      <c r="J17" s="228">
        <v>0</v>
      </c>
      <c r="K17" s="229">
        <v>0</v>
      </c>
      <c r="L17" s="229">
        <v>0</v>
      </c>
      <c r="M17" s="229">
        <v>0</v>
      </c>
      <c r="N17" s="230">
        <v>0</v>
      </c>
      <c r="O17" s="230">
        <v>0</v>
      </c>
      <c r="P17" s="230">
        <v>0</v>
      </c>
      <c r="Q17" s="230">
        <v>0</v>
      </c>
      <c r="R17" s="230">
        <v>0</v>
      </c>
      <c r="S17" s="229">
        <v>0</v>
      </c>
    </row>
    <row r="18" spans="1:19" x14ac:dyDescent="0.2">
      <c r="A18" s="213"/>
      <c r="B18" s="196" t="s">
        <v>40</v>
      </c>
      <c r="C18" s="216">
        <v>2</v>
      </c>
      <c r="D18" s="216"/>
      <c r="E18" s="220"/>
      <c r="G18" s="215" t="s">
        <v>41</v>
      </c>
      <c r="H18" s="211">
        <f t="shared" ref="H18:S18" si="3">H19+H27</f>
        <v>0</v>
      </c>
      <c r="I18" s="211">
        <f t="shared" si="3"/>
        <v>0</v>
      </c>
      <c r="J18" s="211">
        <f t="shared" si="3"/>
        <v>0</v>
      </c>
      <c r="K18" s="212">
        <f t="shared" si="3"/>
        <v>72.506</v>
      </c>
      <c r="L18" s="212">
        <f t="shared" si="3"/>
        <v>192.00299999999999</v>
      </c>
      <c r="M18" s="212">
        <f t="shared" si="3"/>
        <v>291.976</v>
      </c>
      <c r="N18" s="223">
        <f t="shared" si="3"/>
        <v>319.30900000000003</v>
      </c>
      <c r="O18" s="223">
        <f t="shared" si="3"/>
        <v>367.44300000000004</v>
      </c>
      <c r="P18" s="223">
        <f t="shared" si="3"/>
        <v>372.95000000000005</v>
      </c>
      <c r="Q18" s="223">
        <f t="shared" si="3"/>
        <v>380.95300000000003</v>
      </c>
      <c r="R18" s="223">
        <f t="shared" si="3"/>
        <v>390.95300000000003</v>
      </c>
      <c r="S18" s="212">
        <f t="shared" si="3"/>
        <v>400.95300000000003</v>
      </c>
    </row>
    <row r="19" spans="1:19" x14ac:dyDescent="0.2">
      <c r="A19" s="213"/>
      <c r="B19" s="196" t="s">
        <v>42</v>
      </c>
      <c r="C19" s="216" t="s">
        <v>43</v>
      </c>
      <c r="D19" s="216"/>
      <c r="E19" s="220"/>
      <c r="G19" s="215" t="s">
        <v>44</v>
      </c>
      <c r="H19" s="211">
        <f t="shared" ref="H19:S19" si="4">SUM(H21:H26)</f>
        <v>0</v>
      </c>
      <c r="I19" s="211">
        <f t="shared" si="4"/>
        <v>0</v>
      </c>
      <c r="J19" s="211">
        <f t="shared" si="4"/>
        <v>0</v>
      </c>
      <c r="K19" s="212">
        <f t="shared" si="4"/>
        <v>39.841999999999999</v>
      </c>
      <c r="L19" s="212">
        <f t="shared" si="4"/>
        <v>106.20399999999999</v>
      </c>
      <c r="M19" s="212">
        <f t="shared" si="4"/>
        <v>152.62899999999999</v>
      </c>
      <c r="N19" s="223">
        <f t="shared" si="4"/>
        <v>157.41300000000001</v>
      </c>
      <c r="O19" s="223">
        <f t="shared" si="4"/>
        <v>157.41300000000001</v>
      </c>
      <c r="P19" s="223">
        <f t="shared" si="4"/>
        <v>156.91999999999999</v>
      </c>
      <c r="Q19" s="223">
        <f t="shared" si="4"/>
        <v>155.923</v>
      </c>
      <c r="R19" s="223">
        <f t="shared" si="4"/>
        <v>155.923</v>
      </c>
      <c r="S19" s="212">
        <f t="shared" si="4"/>
        <v>155.923</v>
      </c>
    </row>
    <row r="20" spans="1:19" ht="12" x14ac:dyDescent="0.2">
      <c r="A20" s="231"/>
      <c r="B20" s="196" t="s">
        <v>45</v>
      </c>
      <c r="C20" s="225" t="s">
        <v>46</v>
      </c>
      <c r="D20" s="224"/>
      <c r="E20" s="217" t="s">
        <v>11</v>
      </c>
      <c r="F20" s="231"/>
      <c r="G20" s="227" t="s">
        <v>47</v>
      </c>
      <c r="H20" s="232">
        <v>0</v>
      </c>
      <c r="I20" s="232">
        <v>0</v>
      </c>
      <c r="J20" s="232">
        <v>0</v>
      </c>
      <c r="K20" s="233">
        <v>39.841999999999999</v>
      </c>
      <c r="L20" s="233">
        <v>106.20399999999999</v>
      </c>
      <c r="M20" s="233">
        <v>152.62899999999999</v>
      </c>
      <c r="N20" s="234">
        <v>0</v>
      </c>
      <c r="O20" s="234">
        <v>0</v>
      </c>
      <c r="P20" s="234">
        <v>0</v>
      </c>
      <c r="Q20" s="234">
        <v>0</v>
      </c>
      <c r="R20" s="234">
        <v>0</v>
      </c>
      <c r="S20" s="233">
        <v>0</v>
      </c>
    </row>
    <row r="21" spans="1:19" ht="12" x14ac:dyDescent="0.2">
      <c r="A21" s="213"/>
      <c r="B21" s="196" t="s">
        <v>48</v>
      </c>
      <c r="C21" s="235" t="s">
        <v>49</v>
      </c>
      <c r="D21" s="235"/>
      <c r="E21" s="217" t="s">
        <v>11</v>
      </c>
      <c r="G21" s="215" t="s">
        <v>50</v>
      </c>
      <c r="H21" s="211">
        <v>0</v>
      </c>
      <c r="I21" s="211">
        <v>0</v>
      </c>
      <c r="J21" s="211">
        <v>0</v>
      </c>
      <c r="K21" s="218">
        <v>39.841999999999999</v>
      </c>
      <c r="L21" s="218">
        <v>106.20399999999999</v>
      </c>
      <c r="M21" s="218">
        <v>152.62899999999999</v>
      </c>
      <c r="N21" s="219">
        <v>157.41300000000001</v>
      </c>
      <c r="O21" s="219">
        <f>N21</f>
        <v>157.41300000000001</v>
      </c>
      <c r="P21" s="219">
        <v>156.91999999999999</v>
      </c>
      <c r="Q21" s="219">
        <v>155.923</v>
      </c>
      <c r="R21" s="219">
        <v>155.923</v>
      </c>
      <c r="S21" s="219">
        <v>155.923</v>
      </c>
    </row>
    <row r="22" spans="1:19" ht="12" x14ac:dyDescent="0.2">
      <c r="A22" s="213"/>
      <c r="B22" s="196" t="s">
        <v>51</v>
      </c>
      <c r="C22" s="216" t="s">
        <v>52</v>
      </c>
      <c r="D22" s="216"/>
      <c r="E22" s="217" t="s">
        <v>11</v>
      </c>
      <c r="G22" s="215" t="s">
        <v>53</v>
      </c>
      <c r="H22" s="211">
        <v>0</v>
      </c>
      <c r="I22" s="211">
        <v>0</v>
      </c>
      <c r="J22" s="211">
        <v>0</v>
      </c>
      <c r="K22" s="218">
        <v>0</v>
      </c>
      <c r="L22" s="218">
        <v>0</v>
      </c>
      <c r="M22" s="218">
        <v>0</v>
      </c>
      <c r="N22" s="219">
        <v>0</v>
      </c>
      <c r="O22" s="219">
        <v>0</v>
      </c>
      <c r="P22" s="219">
        <v>0</v>
      </c>
      <c r="Q22" s="219">
        <v>0</v>
      </c>
      <c r="R22" s="219">
        <v>0</v>
      </c>
      <c r="S22" s="218">
        <v>0</v>
      </c>
    </row>
    <row r="23" spans="1:19" ht="12" x14ac:dyDescent="0.2">
      <c r="A23" s="213"/>
      <c r="B23" s="196" t="s">
        <v>54</v>
      </c>
      <c r="C23" s="216">
        <v>257</v>
      </c>
      <c r="D23" s="216"/>
      <c r="E23" s="217" t="s">
        <v>11</v>
      </c>
      <c r="G23" s="215" t="s">
        <v>55</v>
      </c>
      <c r="H23" s="211">
        <v>0</v>
      </c>
      <c r="I23" s="211">
        <v>0</v>
      </c>
      <c r="J23" s="211">
        <v>0</v>
      </c>
      <c r="K23" s="218">
        <v>0</v>
      </c>
      <c r="L23" s="218">
        <v>0</v>
      </c>
      <c r="M23" s="218">
        <v>0</v>
      </c>
      <c r="N23" s="219">
        <v>0</v>
      </c>
      <c r="O23" s="219">
        <v>0</v>
      </c>
      <c r="P23" s="219">
        <v>0</v>
      </c>
      <c r="Q23" s="219">
        <v>0</v>
      </c>
      <c r="R23" s="219">
        <v>0</v>
      </c>
      <c r="S23" s="218">
        <v>0</v>
      </c>
    </row>
    <row r="24" spans="1:19" ht="12" x14ac:dyDescent="0.2">
      <c r="A24" s="236"/>
      <c r="B24" s="196" t="s">
        <v>56</v>
      </c>
      <c r="C24" s="216" t="s">
        <v>57</v>
      </c>
      <c r="D24" s="216"/>
      <c r="E24" s="217" t="s">
        <v>11</v>
      </c>
      <c r="F24" s="236"/>
      <c r="G24" s="215" t="s">
        <v>58</v>
      </c>
      <c r="H24" s="211">
        <v>0</v>
      </c>
      <c r="I24" s="211">
        <v>0</v>
      </c>
      <c r="J24" s="211">
        <v>0</v>
      </c>
      <c r="K24" s="218">
        <v>0</v>
      </c>
      <c r="L24" s="218">
        <v>0</v>
      </c>
      <c r="M24" s="218">
        <v>0</v>
      </c>
      <c r="N24" s="219">
        <v>0</v>
      </c>
      <c r="O24" s="219">
        <v>0</v>
      </c>
      <c r="P24" s="219">
        <v>0</v>
      </c>
      <c r="Q24" s="219">
        <v>0</v>
      </c>
      <c r="R24" s="219">
        <v>0</v>
      </c>
      <c r="S24" s="218">
        <v>0</v>
      </c>
    </row>
    <row r="25" spans="1:19" ht="12" x14ac:dyDescent="0.2">
      <c r="A25" s="236"/>
      <c r="B25" s="196" t="s">
        <v>59</v>
      </c>
      <c r="C25" s="216" t="s">
        <v>60</v>
      </c>
      <c r="D25" s="216"/>
      <c r="E25" s="217" t="s">
        <v>11</v>
      </c>
      <c r="F25" s="236"/>
      <c r="G25" s="215" t="s">
        <v>61</v>
      </c>
      <c r="H25" s="211">
        <v>0</v>
      </c>
      <c r="I25" s="211">
        <v>0</v>
      </c>
      <c r="J25" s="211">
        <v>0</v>
      </c>
      <c r="K25" s="218">
        <v>0</v>
      </c>
      <c r="L25" s="218">
        <v>0</v>
      </c>
      <c r="M25" s="218">
        <v>0</v>
      </c>
      <c r="N25" s="219">
        <v>0</v>
      </c>
      <c r="O25" s="219">
        <v>0</v>
      </c>
      <c r="P25" s="219">
        <v>0</v>
      </c>
      <c r="Q25" s="219">
        <v>0</v>
      </c>
      <c r="R25" s="219">
        <v>0</v>
      </c>
      <c r="S25" s="218">
        <v>0</v>
      </c>
    </row>
    <row r="26" spans="1:19" ht="12" x14ac:dyDescent="0.2">
      <c r="A26" s="213"/>
      <c r="B26" s="196" t="s">
        <v>62</v>
      </c>
      <c r="C26" s="216">
        <v>28</v>
      </c>
      <c r="D26" s="216"/>
      <c r="E26" s="217" t="s">
        <v>11</v>
      </c>
      <c r="G26" s="215" t="s">
        <v>63</v>
      </c>
      <c r="H26" s="211">
        <v>0</v>
      </c>
      <c r="I26" s="211">
        <v>0</v>
      </c>
      <c r="J26" s="211">
        <v>0</v>
      </c>
      <c r="K26" s="218">
        <v>0</v>
      </c>
      <c r="L26" s="218">
        <v>0</v>
      </c>
      <c r="M26" s="218">
        <v>0</v>
      </c>
      <c r="N26" s="219">
        <v>0</v>
      </c>
      <c r="O26" s="219">
        <v>0</v>
      </c>
      <c r="P26" s="219">
        <v>0</v>
      </c>
      <c r="Q26" s="219">
        <v>0</v>
      </c>
      <c r="R26" s="219">
        <v>0</v>
      </c>
      <c r="S26" s="218">
        <v>0</v>
      </c>
    </row>
    <row r="27" spans="1:19" x14ac:dyDescent="0.2">
      <c r="A27" s="213"/>
      <c r="B27" s="196" t="s">
        <v>64</v>
      </c>
      <c r="C27" s="216">
        <v>29</v>
      </c>
      <c r="D27" s="216"/>
      <c r="E27" s="220"/>
      <c r="G27" s="215" t="s">
        <v>65</v>
      </c>
      <c r="H27" s="211">
        <f t="shared" ref="H27:S27" si="5">SUM(H28:H30)</f>
        <v>0</v>
      </c>
      <c r="I27" s="211">
        <f t="shared" si="5"/>
        <v>0</v>
      </c>
      <c r="J27" s="211">
        <f t="shared" si="5"/>
        <v>0</v>
      </c>
      <c r="K27" s="212">
        <f t="shared" si="5"/>
        <v>32.664000000000001</v>
      </c>
      <c r="L27" s="212">
        <f t="shared" si="5"/>
        <v>85.799000000000007</v>
      </c>
      <c r="M27" s="212">
        <f t="shared" si="5"/>
        <v>139.34700000000001</v>
      </c>
      <c r="N27" s="223">
        <f t="shared" si="5"/>
        <v>161.89600000000002</v>
      </c>
      <c r="O27" s="223">
        <f t="shared" si="5"/>
        <v>210.03000000000003</v>
      </c>
      <c r="P27" s="223">
        <f t="shared" si="5"/>
        <v>216.03000000000003</v>
      </c>
      <c r="Q27" s="223">
        <f t="shared" si="5"/>
        <v>225.03000000000003</v>
      </c>
      <c r="R27" s="223">
        <f t="shared" si="5"/>
        <v>235.03000000000003</v>
      </c>
      <c r="S27" s="212">
        <f t="shared" si="5"/>
        <v>245.03000000000003</v>
      </c>
    </row>
    <row r="28" spans="1:19" ht="12" x14ac:dyDescent="0.2">
      <c r="A28" s="213"/>
      <c r="B28" s="196" t="s">
        <v>66</v>
      </c>
      <c r="C28" s="213" t="s">
        <v>67</v>
      </c>
      <c r="D28" s="213"/>
      <c r="E28" s="217" t="s">
        <v>11</v>
      </c>
      <c r="G28" s="215" t="s">
        <v>68</v>
      </c>
      <c r="H28" s="211">
        <v>0</v>
      </c>
      <c r="I28" s="211">
        <v>0</v>
      </c>
      <c r="J28" s="211">
        <v>0</v>
      </c>
      <c r="K28" s="218">
        <v>20.75</v>
      </c>
      <c r="L28" s="218">
        <v>66.555000000000007</v>
      </c>
      <c r="M28" s="218">
        <v>66.555000000000007</v>
      </c>
      <c r="N28" s="218">
        <v>66.555000000000007</v>
      </c>
      <c r="O28" s="219">
        <f>N28</f>
        <v>66.555000000000007</v>
      </c>
      <c r="P28" s="219">
        <f>O28</f>
        <v>66.555000000000007</v>
      </c>
      <c r="Q28" s="219">
        <f>P28</f>
        <v>66.555000000000007</v>
      </c>
      <c r="R28" s="219">
        <f>Q28</f>
        <v>66.555000000000007</v>
      </c>
      <c r="S28" s="219">
        <f>R28</f>
        <v>66.555000000000007</v>
      </c>
    </row>
    <row r="29" spans="1:19" ht="12" x14ac:dyDescent="0.2">
      <c r="A29" s="213"/>
      <c r="B29" s="196" t="s">
        <v>69</v>
      </c>
      <c r="C29" s="216">
        <v>298</v>
      </c>
      <c r="D29" s="216"/>
      <c r="E29" s="217" t="s">
        <v>11</v>
      </c>
      <c r="G29" s="215" t="s">
        <v>70</v>
      </c>
      <c r="H29" s="211">
        <v>0</v>
      </c>
      <c r="I29" s="211">
        <v>0</v>
      </c>
      <c r="J29" s="211">
        <v>0</v>
      </c>
      <c r="K29" s="218">
        <v>0</v>
      </c>
      <c r="L29" s="218">
        <v>11.914</v>
      </c>
      <c r="M29" s="218">
        <v>19.242999999999999</v>
      </c>
      <c r="N29" s="219">
        <v>72.792000000000002</v>
      </c>
      <c r="O29" s="219">
        <f>N29+N30</f>
        <v>95.341000000000008</v>
      </c>
      <c r="P29" s="219">
        <f>O29+O30</f>
        <v>143.47500000000002</v>
      </c>
      <c r="Q29" s="219">
        <f>P29+P30</f>
        <v>149.47500000000002</v>
      </c>
      <c r="R29" s="219">
        <f>Q29+Q30</f>
        <v>158.47500000000002</v>
      </c>
      <c r="S29" s="219">
        <f>R29+R30</f>
        <v>168.47500000000002</v>
      </c>
    </row>
    <row r="30" spans="1:19" ht="12" x14ac:dyDescent="0.2">
      <c r="A30" s="213"/>
      <c r="B30" s="196" t="s">
        <v>71</v>
      </c>
      <c r="C30" s="216">
        <v>299</v>
      </c>
      <c r="D30" s="216"/>
      <c r="E30" s="217" t="s">
        <v>475</v>
      </c>
      <c r="G30" s="215" t="s">
        <v>73</v>
      </c>
      <c r="H30" s="211">
        <v>0</v>
      </c>
      <c r="I30" s="211">
        <v>0</v>
      </c>
      <c r="J30" s="211">
        <v>0</v>
      </c>
      <c r="K30" s="218">
        <v>11.914</v>
      </c>
      <c r="L30" s="218">
        <v>7.33</v>
      </c>
      <c r="M30" s="218">
        <v>53.548999999999999</v>
      </c>
      <c r="N30" s="219">
        <v>22.548999999999999</v>
      </c>
      <c r="O30" s="219">
        <v>48.134</v>
      </c>
      <c r="P30" s="219">
        <v>6</v>
      </c>
      <c r="Q30" s="219">
        <v>9</v>
      </c>
      <c r="R30" s="219">
        <v>10</v>
      </c>
      <c r="S30" s="218">
        <v>10</v>
      </c>
    </row>
    <row r="31" spans="1:19" x14ac:dyDescent="0.2">
      <c r="A31" s="237"/>
      <c r="B31" s="196" t="s">
        <v>368</v>
      </c>
      <c r="C31" s="238" t="s">
        <v>369</v>
      </c>
      <c r="D31" s="239"/>
      <c r="E31" s="240"/>
      <c r="F31" s="237"/>
      <c r="G31" s="241" t="s">
        <v>74</v>
      </c>
      <c r="H31" s="242">
        <f t="shared" ref="H31:S31" si="6">H4-H18</f>
        <v>0</v>
      </c>
      <c r="I31" s="242">
        <f t="shared" si="6"/>
        <v>0</v>
      </c>
      <c r="J31" s="242">
        <f t="shared" si="6"/>
        <v>0</v>
      </c>
      <c r="K31" s="243">
        <f t="shared" si="6"/>
        <v>0</v>
      </c>
      <c r="L31" s="243">
        <f t="shared" si="6"/>
        <v>-1.0000000000047748E-3</v>
      </c>
      <c r="M31" s="243">
        <f t="shared" si="6"/>
        <v>0</v>
      </c>
      <c r="N31" s="244">
        <f t="shared" si="6"/>
        <v>-1.0000000000331966E-3</v>
      </c>
      <c r="O31" s="244">
        <f t="shared" si="6"/>
        <v>-0.49000000000000909</v>
      </c>
      <c r="P31" s="244">
        <f t="shared" si="6"/>
        <v>2.9999999999290594E-3</v>
      </c>
      <c r="Q31" s="244">
        <f>Q4-Q18</f>
        <v>0</v>
      </c>
      <c r="R31" s="244">
        <f t="shared" si="6"/>
        <v>0</v>
      </c>
      <c r="S31" s="243">
        <f t="shared" si="6"/>
        <v>0</v>
      </c>
    </row>
    <row r="32" spans="1:19" x14ac:dyDescent="0.2">
      <c r="A32" s="213"/>
      <c r="B32" s="196"/>
      <c r="C32" s="216"/>
      <c r="D32" s="216"/>
      <c r="E32" s="214"/>
      <c r="G32" s="205" t="s">
        <v>75</v>
      </c>
      <c r="H32" s="245">
        <v>2011</v>
      </c>
      <c r="I32" s="245">
        <f t="shared" ref="I32:S32" si="7">H32+1</f>
        <v>2012</v>
      </c>
      <c r="J32" s="245">
        <f t="shared" si="7"/>
        <v>2013</v>
      </c>
      <c r="K32" s="246">
        <f t="shared" si="7"/>
        <v>2014</v>
      </c>
      <c r="L32" s="246">
        <f t="shared" si="7"/>
        <v>2015</v>
      </c>
      <c r="M32" s="246">
        <f t="shared" si="7"/>
        <v>2016</v>
      </c>
      <c r="N32" s="247">
        <f t="shared" si="7"/>
        <v>2017</v>
      </c>
      <c r="O32" s="247">
        <f t="shared" si="7"/>
        <v>2018</v>
      </c>
      <c r="P32" s="247">
        <f t="shared" si="7"/>
        <v>2019</v>
      </c>
      <c r="Q32" s="247">
        <f t="shared" si="7"/>
        <v>2020</v>
      </c>
      <c r="R32" s="247">
        <f t="shared" si="7"/>
        <v>2021</v>
      </c>
      <c r="S32" s="246">
        <f t="shared" si="7"/>
        <v>2022</v>
      </c>
    </row>
    <row r="33" spans="1:19" x14ac:dyDescent="0.2">
      <c r="A33" s="213"/>
      <c r="B33" s="196" t="s">
        <v>76</v>
      </c>
      <c r="C33" s="216">
        <v>3</v>
      </c>
      <c r="D33" s="216"/>
      <c r="E33" s="214"/>
      <c r="G33" s="210" t="s">
        <v>77</v>
      </c>
      <c r="H33" s="211">
        <f t="shared" ref="H33:S33" si="8">SUM(H34:H37)</f>
        <v>0</v>
      </c>
      <c r="I33" s="211">
        <f t="shared" si="8"/>
        <v>0</v>
      </c>
      <c r="J33" s="211">
        <f t="shared" si="8"/>
        <v>0</v>
      </c>
      <c r="K33" s="212">
        <f t="shared" si="8"/>
        <v>13.137</v>
      </c>
      <c r="L33" s="212">
        <f t="shared" si="8"/>
        <v>955.39499999999998</v>
      </c>
      <c r="M33" s="212">
        <f t="shared" si="8"/>
        <v>1027.3</v>
      </c>
      <c r="N33" s="223">
        <f t="shared" si="8"/>
        <v>1139.1569999999999</v>
      </c>
      <c r="O33" s="223">
        <f t="shared" si="8"/>
        <v>1253.9949999999999</v>
      </c>
      <c r="P33" s="223">
        <f t="shared" si="8"/>
        <v>1252.4786000000001</v>
      </c>
      <c r="Q33" s="223">
        <f t="shared" si="8"/>
        <v>1306.6025300000001</v>
      </c>
      <c r="R33" s="223">
        <f t="shared" si="8"/>
        <v>1363.4326565000001</v>
      </c>
      <c r="S33" s="212">
        <f t="shared" si="8"/>
        <v>1423.1042893250001</v>
      </c>
    </row>
    <row r="34" spans="1:19" ht="12" x14ac:dyDescent="0.2">
      <c r="A34" s="213"/>
      <c r="B34" s="196" t="s">
        <v>78</v>
      </c>
      <c r="C34" s="216">
        <v>30</v>
      </c>
      <c r="D34" s="216"/>
      <c r="E34" s="217" t="s">
        <v>11</v>
      </c>
      <c r="G34" s="215" t="s">
        <v>79</v>
      </c>
      <c r="H34" s="211">
        <v>0</v>
      </c>
      <c r="I34" s="211">
        <v>0</v>
      </c>
      <c r="J34" s="211">
        <v>0</v>
      </c>
      <c r="K34" s="218">
        <v>0</v>
      </c>
      <c r="L34" s="218">
        <v>0</v>
      </c>
      <c r="M34" s="218">
        <v>0</v>
      </c>
      <c r="N34" s="219">
        <v>2.56</v>
      </c>
      <c r="O34" s="219">
        <v>0</v>
      </c>
      <c r="P34" s="219">
        <v>0</v>
      </c>
      <c r="Q34" s="219">
        <v>0</v>
      </c>
      <c r="R34" s="219">
        <v>0</v>
      </c>
      <c r="S34" s="218">
        <v>0</v>
      </c>
    </row>
    <row r="35" spans="1:19" ht="12" x14ac:dyDescent="0.2">
      <c r="A35" s="213"/>
      <c r="B35" s="196" t="s">
        <v>80</v>
      </c>
      <c r="C35" s="216">
        <v>32</v>
      </c>
      <c r="D35" s="216"/>
      <c r="E35" s="217" t="s">
        <v>11</v>
      </c>
      <c r="G35" s="215" t="s">
        <v>81</v>
      </c>
      <c r="H35" s="211">
        <v>0</v>
      </c>
      <c r="I35" s="211">
        <v>0</v>
      </c>
      <c r="J35" s="211">
        <v>0</v>
      </c>
      <c r="K35" s="218">
        <v>0</v>
      </c>
      <c r="L35" s="218">
        <v>147.821</v>
      </c>
      <c r="M35" s="218">
        <v>131.583</v>
      </c>
      <c r="N35" s="219">
        <v>207.48</v>
      </c>
      <c r="O35" s="219">
        <v>223.06299999999999</v>
      </c>
      <c r="P35" s="219">
        <v>170</v>
      </c>
      <c r="Q35" s="219">
        <v>170</v>
      </c>
      <c r="R35" s="219">
        <v>170</v>
      </c>
      <c r="S35" s="218">
        <v>170</v>
      </c>
    </row>
    <row r="36" spans="1:19" ht="12" x14ac:dyDescent="0.2">
      <c r="A36" s="221"/>
      <c r="B36" s="196" t="s">
        <v>82</v>
      </c>
      <c r="C36" s="216">
        <v>35</v>
      </c>
      <c r="D36" s="216"/>
      <c r="E36" s="217" t="s">
        <v>11</v>
      </c>
      <c r="F36" s="221"/>
      <c r="G36" s="215" t="s">
        <v>83</v>
      </c>
      <c r="H36" s="211">
        <v>0</v>
      </c>
      <c r="I36" s="211">
        <v>0</v>
      </c>
      <c r="J36" s="211">
        <v>0</v>
      </c>
      <c r="K36" s="218">
        <v>12.88</v>
      </c>
      <c r="L36" s="218">
        <v>805.57399999999996</v>
      </c>
      <c r="M36" s="218">
        <v>895.71699999999998</v>
      </c>
      <c r="N36" s="219">
        <v>929.11699999999996</v>
      </c>
      <c r="O36" s="219">
        <v>1030.932</v>
      </c>
      <c r="P36" s="219">
        <f>O36*1.05</f>
        <v>1082.4786000000001</v>
      </c>
      <c r="Q36" s="219">
        <f>P36*1.05</f>
        <v>1136.6025300000001</v>
      </c>
      <c r="R36" s="219">
        <f>Q36*1.05</f>
        <v>1193.4326565000001</v>
      </c>
      <c r="S36" s="219">
        <f>R36*1.05</f>
        <v>1253.1042893250001</v>
      </c>
    </row>
    <row r="37" spans="1:19" ht="12" x14ac:dyDescent="0.2">
      <c r="A37" s="213"/>
      <c r="B37" s="196" t="s">
        <v>84</v>
      </c>
      <c r="C37" s="216">
        <v>38</v>
      </c>
      <c r="D37" s="216"/>
      <c r="E37" s="217" t="s">
        <v>475</v>
      </c>
      <c r="G37" s="215" t="s">
        <v>85</v>
      </c>
      <c r="H37" s="211">
        <v>0</v>
      </c>
      <c r="I37" s="211">
        <v>0</v>
      </c>
      <c r="J37" s="211">
        <v>0</v>
      </c>
      <c r="K37" s="218">
        <v>0.25700000000000001</v>
      </c>
      <c r="L37" s="218">
        <v>2</v>
      </c>
      <c r="M37" s="218">
        <v>0</v>
      </c>
      <c r="N37" s="219">
        <v>0</v>
      </c>
      <c r="O37" s="219">
        <v>0</v>
      </c>
      <c r="P37" s="219">
        <v>0</v>
      </c>
      <c r="Q37" s="219">
        <v>0</v>
      </c>
      <c r="R37" s="219">
        <v>0</v>
      </c>
      <c r="S37" s="218">
        <v>0</v>
      </c>
    </row>
    <row r="38" spans="1:19" x14ac:dyDescent="0.2">
      <c r="A38" s="213"/>
      <c r="B38" s="196" t="s">
        <v>86</v>
      </c>
      <c r="C38" s="216">
        <v>4</v>
      </c>
      <c r="D38" s="216"/>
      <c r="E38" s="248"/>
      <c r="G38" s="215" t="s">
        <v>87</v>
      </c>
      <c r="H38" s="211">
        <f t="shared" ref="H38:S38" si="9">H39+H40</f>
        <v>0</v>
      </c>
      <c r="I38" s="211">
        <f t="shared" si="9"/>
        <v>0</v>
      </c>
      <c r="J38" s="211">
        <f t="shared" si="9"/>
        <v>0</v>
      </c>
      <c r="K38" s="212">
        <f t="shared" si="9"/>
        <v>0</v>
      </c>
      <c r="L38" s="212">
        <f t="shared" si="9"/>
        <v>-0.48</v>
      </c>
      <c r="M38" s="212">
        <f t="shared" si="9"/>
        <v>-1.1950000000000001</v>
      </c>
      <c r="N38" s="223">
        <f t="shared" si="9"/>
        <v>-1.325</v>
      </c>
      <c r="O38" s="223">
        <f t="shared" si="9"/>
        <v>-1.65</v>
      </c>
      <c r="P38" s="223">
        <f t="shared" si="9"/>
        <v>-1.65</v>
      </c>
      <c r="Q38" s="223">
        <f t="shared" si="9"/>
        <v>-1.65</v>
      </c>
      <c r="R38" s="223">
        <f t="shared" si="9"/>
        <v>-1.65</v>
      </c>
      <c r="S38" s="212">
        <f t="shared" si="9"/>
        <v>-1.65</v>
      </c>
    </row>
    <row r="39" spans="1:19" ht="12" x14ac:dyDescent="0.2">
      <c r="A39" s="213"/>
      <c r="B39" s="196" t="s">
        <v>88</v>
      </c>
      <c r="C39" s="216">
        <v>41</v>
      </c>
      <c r="D39" s="216"/>
      <c r="E39" s="217" t="s">
        <v>476</v>
      </c>
      <c r="G39" s="215" t="s">
        <v>90</v>
      </c>
      <c r="H39" s="211">
        <v>0</v>
      </c>
      <c r="I39" s="211">
        <v>0</v>
      </c>
      <c r="J39" s="211">
        <v>0</v>
      </c>
      <c r="K39" s="218">
        <v>0</v>
      </c>
      <c r="L39" s="218">
        <v>0</v>
      </c>
      <c r="M39" s="218">
        <v>0</v>
      </c>
      <c r="N39" s="219">
        <v>0</v>
      </c>
      <c r="O39" s="219">
        <v>0</v>
      </c>
      <c r="P39" s="219">
        <v>0</v>
      </c>
      <c r="Q39" s="219">
        <v>0</v>
      </c>
      <c r="R39" s="219">
        <v>0</v>
      </c>
      <c r="S39" s="218">
        <v>0</v>
      </c>
    </row>
    <row r="40" spans="1:19" ht="12" x14ac:dyDescent="0.2">
      <c r="A40" s="213"/>
      <c r="B40" s="196" t="s">
        <v>91</v>
      </c>
      <c r="C40" s="216">
        <v>45</v>
      </c>
      <c r="D40" s="216"/>
      <c r="E40" s="217" t="s">
        <v>476</v>
      </c>
      <c r="G40" s="215" t="s">
        <v>92</v>
      </c>
      <c r="H40" s="211">
        <v>0</v>
      </c>
      <c r="I40" s="211">
        <v>0</v>
      </c>
      <c r="J40" s="211">
        <v>0</v>
      </c>
      <c r="K40" s="218">
        <v>0</v>
      </c>
      <c r="L40" s="218">
        <v>-0.48</v>
      </c>
      <c r="M40" s="218">
        <v>-1.1950000000000001</v>
      </c>
      <c r="N40" s="219">
        <v>-1.325</v>
      </c>
      <c r="O40" s="219">
        <v>-1.65</v>
      </c>
      <c r="P40" s="219">
        <f>O40</f>
        <v>-1.65</v>
      </c>
      <c r="Q40" s="219">
        <f>P40</f>
        <v>-1.65</v>
      </c>
      <c r="R40" s="219">
        <f>Q40</f>
        <v>-1.65</v>
      </c>
      <c r="S40" s="219">
        <f>R40</f>
        <v>-1.65</v>
      </c>
    </row>
    <row r="41" spans="1:19" x14ac:dyDescent="0.2">
      <c r="A41" s="221"/>
      <c r="B41" s="196" t="s">
        <v>93</v>
      </c>
      <c r="C41" s="216" t="s">
        <v>94</v>
      </c>
      <c r="D41" s="216"/>
      <c r="E41" s="248"/>
      <c r="F41" s="221"/>
      <c r="G41" s="215" t="s">
        <v>95</v>
      </c>
      <c r="H41" s="211">
        <f t="shared" ref="H41:S41" si="10">SUM(H42:H45)</f>
        <v>0</v>
      </c>
      <c r="I41" s="211">
        <f t="shared" si="10"/>
        <v>0</v>
      </c>
      <c r="J41" s="211">
        <f t="shared" si="10"/>
        <v>0</v>
      </c>
      <c r="K41" s="212">
        <f t="shared" si="10"/>
        <v>-0.96599999999999997</v>
      </c>
      <c r="L41" s="212">
        <f t="shared" si="10"/>
        <v>-948.19700000000012</v>
      </c>
      <c r="M41" s="212">
        <f t="shared" si="10"/>
        <v>-972.99000000000012</v>
      </c>
      <c r="N41" s="223">
        <f t="shared" si="10"/>
        <v>-1115.2730000000001</v>
      </c>
      <c r="O41" s="223">
        <f t="shared" si="10"/>
        <v>-1204.212</v>
      </c>
      <c r="P41" s="223">
        <f t="shared" si="10"/>
        <v>-1244.9319</v>
      </c>
      <c r="Q41" s="223">
        <f t="shared" si="10"/>
        <v>-1295.4952150000001</v>
      </c>
      <c r="R41" s="223">
        <f t="shared" si="10"/>
        <v>-1352.0681453500001</v>
      </c>
      <c r="S41" s="212">
        <f t="shared" si="10"/>
        <v>-1411.2477798055002</v>
      </c>
    </row>
    <row r="42" spans="1:19" ht="12" x14ac:dyDescent="0.2">
      <c r="A42" s="213"/>
      <c r="B42" s="196" t="s">
        <v>96</v>
      </c>
      <c r="C42" s="216">
        <v>50</v>
      </c>
      <c r="D42" s="216"/>
      <c r="E42" s="217" t="s">
        <v>476</v>
      </c>
      <c r="G42" s="215" t="s">
        <v>97</v>
      </c>
      <c r="H42" s="211">
        <v>0</v>
      </c>
      <c r="I42" s="211">
        <v>0</v>
      </c>
      <c r="J42" s="211">
        <v>0</v>
      </c>
      <c r="K42" s="218">
        <v>-0.377</v>
      </c>
      <c r="L42" s="218">
        <v>-771.32</v>
      </c>
      <c r="M42" s="218">
        <v>-727.06500000000005</v>
      </c>
      <c r="N42" s="219">
        <v>-781.61699999999996</v>
      </c>
      <c r="O42" s="219">
        <v>-824.95799999999997</v>
      </c>
      <c r="P42" s="219">
        <f>O42*1.05</f>
        <v>-866.20590000000004</v>
      </c>
      <c r="Q42" s="219">
        <f>P42*1.05</f>
        <v>-909.51619500000004</v>
      </c>
      <c r="R42" s="219">
        <f>Q42*1.05</f>
        <v>-954.99200475000009</v>
      </c>
      <c r="S42" s="219">
        <f>R42*1.05</f>
        <v>-1002.7416049875002</v>
      </c>
    </row>
    <row r="43" spans="1:19" ht="12" x14ac:dyDescent="0.2">
      <c r="A43" s="213"/>
      <c r="B43" s="196" t="s">
        <v>98</v>
      </c>
      <c r="C43" s="216">
        <v>55</v>
      </c>
      <c r="D43" s="216"/>
      <c r="E43" s="217" t="s">
        <v>476</v>
      </c>
      <c r="G43" s="215" t="s">
        <v>99</v>
      </c>
      <c r="H43" s="211">
        <v>0</v>
      </c>
      <c r="I43" s="211">
        <v>0</v>
      </c>
      <c r="J43" s="211">
        <v>0</v>
      </c>
      <c r="K43" s="218">
        <v>-0.49099999999999999</v>
      </c>
      <c r="L43" s="218">
        <v>-168.40899999999999</v>
      </c>
      <c r="M43" s="218">
        <v>-231.44</v>
      </c>
      <c r="N43" s="219">
        <v>-318.98</v>
      </c>
      <c r="O43" s="219">
        <v>-362.65100000000001</v>
      </c>
      <c r="P43" s="219">
        <f>O43</f>
        <v>-362.65100000000001</v>
      </c>
      <c r="Q43" s="219">
        <f>P43*1.02</f>
        <v>-369.90402</v>
      </c>
      <c r="R43" s="219">
        <f>Q43*1.03</f>
        <v>-381.00114059999999</v>
      </c>
      <c r="S43" s="219">
        <f>R43*1.03</f>
        <v>-392.43117481799999</v>
      </c>
    </row>
    <row r="44" spans="1:19" ht="12" x14ac:dyDescent="0.2">
      <c r="A44" s="221"/>
      <c r="B44" s="196" t="s">
        <v>100</v>
      </c>
      <c r="C44" s="216">
        <v>60</v>
      </c>
      <c r="D44" s="216"/>
      <c r="E44" s="217" t="s">
        <v>476</v>
      </c>
      <c r="F44" s="221"/>
      <c r="G44" s="215" t="s">
        <v>101</v>
      </c>
      <c r="H44" s="211">
        <v>0</v>
      </c>
      <c r="I44" s="211">
        <v>0</v>
      </c>
      <c r="J44" s="211">
        <v>0</v>
      </c>
      <c r="K44" s="218">
        <v>-9.8000000000000004E-2</v>
      </c>
      <c r="L44" s="218">
        <v>-6.95</v>
      </c>
      <c r="M44" s="218">
        <v>-13.332000000000001</v>
      </c>
      <c r="N44" s="219">
        <v>-13.601000000000001</v>
      </c>
      <c r="O44" s="219">
        <v>-15.528</v>
      </c>
      <c r="P44" s="219">
        <v>-15</v>
      </c>
      <c r="Q44" s="219">
        <f t="shared" ref="Q44:S45" si="11">P44</f>
        <v>-15</v>
      </c>
      <c r="R44" s="219">
        <f t="shared" si="11"/>
        <v>-15</v>
      </c>
      <c r="S44" s="219">
        <f t="shared" si="11"/>
        <v>-15</v>
      </c>
    </row>
    <row r="45" spans="1:19" ht="12" x14ac:dyDescent="0.2">
      <c r="A45" s="213"/>
      <c r="B45" s="196" t="s">
        <v>102</v>
      </c>
      <c r="C45" s="216">
        <v>61</v>
      </c>
      <c r="D45" s="216"/>
      <c r="E45" s="217" t="s">
        <v>476</v>
      </c>
      <c r="G45" s="215" t="s">
        <v>103</v>
      </c>
      <c r="H45" s="211">
        <v>0</v>
      </c>
      <c r="I45" s="211">
        <v>0</v>
      </c>
      <c r="J45" s="211">
        <v>0</v>
      </c>
      <c r="K45" s="218">
        <v>0</v>
      </c>
      <c r="L45" s="218">
        <v>-1.518</v>
      </c>
      <c r="M45" s="218">
        <v>-1.153</v>
      </c>
      <c r="N45" s="219">
        <v>-1.075</v>
      </c>
      <c r="O45" s="219">
        <v>-1.075</v>
      </c>
      <c r="P45" s="219">
        <f>O45</f>
        <v>-1.075</v>
      </c>
      <c r="Q45" s="219">
        <f t="shared" si="11"/>
        <v>-1.075</v>
      </c>
      <c r="R45" s="219">
        <f t="shared" si="11"/>
        <v>-1.075</v>
      </c>
      <c r="S45" s="219">
        <f t="shared" si="11"/>
        <v>-1.075</v>
      </c>
    </row>
    <row r="46" spans="1:19" x14ac:dyDescent="0.2">
      <c r="A46" s="213"/>
      <c r="B46" s="196" t="s">
        <v>104</v>
      </c>
      <c r="C46" s="216"/>
      <c r="D46" s="216"/>
      <c r="E46" s="214"/>
      <c r="G46" s="215" t="s">
        <v>105</v>
      </c>
      <c r="H46" s="211">
        <f t="shared" ref="H46:S46" si="12">H33+H38+H41</f>
        <v>0</v>
      </c>
      <c r="I46" s="211">
        <f t="shared" si="12"/>
        <v>0</v>
      </c>
      <c r="J46" s="211">
        <f t="shared" si="12"/>
        <v>0</v>
      </c>
      <c r="K46" s="212">
        <f t="shared" si="12"/>
        <v>12.171000000000001</v>
      </c>
      <c r="L46" s="212">
        <f t="shared" si="12"/>
        <v>6.7179999999998472</v>
      </c>
      <c r="M46" s="212">
        <f t="shared" si="12"/>
        <v>53.114999999999895</v>
      </c>
      <c r="N46" s="223">
        <f t="shared" si="12"/>
        <v>22.558999999999742</v>
      </c>
      <c r="O46" s="223">
        <f t="shared" si="12"/>
        <v>48.132999999999811</v>
      </c>
      <c r="P46" s="223">
        <f t="shared" si="12"/>
        <v>5.8967000000000098</v>
      </c>
      <c r="Q46" s="223">
        <f t="shared" si="12"/>
        <v>9.4573149999998805</v>
      </c>
      <c r="R46" s="223">
        <f t="shared" si="12"/>
        <v>9.7145111499999075</v>
      </c>
      <c r="S46" s="212">
        <f t="shared" si="12"/>
        <v>10.206509519499832</v>
      </c>
    </row>
    <row r="47" spans="1:19" ht="12" x14ac:dyDescent="0.2">
      <c r="A47" s="213"/>
      <c r="B47" s="196" t="s">
        <v>106</v>
      </c>
      <c r="C47" s="216">
        <v>65</v>
      </c>
      <c r="D47" s="216"/>
      <c r="E47" s="217" t="s">
        <v>475</v>
      </c>
      <c r="G47" s="215" t="s">
        <v>107</v>
      </c>
      <c r="H47" s="211">
        <v>0</v>
      </c>
      <c r="I47" s="211">
        <v>0</v>
      </c>
      <c r="J47" s="211">
        <v>0</v>
      </c>
      <c r="K47" s="218">
        <v>0</v>
      </c>
      <c r="L47" s="218">
        <v>0.156</v>
      </c>
      <c r="M47" s="218">
        <v>0.433</v>
      </c>
      <c r="N47" s="218">
        <v>0</v>
      </c>
      <c r="O47" s="218">
        <v>0</v>
      </c>
      <c r="P47" s="218">
        <v>0</v>
      </c>
      <c r="Q47" s="218">
        <v>0</v>
      </c>
      <c r="R47" s="218">
        <v>0</v>
      </c>
      <c r="S47" s="218">
        <v>0</v>
      </c>
    </row>
    <row r="48" spans="1:19" x14ac:dyDescent="0.2">
      <c r="A48" s="213"/>
      <c r="B48" s="196" t="s">
        <v>108</v>
      </c>
      <c r="C48" s="216"/>
      <c r="D48" s="216"/>
      <c r="E48" s="214"/>
      <c r="G48" s="215" t="s">
        <v>109</v>
      </c>
      <c r="H48" s="211">
        <f t="shared" ref="H48:S48" si="13">H46+H47</f>
        <v>0</v>
      </c>
      <c r="I48" s="211">
        <f t="shared" si="13"/>
        <v>0</v>
      </c>
      <c r="J48" s="211">
        <f t="shared" si="13"/>
        <v>0</v>
      </c>
      <c r="K48" s="212">
        <f t="shared" si="13"/>
        <v>12.171000000000001</v>
      </c>
      <c r="L48" s="212">
        <f t="shared" si="13"/>
        <v>6.8739999999998469</v>
      </c>
      <c r="M48" s="212">
        <f t="shared" si="13"/>
        <v>53.547999999999895</v>
      </c>
      <c r="N48" s="223">
        <f t="shared" si="13"/>
        <v>22.558999999999742</v>
      </c>
      <c r="O48" s="223">
        <f t="shared" si="13"/>
        <v>48.132999999999811</v>
      </c>
      <c r="P48" s="223">
        <f t="shared" si="13"/>
        <v>5.8967000000000098</v>
      </c>
      <c r="Q48" s="223">
        <f t="shared" si="13"/>
        <v>9.4573149999998805</v>
      </c>
      <c r="R48" s="223">
        <f t="shared" si="13"/>
        <v>9.7145111499999075</v>
      </c>
      <c r="S48" s="212">
        <f t="shared" si="13"/>
        <v>10.206509519499832</v>
      </c>
    </row>
    <row r="49" spans="1:19" ht="12" x14ac:dyDescent="0.2">
      <c r="A49" s="213"/>
      <c r="B49" s="196" t="s">
        <v>110</v>
      </c>
      <c r="C49" s="216">
        <v>68</v>
      </c>
      <c r="D49" s="216"/>
      <c r="E49" s="217" t="s">
        <v>476</v>
      </c>
      <c r="G49" s="215" t="s">
        <v>111</v>
      </c>
      <c r="H49" s="211">
        <v>0</v>
      </c>
      <c r="I49" s="211">
        <v>0</v>
      </c>
      <c r="J49" s="211">
        <v>0</v>
      </c>
      <c r="K49" s="218">
        <v>0</v>
      </c>
      <c r="L49" s="218">
        <v>0</v>
      </c>
      <c r="M49" s="218">
        <v>0</v>
      </c>
      <c r="N49" s="219">
        <v>0</v>
      </c>
      <c r="O49" s="219">
        <v>0</v>
      </c>
      <c r="P49" s="219">
        <v>0</v>
      </c>
      <c r="Q49" s="219">
        <v>0</v>
      </c>
      <c r="R49" s="219">
        <v>0</v>
      </c>
      <c r="S49" s="218">
        <v>0</v>
      </c>
    </row>
    <row r="50" spans="1:19" ht="12" x14ac:dyDescent="0.2">
      <c r="A50" s="213"/>
      <c r="B50" s="196" t="s">
        <v>112</v>
      </c>
      <c r="C50" s="216">
        <v>69</v>
      </c>
      <c r="D50" s="216"/>
      <c r="E50" s="217" t="s">
        <v>11</v>
      </c>
      <c r="G50" s="215" t="s">
        <v>113</v>
      </c>
      <c r="H50" s="211">
        <v>0</v>
      </c>
      <c r="I50" s="211">
        <v>0</v>
      </c>
      <c r="J50" s="211">
        <v>0</v>
      </c>
      <c r="K50" s="218">
        <v>0</v>
      </c>
      <c r="L50" s="218">
        <v>0</v>
      </c>
      <c r="M50" s="218">
        <v>0</v>
      </c>
      <c r="N50" s="219">
        <v>0</v>
      </c>
      <c r="O50" s="219">
        <v>0</v>
      </c>
      <c r="P50" s="219">
        <v>0</v>
      </c>
      <c r="Q50" s="219">
        <v>0</v>
      </c>
      <c r="R50" s="219">
        <v>0</v>
      </c>
      <c r="S50" s="218">
        <v>0</v>
      </c>
    </row>
    <row r="51" spans="1:19" x14ac:dyDescent="0.2">
      <c r="A51" s="213"/>
      <c r="B51" s="196" t="s">
        <v>114</v>
      </c>
      <c r="C51" s="216"/>
      <c r="D51" s="216"/>
      <c r="E51" s="214"/>
      <c r="G51" s="215" t="s">
        <v>115</v>
      </c>
      <c r="H51" s="211">
        <f t="shared" ref="H51:S51" si="14">H48+H49+H50</f>
        <v>0</v>
      </c>
      <c r="I51" s="211">
        <f t="shared" si="14"/>
        <v>0</v>
      </c>
      <c r="J51" s="211">
        <f t="shared" si="14"/>
        <v>0</v>
      </c>
      <c r="K51" s="212">
        <f t="shared" si="14"/>
        <v>12.171000000000001</v>
      </c>
      <c r="L51" s="212">
        <f t="shared" si="14"/>
        <v>6.8739999999998469</v>
      </c>
      <c r="M51" s="212">
        <f t="shared" si="14"/>
        <v>53.547999999999895</v>
      </c>
      <c r="N51" s="223">
        <f t="shared" si="14"/>
        <v>22.558999999999742</v>
      </c>
      <c r="O51" s="223">
        <f t="shared" si="14"/>
        <v>48.132999999999811</v>
      </c>
      <c r="P51" s="223">
        <f t="shared" si="14"/>
        <v>5.8967000000000098</v>
      </c>
      <c r="Q51" s="223">
        <f t="shared" si="14"/>
        <v>9.4573149999998805</v>
      </c>
      <c r="R51" s="223">
        <f t="shared" si="14"/>
        <v>9.7145111499999075</v>
      </c>
      <c r="S51" s="212">
        <f t="shared" si="14"/>
        <v>10.206509519499832</v>
      </c>
    </row>
    <row r="52" spans="1:19" x14ac:dyDescent="0.2">
      <c r="A52" s="249"/>
      <c r="B52" s="196" t="s">
        <v>370</v>
      </c>
      <c r="C52" s="238" t="s">
        <v>371</v>
      </c>
      <c r="D52" s="250"/>
      <c r="E52" s="251"/>
      <c r="F52" s="249"/>
      <c r="G52" s="241" t="s">
        <v>116</v>
      </c>
      <c r="H52" s="242">
        <f t="shared" ref="H52:S52" si="15">H30-H51</f>
        <v>0</v>
      </c>
      <c r="I52" s="242">
        <f t="shared" si="15"/>
        <v>0</v>
      </c>
      <c r="J52" s="242">
        <f t="shared" si="15"/>
        <v>0</v>
      </c>
      <c r="K52" s="243">
        <f t="shared" si="15"/>
        <v>-0.25700000000000145</v>
      </c>
      <c r="L52" s="243">
        <f t="shared" si="15"/>
        <v>0.45600000000015317</v>
      </c>
      <c r="M52" s="243">
        <f t="shared" si="15"/>
        <v>1.0000000001042508E-3</v>
      </c>
      <c r="N52" s="244">
        <f t="shared" si="15"/>
        <v>-9.9999999997422151E-3</v>
      </c>
      <c r="O52" s="244">
        <f t="shared" si="15"/>
        <v>1.000000000189516E-3</v>
      </c>
      <c r="P52" s="244">
        <f t="shared" si="15"/>
        <v>0.10329999999999018</v>
      </c>
      <c r="Q52" s="244">
        <f t="shared" si="15"/>
        <v>-0.45731499999988046</v>
      </c>
      <c r="R52" s="244">
        <f t="shared" si="15"/>
        <v>0.2854888500000925</v>
      </c>
      <c r="S52" s="243">
        <f t="shared" si="15"/>
        <v>-0.20650951949983209</v>
      </c>
    </row>
    <row r="53" spans="1:19" x14ac:dyDescent="0.2">
      <c r="A53" s="213"/>
      <c r="B53" s="196"/>
      <c r="C53" s="216"/>
      <c r="D53" s="216"/>
      <c r="E53" s="214"/>
      <c r="G53" s="252" t="s">
        <v>117</v>
      </c>
      <c r="H53" s="198"/>
      <c r="I53" s="198"/>
      <c r="J53" s="198"/>
      <c r="K53" s="198"/>
      <c r="L53" s="198"/>
      <c r="M53" s="198"/>
      <c r="N53" s="253"/>
      <c r="O53" s="253"/>
      <c r="P53" s="253"/>
      <c r="Q53" s="253"/>
      <c r="R53" s="253"/>
      <c r="S53" s="198"/>
    </row>
    <row r="54" spans="1:19" ht="12" x14ac:dyDescent="0.2">
      <c r="A54" s="213"/>
      <c r="B54" s="196"/>
      <c r="C54" s="216">
        <v>90</v>
      </c>
      <c r="D54" s="216"/>
      <c r="E54" s="217" t="s">
        <v>11</v>
      </c>
      <c r="G54" s="252" t="s">
        <v>118</v>
      </c>
      <c r="H54" s="211">
        <v>0</v>
      </c>
      <c r="I54" s="211">
        <v>0</v>
      </c>
      <c r="J54" s="211">
        <v>0</v>
      </c>
      <c r="K54" s="218">
        <v>0</v>
      </c>
      <c r="L54" s="218">
        <v>37</v>
      </c>
      <c r="M54" s="218">
        <v>33</v>
      </c>
      <c r="N54" s="219">
        <v>39</v>
      </c>
      <c r="O54" s="219">
        <v>39</v>
      </c>
      <c r="P54" s="219">
        <v>39</v>
      </c>
      <c r="Q54" s="219">
        <v>39</v>
      </c>
      <c r="R54" s="219">
        <v>39</v>
      </c>
      <c r="S54" s="218">
        <v>39</v>
      </c>
    </row>
    <row r="55" spans="1:19" ht="12" x14ac:dyDescent="0.2">
      <c r="A55" s="213"/>
      <c r="B55" s="196"/>
      <c r="C55" s="216"/>
      <c r="D55" s="216"/>
      <c r="E55" s="217" t="s">
        <v>11</v>
      </c>
      <c r="G55" s="252" t="s">
        <v>119</v>
      </c>
      <c r="H55" s="211"/>
      <c r="I55" s="211"/>
      <c r="J55" s="211"/>
      <c r="K55" s="218"/>
      <c r="L55" s="254"/>
      <c r="M55" s="254"/>
      <c r="N55" s="255"/>
      <c r="O55" s="255"/>
      <c r="P55" s="255"/>
      <c r="Q55" s="255"/>
      <c r="R55" s="255"/>
      <c r="S55" s="254"/>
    </row>
    <row r="56" spans="1:19" x14ac:dyDescent="0.2">
      <c r="A56" s="213"/>
      <c r="B56" s="196"/>
      <c r="C56" s="216"/>
      <c r="D56" s="216"/>
      <c r="E56" s="214"/>
      <c r="G56" s="256"/>
      <c r="H56" s="198"/>
      <c r="I56" s="198"/>
      <c r="J56" s="198"/>
      <c r="K56" s="198"/>
      <c r="L56" s="198"/>
      <c r="M56" s="198"/>
      <c r="N56" s="253"/>
      <c r="O56" s="253"/>
      <c r="P56" s="253"/>
      <c r="Q56" s="253"/>
      <c r="R56" s="253"/>
      <c r="S56" s="198"/>
    </row>
    <row r="57" spans="1:19" x14ac:dyDescent="0.2">
      <c r="A57" s="213"/>
      <c r="B57" s="196"/>
      <c r="C57" s="216"/>
      <c r="D57" s="257" t="s">
        <v>120</v>
      </c>
      <c r="E57" s="258" t="s">
        <v>3</v>
      </c>
      <c r="F57" s="214"/>
      <c r="G57" s="205" t="s">
        <v>121</v>
      </c>
      <c r="H57" s="245">
        <f t="shared" ref="H57:S57" si="16">H32</f>
        <v>2011</v>
      </c>
      <c r="I57" s="245">
        <f t="shared" si="16"/>
        <v>2012</v>
      </c>
      <c r="J57" s="245">
        <f t="shared" si="16"/>
        <v>2013</v>
      </c>
      <c r="K57" s="246">
        <f t="shared" si="16"/>
        <v>2014</v>
      </c>
      <c r="L57" s="246">
        <f t="shared" si="16"/>
        <v>2015</v>
      </c>
      <c r="M57" s="246">
        <f t="shared" si="16"/>
        <v>2016</v>
      </c>
      <c r="N57" s="247">
        <f t="shared" si="16"/>
        <v>2017</v>
      </c>
      <c r="O57" s="247">
        <f t="shared" si="16"/>
        <v>2018</v>
      </c>
      <c r="P57" s="247">
        <f t="shared" si="16"/>
        <v>2019</v>
      </c>
      <c r="Q57" s="247">
        <f t="shared" si="16"/>
        <v>2020</v>
      </c>
      <c r="R57" s="247">
        <f t="shared" si="16"/>
        <v>2021</v>
      </c>
      <c r="S57" s="246">
        <f t="shared" si="16"/>
        <v>2022</v>
      </c>
    </row>
    <row r="58" spans="1:19" ht="12" x14ac:dyDescent="0.2">
      <c r="A58" s="213"/>
      <c r="B58" s="259" t="s">
        <v>122</v>
      </c>
      <c r="C58" s="213" t="s">
        <v>123</v>
      </c>
      <c r="D58" s="260" t="s">
        <v>124</v>
      </c>
      <c r="E58" s="217" t="s">
        <v>476</v>
      </c>
      <c r="F58" s="220"/>
      <c r="G58" s="210" t="s">
        <v>125</v>
      </c>
      <c r="H58" s="211">
        <v>0</v>
      </c>
      <c r="I58" s="211">
        <v>0</v>
      </c>
      <c r="J58" s="211">
        <v>0</v>
      </c>
      <c r="K58" s="218">
        <v>0</v>
      </c>
      <c r="L58" s="218">
        <v>0</v>
      </c>
      <c r="M58" s="218">
        <v>0</v>
      </c>
      <c r="N58" s="219">
        <v>0</v>
      </c>
      <c r="O58" s="219">
        <v>0</v>
      </c>
      <c r="P58" s="219">
        <v>0</v>
      </c>
      <c r="Q58" s="219">
        <v>0</v>
      </c>
      <c r="R58" s="219">
        <v>0</v>
      </c>
      <c r="S58" s="218">
        <v>0</v>
      </c>
    </row>
    <row r="59" spans="1:19" ht="12" x14ac:dyDescent="0.2">
      <c r="A59" s="213"/>
      <c r="B59" s="259" t="s">
        <v>126</v>
      </c>
      <c r="C59" s="261" t="s">
        <v>127</v>
      </c>
      <c r="D59" s="260" t="s">
        <v>128</v>
      </c>
      <c r="E59" s="217" t="s">
        <v>11</v>
      </c>
      <c r="F59" s="220"/>
      <c r="G59" s="262" t="s">
        <v>129</v>
      </c>
      <c r="H59" s="211">
        <v>0</v>
      </c>
      <c r="I59" s="211">
        <v>0</v>
      </c>
      <c r="J59" s="211">
        <v>0.377</v>
      </c>
      <c r="K59" s="218">
        <v>0</v>
      </c>
      <c r="L59" s="218">
        <v>1.264</v>
      </c>
      <c r="M59" s="218">
        <v>0</v>
      </c>
      <c r="N59" s="219">
        <v>0</v>
      </c>
      <c r="O59" s="219">
        <v>0</v>
      </c>
      <c r="P59" s="219">
        <v>0</v>
      </c>
      <c r="Q59" s="219">
        <v>0</v>
      </c>
      <c r="R59" s="219">
        <v>0</v>
      </c>
      <c r="S59" s="218">
        <v>0</v>
      </c>
    </row>
    <row r="60" spans="1:19" ht="12" x14ac:dyDescent="0.2">
      <c r="A60" s="213"/>
      <c r="B60" s="259" t="s">
        <v>130</v>
      </c>
      <c r="C60" s="263" t="s">
        <v>372</v>
      </c>
      <c r="D60" s="260" t="s">
        <v>131</v>
      </c>
      <c r="E60" s="217" t="s">
        <v>11</v>
      </c>
      <c r="F60" s="220"/>
      <c r="G60" s="215" t="s">
        <v>132</v>
      </c>
      <c r="H60" s="211">
        <v>0</v>
      </c>
      <c r="I60" s="211">
        <v>0</v>
      </c>
      <c r="J60" s="211">
        <v>0</v>
      </c>
      <c r="K60" s="218">
        <v>0</v>
      </c>
      <c r="L60" s="218">
        <v>0</v>
      </c>
      <c r="M60" s="218">
        <v>0</v>
      </c>
      <c r="N60" s="219">
        <v>0</v>
      </c>
      <c r="O60" s="219">
        <v>0</v>
      </c>
      <c r="P60" s="219">
        <v>0</v>
      </c>
      <c r="Q60" s="219">
        <v>0</v>
      </c>
      <c r="R60" s="219">
        <v>0</v>
      </c>
      <c r="S60" s="218">
        <v>0</v>
      </c>
    </row>
    <row r="61" spans="1:19" ht="12" x14ac:dyDescent="0.2">
      <c r="A61" s="213"/>
      <c r="B61" s="259" t="s">
        <v>133</v>
      </c>
      <c r="C61" s="263" t="s">
        <v>134</v>
      </c>
      <c r="D61" s="263" t="s">
        <v>135</v>
      </c>
      <c r="E61" s="217" t="s">
        <v>476</v>
      </c>
      <c r="F61" s="220"/>
      <c r="G61" s="215" t="s">
        <v>136</v>
      </c>
      <c r="H61" s="211">
        <v>0</v>
      </c>
      <c r="I61" s="211">
        <v>0</v>
      </c>
      <c r="J61" s="211">
        <v>0</v>
      </c>
      <c r="K61" s="218">
        <v>0</v>
      </c>
      <c r="L61" s="218">
        <v>0</v>
      </c>
      <c r="M61" s="218">
        <v>0</v>
      </c>
      <c r="N61" s="219">
        <v>0</v>
      </c>
      <c r="O61" s="219">
        <v>0</v>
      </c>
      <c r="P61" s="219">
        <v>0</v>
      </c>
      <c r="Q61" s="219">
        <v>0</v>
      </c>
      <c r="R61" s="219">
        <v>0</v>
      </c>
      <c r="S61" s="218">
        <v>0</v>
      </c>
    </row>
    <row r="62" spans="1:19" ht="12" x14ac:dyDescent="0.2">
      <c r="A62" s="213"/>
      <c r="B62" s="259" t="s">
        <v>137</v>
      </c>
      <c r="C62" s="216">
        <v>253800</v>
      </c>
      <c r="D62" s="263" t="s">
        <v>131</v>
      </c>
      <c r="E62" s="217" t="s">
        <v>11</v>
      </c>
      <c r="F62" s="220"/>
      <c r="G62" s="215" t="s">
        <v>138</v>
      </c>
      <c r="H62" s="211">
        <v>0</v>
      </c>
      <c r="I62" s="211">
        <v>0</v>
      </c>
      <c r="J62" s="211">
        <v>0</v>
      </c>
      <c r="K62" s="218">
        <v>0</v>
      </c>
      <c r="L62" s="218">
        <v>0</v>
      </c>
      <c r="M62" s="218">
        <v>0</v>
      </c>
      <c r="N62" s="219">
        <v>0</v>
      </c>
      <c r="O62" s="219">
        <v>0</v>
      </c>
      <c r="P62" s="219">
        <v>0</v>
      </c>
      <c r="Q62" s="219">
        <v>0</v>
      </c>
      <c r="R62" s="219">
        <v>0</v>
      </c>
      <c r="S62" s="218">
        <v>0</v>
      </c>
    </row>
    <row r="63" spans="1:19" ht="12" x14ac:dyDescent="0.2">
      <c r="A63" s="213"/>
      <c r="B63" s="259" t="s">
        <v>139</v>
      </c>
      <c r="C63" s="216">
        <v>150</v>
      </c>
      <c r="D63" s="263" t="s">
        <v>135</v>
      </c>
      <c r="E63" s="217" t="s">
        <v>476</v>
      </c>
      <c r="F63" s="220"/>
      <c r="G63" s="215" t="s">
        <v>140</v>
      </c>
      <c r="H63" s="211">
        <v>0</v>
      </c>
      <c r="I63" s="211">
        <v>0</v>
      </c>
      <c r="J63" s="211">
        <v>0</v>
      </c>
      <c r="K63" s="218">
        <v>0</v>
      </c>
      <c r="L63" s="218">
        <v>0</v>
      </c>
      <c r="M63" s="218">
        <v>0</v>
      </c>
      <c r="N63" s="219">
        <v>0</v>
      </c>
      <c r="O63" s="219">
        <v>0</v>
      </c>
      <c r="P63" s="219">
        <v>0</v>
      </c>
      <c r="Q63" s="219">
        <v>0</v>
      </c>
      <c r="R63" s="219">
        <v>0</v>
      </c>
      <c r="S63" s="218">
        <v>0</v>
      </c>
    </row>
    <row r="64" spans="1:19" ht="12" x14ac:dyDescent="0.2">
      <c r="A64" s="213"/>
      <c r="B64" s="259" t="s">
        <v>141</v>
      </c>
      <c r="C64" s="263" t="s">
        <v>142</v>
      </c>
      <c r="D64" s="263" t="s">
        <v>131</v>
      </c>
      <c r="E64" s="217" t="s">
        <v>11</v>
      </c>
      <c r="F64" s="220"/>
      <c r="G64" s="215" t="s">
        <v>143</v>
      </c>
      <c r="H64" s="211">
        <v>0</v>
      </c>
      <c r="I64" s="211">
        <v>0</v>
      </c>
      <c r="J64" s="211">
        <v>0</v>
      </c>
      <c r="K64" s="218">
        <v>0</v>
      </c>
      <c r="L64" s="218">
        <v>0</v>
      </c>
      <c r="M64" s="218">
        <v>0</v>
      </c>
      <c r="N64" s="219">
        <v>0</v>
      </c>
      <c r="O64" s="219">
        <v>0</v>
      </c>
      <c r="P64" s="219">
        <v>0</v>
      </c>
      <c r="Q64" s="219">
        <v>0</v>
      </c>
      <c r="R64" s="219">
        <v>0</v>
      </c>
      <c r="S64" s="218">
        <v>0</v>
      </c>
    </row>
    <row r="65" spans="1:19" ht="12" x14ac:dyDescent="0.2">
      <c r="A65" s="213"/>
      <c r="B65" s="259" t="s">
        <v>144</v>
      </c>
      <c r="C65" s="213" t="s">
        <v>373</v>
      </c>
      <c r="D65" s="263" t="s">
        <v>135</v>
      </c>
      <c r="E65" s="217" t="s">
        <v>476</v>
      </c>
      <c r="F65" s="220"/>
      <c r="G65" s="215" t="s">
        <v>145</v>
      </c>
      <c r="H65" s="211">
        <v>0</v>
      </c>
      <c r="I65" s="211">
        <v>0</v>
      </c>
      <c r="J65" s="211">
        <v>0</v>
      </c>
      <c r="K65" s="218">
        <v>0</v>
      </c>
      <c r="L65" s="218">
        <v>0</v>
      </c>
      <c r="M65" s="218">
        <v>0</v>
      </c>
      <c r="N65" s="219">
        <v>0</v>
      </c>
      <c r="O65" s="219">
        <v>0</v>
      </c>
      <c r="P65" s="219">
        <v>0</v>
      </c>
      <c r="Q65" s="219">
        <v>0</v>
      </c>
      <c r="R65" s="219">
        <v>0</v>
      </c>
      <c r="S65" s="218">
        <v>0</v>
      </c>
    </row>
    <row r="66" spans="1:19" ht="12" x14ac:dyDescent="0.2">
      <c r="A66" s="213"/>
      <c r="B66" s="259" t="s">
        <v>146</v>
      </c>
      <c r="C66" s="213" t="s">
        <v>373</v>
      </c>
      <c r="D66" s="263" t="s">
        <v>131</v>
      </c>
      <c r="E66" s="217" t="s">
        <v>11</v>
      </c>
      <c r="F66" s="220"/>
      <c r="G66" s="215" t="s">
        <v>147</v>
      </c>
      <c r="H66" s="211">
        <v>0</v>
      </c>
      <c r="I66" s="211">
        <v>0</v>
      </c>
      <c r="J66" s="211">
        <v>0</v>
      </c>
      <c r="K66" s="218">
        <v>0</v>
      </c>
      <c r="L66" s="218">
        <v>0</v>
      </c>
      <c r="M66" s="218">
        <v>0</v>
      </c>
      <c r="N66" s="219">
        <v>0</v>
      </c>
      <c r="O66" s="219">
        <v>0</v>
      </c>
      <c r="P66" s="219">
        <v>0</v>
      </c>
      <c r="Q66" s="219">
        <v>0</v>
      </c>
      <c r="R66" s="219">
        <v>0</v>
      </c>
      <c r="S66" s="218">
        <v>0</v>
      </c>
    </row>
    <row r="67" spans="1:19" ht="12" x14ac:dyDescent="0.2">
      <c r="A67" s="213"/>
      <c r="B67" s="259" t="s">
        <v>148</v>
      </c>
      <c r="C67" s="213" t="s">
        <v>149</v>
      </c>
      <c r="D67" s="263" t="s">
        <v>135</v>
      </c>
      <c r="E67" s="217" t="s">
        <v>476</v>
      </c>
      <c r="F67" s="220"/>
      <c r="G67" s="215" t="s">
        <v>150</v>
      </c>
      <c r="H67" s="211">
        <v>0</v>
      </c>
      <c r="I67" s="211">
        <v>0</v>
      </c>
      <c r="J67" s="211">
        <v>0</v>
      </c>
      <c r="K67" s="218">
        <v>0</v>
      </c>
      <c r="L67" s="218">
        <v>0</v>
      </c>
      <c r="M67" s="218">
        <v>0</v>
      </c>
      <c r="N67" s="219">
        <v>0</v>
      </c>
      <c r="O67" s="219">
        <v>0</v>
      </c>
      <c r="P67" s="219">
        <v>0</v>
      </c>
      <c r="Q67" s="219">
        <v>0</v>
      </c>
      <c r="R67" s="219">
        <v>0</v>
      </c>
      <c r="S67" s="218">
        <v>0</v>
      </c>
    </row>
    <row r="68" spans="1:19" ht="12" x14ac:dyDescent="0.2">
      <c r="A68" s="213"/>
      <c r="B68" s="259" t="s">
        <v>151</v>
      </c>
      <c r="C68" s="213" t="s">
        <v>149</v>
      </c>
      <c r="D68" s="263" t="s">
        <v>131</v>
      </c>
      <c r="E68" s="217" t="s">
        <v>11</v>
      </c>
      <c r="F68" s="220"/>
      <c r="G68" s="215" t="s">
        <v>152</v>
      </c>
      <c r="H68" s="211">
        <v>0</v>
      </c>
      <c r="I68" s="211">
        <v>0</v>
      </c>
      <c r="J68" s="211">
        <v>0</v>
      </c>
      <c r="K68" s="218">
        <v>0</v>
      </c>
      <c r="L68" s="218">
        <v>0</v>
      </c>
      <c r="M68" s="218">
        <v>0</v>
      </c>
      <c r="N68" s="219">
        <v>0</v>
      </c>
      <c r="O68" s="219">
        <v>0</v>
      </c>
      <c r="P68" s="219">
        <v>0</v>
      </c>
      <c r="Q68" s="219">
        <v>0</v>
      </c>
      <c r="R68" s="219">
        <v>0</v>
      </c>
      <c r="S68" s="218">
        <v>0</v>
      </c>
    </row>
    <row r="69" spans="1:19" ht="12" x14ac:dyDescent="0.2">
      <c r="A69" s="213"/>
      <c r="B69" s="259" t="s">
        <v>153</v>
      </c>
      <c r="C69" s="263" t="s">
        <v>142</v>
      </c>
      <c r="D69" s="263" t="s">
        <v>131</v>
      </c>
      <c r="E69" s="217" t="s">
        <v>11</v>
      </c>
      <c r="F69" s="220"/>
      <c r="G69" s="215" t="s">
        <v>154</v>
      </c>
      <c r="H69" s="211">
        <v>0</v>
      </c>
      <c r="I69" s="211">
        <v>0</v>
      </c>
      <c r="J69" s="211">
        <v>0</v>
      </c>
      <c r="K69" s="218">
        <v>0</v>
      </c>
      <c r="L69" s="218">
        <v>0</v>
      </c>
      <c r="M69" s="218">
        <v>0</v>
      </c>
      <c r="N69" s="219">
        <v>0</v>
      </c>
      <c r="O69" s="219">
        <v>0</v>
      </c>
      <c r="P69" s="219">
        <v>0</v>
      </c>
      <c r="Q69" s="219">
        <v>0</v>
      </c>
      <c r="R69" s="219">
        <v>0</v>
      </c>
      <c r="S69" s="218">
        <v>0</v>
      </c>
    </row>
    <row r="70" spans="1:19" ht="12" x14ac:dyDescent="0.2">
      <c r="A70" s="213"/>
      <c r="B70" s="259" t="s">
        <v>155</v>
      </c>
      <c r="C70" s="264" t="s">
        <v>156</v>
      </c>
      <c r="D70" s="213"/>
      <c r="E70" s="217" t="s">
        <v>475</v>
      </c>
      <c r="F70" s="220"/>
      <c r="G70" s="215" t="s">
        <v>107</v>
      </c>
      <c r="H70" s="211">
        <v>0</v>
      </c>
      <c r="I70" s="211">
        <v>0</v>
      </c>
      <c r="J70" s="211">
        <v>0</v>
      </c>
      <c r="K70" s="218">
        <v>0</v>
      </c>
      <c r="L70" s="218">
        <v>0.33400000000000002</v>
      </c>
      <c r="M70" s="218">
        <v>0.48799999999999999</v>
      </c>
      <c r="N70" s="219">
        <v>0</v>
      </c>
      <c r="O70" s="219">
        <v>0</v>
      </c>
      <c r="P70" s="219">
        <v>0</v>
      </c>
      <c r="Q70" s="219">
        <v>0</v>
      </c>
      <c r="R70" s="219">
        <v>0</v>
      </c>
      <c r="S70" s="218">
        <v>0</v>
      </c>
    </row>
    <row r="71" spans="1:19" x14ac:dyDescent="0.2">
      <c r="A71" s="213"/>
      <c r="B71" s="259" t="s">
        <v>157</v>
      </c>
      <c r="C71" s="216"/>
      <c r="D71" s="213"/>
      <c r="E71" s="220"/>
      <c r="F71" s="220"/>
      <c r="G71" s="265" t="s">
        <v>158</v>
      </c>
      <c r="H71" s="211">
        <f t="shared" ref="H71:S71" si="17">SUM(H58:H70)</f>
        <v>0</v>
      </c>
      <c r="I71" s="211">
        <f t="shared" si="17"/>
        <v>0</v>
      </c>
      <c r="J71" s="211">
        <f t="shared" si="17"/>
        <v>0.377</v>
      </c>
      <c r="K71" s="212">
        <f t="shared" si="17"/>
        <v>0</v>
      </c>
      <c r="L71" s="212">
        <f t="shared" si="17"/>
        <v>1.5980000000000001</v>
      </c>
      <c r="M71" s="212">
        <f t="shared" si="17"/>
        <v>0.48799999999999999</v>
      </c>
      <c r="N71" s="223">
        <f t="shared" si="17"/>
        <v>0</v>
      </c>
      <c r="O71" s="223">
        <f t="shared" si="17"/>
        <v>0</v>
      </c>
      <c r="P71" s="223">
        <f t="shared" si="17"/>
        <v>0</v>
      </c>
      <c r="Q71" s="223">
        <f t="shared" si="17"/>
        <v>0</v>
      </c>
      <c r="R71" s="223">
        <f t="shared" si="17"/>
        <v>0</v>
      </c>
      <c r="S71" s="212">
        <f t="shared" si="17"/>
        <v>0</v>
      </c>
    </row>
    <row r="72" spans="1:19" x14ac:dyDescent="0.2">
      <c r="A72" s="213"/>
      <c r="B72" s="196"/>
      <c r="C72" s="216"/>
      <c r="D72" s="213"/>
      <c r="E72" s="214"/>
      <c r="G72" s="256"/>
      <c r="H72" s="198"/>
      <c r="I72" s="198"/>
      <c r="J72" s="198"/>
      <c r="K72" s="198"/>
      <c r="L72" s="198"/>
      <c r="M72" s="198"/>
      <c r="N72" s="253"/>
      <c r="O72" s="253"/>
      <c r="P72" s="253"/>
      <c r="Q72" s="253"/>
      <c r="R72" s="253"/>
      <c r="S72" s="198"/>
    </row>
    <row r="73" spans="1:19" x14ac:dyDescent="0.2">
      <c r="A73" s="213"/>
      <c r="B73" s="196"/>
      <c r="C73" s="216"/>
      <c r="D73" s="257" t="s">
        <v>120</v>
      </c>
      <c r="E73" s="258" t="s">
        <v>3</v>
      </c>
      <c r="F73" s="214"/>
      <c r="G73" s="205" t="s">
        <v>159</v>
      </c>
      <c r="H73" s="245">
        <f t="shared" ref="H73:S73" si="18">H57</f>
        <v>2011</v>
      </c>
      <c r="I73" s="245">
        <f t="shared" si="18"/>
        <v>2012</v>
      </c>
      <c r="J73" s="245">
        <f t="shared" si="18"/>
        <v>2013</v>
      </c>
      <c r="K73" s="246">
        <f t="shared" si="18"/>
        <v>2014</v>
      </c>
      <c r="L73" s="246">
        <f t="shared" si="18"/>
        <v>2015</v>
      </c>
      <c r="M73" s="246">
        <f t="shared" si="18"/>
        <v>2016</v>
      </c>
      <c r="N73" s="247">
        <f t="shared" si="18"/>
        <v>2017</v>
      </c>
      <c r="O73" s="247">
        <f t="shared" si="18"/>
        <v>2018</v>
      </c>
      <c r="P73" s="247">
        <f t="shared" si="18"/>
        <v>2019</v>
      </c>
      <c r="Q73" s="247">
        <f t="shared" si="18"/>
        <v>2020</v>
      </c>
      <c r="R73" s="247">
        <f t="shared" si="18"/>
        <v>2021</v>
      </c>
      <c r="S73" s="246">
        <f t="shared" si="18"/>
        <v>2022</v>
      </c>
    </row>
    <row r="74" spans="1:19" ht="12" x14ac:dyDescent="0.2">
      <c r="A74" s="213"/>
      <c r="B74" s="196" t="s">
        <v>160</v>
      </c>
      <c r="C74" s="263" t="s">
        <v>161</v>
      </c>
      <c r="D74" s="263" t="s">
        <v>128</v>
      </c>
      <c r="E74" s="217" t="s">
        <v>11</v>
      </c>
      <c r="G74" s="210" t="s">
        <v>162</v>
      </c>
      <c r="H74" s="211">
        <v>0</v>
      </c>
      <c r="I74" s="211">
        <v>0</v>
      </c>
      <c r="J74" s="211">
        <v>0</v>
      </c>
      <c r="K74" s="218">
        <v>0</v>
      </c>
      <c r="L74" s="218">
        <v>0</v>
      </c>
      <c r="M74" s="218">
        <v>0</v>
      </c>
      <c r="N74" s="219">
        <v>0</v>
      </c>
      <c r="O74" s="219">
        <v>0</v>
      </c>
      <c r="P74" s="219">
        <v>0</v>
      </c>
      <c r="Q74" s="219">
        <v>0</v>
      </c>
      <c r="R74" s="219">
        <v>0</v>
      </c>
      <c r="S74" s="218">
        <v>0</v>
      </c>
    </row>
    <row r="75" spans="1:19" ht="12" x14ac:dyDescent="0.2">
      <c r="A75" s="213"/>
      <c r="B75" s="196" t="s">
        <v>163</v>
      </c>
      <c r="C75" s="263" t="s">
        <v>161</v>
      </c>
      <c r="D75" s="263" t="s">
        <v>124</v>
      </c>
      <c r="E75" s="217" t="s">
        <v>476</v>
      </c>
      <c r="F75" s="220"/>
      <c r="G75" s="215" t="s">
        <v>164</v>
      </c>
      <c r="H75" s="211">
        <v>0</v>
      </c>
      <c r="I75" s="211">
        <v>0</v>
      </c>
      <c r="J75" s="211">
        <v>0</v>
      </c>
      <c r="K75" s="218">
        <v>0</v>
      </c>
      <c r="L75" s="218">
        <v>0</v>
      </c>
      <c r="M75" s="218">
        <v>0</v>
      </c>
      <c r="N75" s="219">
        <v>0</v>
      </c>
      <c r="O75" s="219">
        <v>0</v>
      </c>
      <c r="P75" s="219">
        <v>0</v>
      </c>
      <c r="Q75" s="219">
        <v>0</v>
      </c>
      <c r="R75" s="219">
        <v>0</v>
      </c>
      <c r="S75" s="218">
        <v>0</v>
      </c>
    </row>
    <row r="76" spans="1:19" ht="12" x14ac:dyDescent="0.2">
      <c r="A76" s="213"/>
      <c r="B76" s="196" t="s">
        <v>165</v>
      </c>
      <c r="C76" s="263" t="s">
        <v>166</v>
      </c>
      <c r="D76" s="263" t="s">
        <v>131</v>
      </c>
      <c r="E76" s="217" t="s">
        <v>11</v>
      </c>
      <c r="G76" s="215" t="s">
        <v>167</v>
      </c>
      <c r="H76" s="211">
        <v>0</v>
      </c>
      <c r="I76" s="211">
        <v>0</v>
      </c>
      <c r="J76" s="211">
        <v>0</v>
      </c>
      <c r="K76" s="218">
        <v>0</v>
      </c>
      <c r="L76" s="218">
        <v>0</v>
      </c>
      <c r="M76" s="218">
        <v>0</v>
      </c>
      <c r="N76" s="219">
        <v>0</v>
      </c>
      <c r="O76" s="219">
        <v>0</v>
      </c>
      <c r="P76" s="219">
        <v>0</v>
      </c>
      <c r="Q76" s="219">
        <v>0</v>
      </c>
      <c r="R76" s="219">
        <v>0</v>
      </c>
      <c r="S76" s="218">
        <v>0</v>
      </c>
    </row>
    <row r="77" spans="1:19" ht="12" x14ac:dyDescent="0.2">
      <c r="A77" s="213"/>
      <c r="B77" s="196" t="s">
        <v>168</v>
      </c>
      <c r="C77" s="263" t="s">
        <v>166</v>
      </c>
      <c r="D77" s="263" t="s">
        <v>135</v>
      </c>
      <c r="E77" s="217" t="s">
        <v>476</v>
      </c>
      <c r="F77" s="220"/>
      <c r="G77" s="215" t="s">
        <v>169</v>
      </c>
      <c r="H77" s="211">
        <v>0</v>
      </c>
      <c r="I77" s="211">
        <v>0</v>
      </c>
      <c r="J77" s="211">
        <v>0</v>
      </c>
      <c r="K77" s="218">
        <v>0</v>
      </c>
      <c r="L77" s="218">
        <v>0</v>
      </c>
      <c r="M77" s="218">
        <v>0</v>
      </c>
      <c r="N77" s="219">
        <v>0</v>
      </c>
      <c r="O77" s="219">
        <v>0</v>
      </c>
      <c r="P77" s="219">
        <v>0</v>
      </c>
      <c r="Q77" s="219">
        <v>0</v>
      </c>
      <c r="R77" s="219">
        <v>0</v>
      </c>
      <c r="S77" s="218">
        <v>0</v>
      </c>
    </row>
    <row r="78" spans="1:19" ht="12" x14ac:dyDescent="0.2">
      <c r="A78" s="213"/>
      <c r="B78" s="196" t="s">
        <v>170</v>
      </c>
      <c r="C78" s="263" t="s">
        <v>171</v>
      </c>
      <c r="D78" s="263" t="s">
        <v>135</v>
      </c>
      <c r="E78" s="217" t="s">
        <v>476</v>
      </c>
      <c r="F78" s="220"/>
      <c r="G78" s="215" t="s">
        <v>172</v>
      </c>
      <c r="H78" s="211">
        <v>0</v>
      </c>
      <c r="I78" s="211">
        <v>0</v>
      </c>
      <c r="J78" s="211">
        <v>0</v>
      </c>
      <c r="K78" s="218">
        <v>0</v>
      </c>
      <c r="L78" s="218">
        <v>0</v>
      </c>
      <c r="M78" s="218">
        <v>0</v>
      </c>
      <c r="N78" s="219">
        <v>0</v>
      </c>
      <c r="O78" s="219">
        <v>0</v>
      </c>
      <c r="P78" s="219">
        <v>0</v>
      </c>
      <c r="Q78" s="219">
        <v>0</v>
      </c>
      <c r="R78" s="219">
        <v>0</v>
      </c>
      <c r="S78" s="218">
        <v>0</v>
      </c>
    </row>
    <row r="79" spans="1:19" ht="12" x14ac:dyDescent="0.2">
      <c r="A79" s="213"/>
      <c r="B79" s="196" t="s">
        <v>173</v>
      </c>
      <c r="C79" s="263" t="s">
        <v>174</v>
      </c>
      <c r="D79" s="263" t="s">
        <v>135</v>
      </c>
      <c r="E79" s="217" t="s">
        <v>476</v>
      </c>
      <c r="F79" s="220"/>
      <c r="G79" s="215" t="s">
        <v>175</v>
      </c>
      <c r="H79" s="211">
        <v>0</v>
      </c>
      <c r="I79" s="211">
        <v>0</v>
      </c>
      <c r="J79" s="211">
        <v>0</v>
      </c>
      <c r="K79" s="218">
        <v>0</v>
      </c>
      <c r="L79" s="218">
        <v>0</v>
      </c>
      <c r="M79" s="218">
        <v>0</v>
      </c>
      <c r="N79" s="219">
        <v>0</v>
      </c>
      <c r="O79" s="219">
        <v>0</v>
      </c>
      <c r="P79" s="219">
        <v>0</v>
      </c>
      <c r="Q79" s="219">
        <v>0</v>
      </c>
      <c r="R79" s="219">
        <v>0</v>
      </c>
      <c r="S79" s="218">
        <v>0</v>
      </c>
    </row>
    <row r="80" spans="1:19" ht="12" x14ac:dyDescent="0.2">
      <c r="A80" s="213"/>
      <c r="B80" s="196" t="s">
        <v>176</v>
      </c>
      <c r="C80" s="263" t="s">
        <v>177</v>
      </c>
      <c r="D80" s="263" t="s">
        <v>135</v>
      </c>
      <c r="E80" s="217" t="s">
        <v>476</v>
      </c>
      <c r="F80" s="220"/>
      <c r="G80" s="215" t="s">
        <v>178</v>
      </c>
      <c r="H80" s="211">
        <v>0</v>
      </c>
      <c r="I80" s="211">
        <v>0</v>
      </c>
      <c r="J80" s="211">
        <v>0</v>
      </c>
      <c r="K80" s="218">
        <v>0</v>
      </c>
      <c r="L80" s="218">
        <v>0</v>
      </c>
      <c r="M80" s="218">
        <v>0</v>
      </c>
      <c r="N80" s="219">
        <v>0</v>
      </c>
      <c r="O80" s="219">
        <v>0</v>
      </c>
      <c r="P80" s="219">
        <v>0</v>
      </c>
      <c r="Q80" s="219">
        <v>0</v>
      </c>
      <c r="R80" s="219">
        <v>0</v>
      </c>
      <c r="S80" s="218">
        <v>0</v>
      </c>
    </row>
    <row r="81" spans="1:19" ht="12" x14ac:dyDescent="0.2">
      <c r="A81" s="213"/>
      <c r="B81" s="196" t="s">
        <v>179</v>
      </c>
      <c r="C81" s="263" t="s">
        <v>52</v>
      </c>
      <c r="D81" s="263" t="s">
        <v>135</v>
      </c>
      <c r="E81" s="217" t="s">
        <v>476</v>
      </c>
      <c r="F81" s="220"/>
      <c r="G81" s="215" t="s">
        <v>180</v>
      </c>
      <c r="H81" s="211">
        <v>0</v>
      </c>
      <c r="I81" s="211">
        <v>0</v>
      </c>
      <c r="J81" s="211">
        <v>0</v>
      </c>
      <c r="K81" s="218">
        <v>0</v>
      </c>
      <c r="L81" s="218">
        <v>0</v>
      </c>
      <c r="M81" s="218">
        <v>0</v>
      </c>
      <c r="N81" s="219">
        <v>0</v>
      </c>
      <c r="O81" s="219">
        <v>0</v>
      </c>
      <c r="P81" s="219">
        <v>0</v>
      </c>
      <c r="Q81" s="219">
        <v>0</v>
      </c>
      <c r="R81" s="219">
        <v>0</v>
      </c>
      <c r="S81" s="218">
        <v>0</v>
      </c>
    </row>
    <row r="82" spans="1:19" ht="12" x14ac:dyDescent="0.2">
      <c r="A82" s="213"/>
      <c r="B82" s="196" t="s">
        <v>181</v>
      </c>
      <c r="C82" s="263" t="s">
        <v>182</v>
      </c>
      <c r="D82" s="263" t="s">
        <v>131</v>
      </c>
      <c r="E82" s="217" t="s">
        <v>11</v>
      </c>
      <c r="G82" s="215" t="s">
        <v>183</v>
      </c>
      <c r="H82" s="211">
        <v>0</v>
      </c>
      <c r="I82" s="211">
        <v>0</v>
      </c>
      <c r="J82" s="211">
        <v>0</v>
      </c>
      <c r="K82" s="218">
        <v>0</v>
      </c>
      <c r="L82" s="218">
        <v>0</v>
      </c>
      <c r="M82" s="218">
        <v>0</v>
      </c>
      <c r="N82" s="219">
        <v>0</v>
      </c>
      <c r="O82" s="219">
        <v>0</v>
      </c>
      <c r="P82" s="219">
        <v>0</v>
      </c>
      <c r="Q82" s="219">
        <v>0</v>
      </c>
      <c r="R82" s="219">
        <v>0</v>
      </c>
      <c r="S82" s="218">
        <v>0</v>
      </c>
    </row>
    <row r="83" spans="1:19" ht="12" x14ac:dyDescent="0.2">
      <c r="A83" s="213"/>
      <c r="B83" s="196" t="s">
        <v>184</v>
      </c>
      <c r="C83" s="263" t="s">
        <v>182</v>
      </c>
      <c r="D83" s="263" t="s">
        <v>135</v>
      </c>
      <c r="E83" s="217" t="s">
        <v>476</v>
      </c>
      <c r="F83" s="220"/>
      <c r="G83" s="215" t="s">
        <v>374</v>
      </c>
      <c r="H83" s="211">
        <v>0</v>
      </c>
      <c r="I83" s="211">
        <v>0</v>
      </c>
      <c r="J83" s="211">
        <v>0</v>
      </c>
      <c r="K83" s="218">
        <v>0</v>
      </c>
      <c r="L83" s="218">
        <v>0</v>
      </c>
      <c r="M83" s="218">
        <v>0</v>
      </c>
      <c r="N83" s="219">
        <v>0</v>
      </c>
      <c r="O83" s="219">
        <v>0</v>
      </c>
      <c r="P83" s="219">
        <v>0</v>
      </c>
      <c r="Q83" s="219">
        <v>0</v>
      </c>
      <c r="R83" s="219">
        <v>0</v>
      </c>
      <c r="S83" s="218">
        <v>0</v>
      </c>
    </row>
    <row r="84" spans="1:19" ht="12" x14ac:dyDescent="0.2">
      <c r="A84" s="213"/>
      <c r="B84" s="196" t="s">
        <v>185</v>
      </c>
      <c r="C84" s="263" t="s">
        <v>375</v>
      </c>
      <c r="D84" s="263" t="s">
        <v>135</v>
      </c>
      <c r="E84" s="217" t="s">
        <v>476</v>
      </c>
      <c r="F84" s="220"/>
      <c r="G84" s="215" t="s">
        <v>376</v>
      </c>
      <c r="H84" s="211">
        <v>0</v>
      </c>
      <c r="I84" s="211">
        <v>0</v>
      </c>
      <c r="J84" s="211">
        <v>0</v>
      </c>
      <c r="K84" s="218">
        <v>0</v>
      </c>
      <c r="L84" s="218">
        <v>0</v>
      </c>
      <c r="M84" s="218">
        <v>0</v>
      </c>
      <c r="N84" s="219">
        <v>0</v>
      </c>
      <c r="O84" s="219">
        <v>0</v>
      </c>
      <c r="P84" s="219">
        <v>0</v>
      </c>
      <c r="Q84" s="219">
        <v>0</v>
      </c>
      <c r="R84" s="219">
        <v>0</v>
      </c>
      <c r="S84" s="218">
        <v>0</v>
      </c>
    </row>
    <row r="85" spans="1:19" ht="12" x14ac:dyDescent="0.2">
      <c r="A85" s="213"/>
      <c r="B85" s="196" t="s">
        <v>186</v>
      </c>
      <c r="C85" s="266">
        <v>68</v>
      </c>
      <c r="D85" s="263" t="s">
        <v>135</v>
      </c>
      <c r="E85" s="217" t="s">
        <v>476</v>
      </c>
      <c r="F85" s="220"/>
      <c r="G85" s="267" t="s">
        <v>111</v>
      </c>
      <c r="H85" s="211">
        <v>0</v>
      </c>
      <c r="I85" s="211">
        <v>0</v>
      </c>
      <c r="J85" s="211">
        <v>0</v>
      </c>
      <c r="K85" s="218">
        <v>0</v>
      </c>
      <c r="L85" s="218">
        <v>0</v>
      </c>
      <c r="M85" s="218">
        <v>0</v>
      </c>
      <c r="N85" s="219">
        <v>0</v>
      </c>
      <c r="O85" s="219">
        <v>0</v>
      </c>
      <c r="P85" s="219">
        <v>0</v>
      </c>
      <c r="Q85" s="219">
        <v>0</v>
      </c>
      <c r="R85" s="219">
        <v>0</v>
      </c>
      <c r="S85" s="218">
        <v>0</v>
      </c>
    </row>
    <row r="86" spans="1:19" x14ac:dyDescent="0.2">
      <c r="A86" s="213"/>
      <c r="B86" s="196" t="s">
        <v>377</v>
      </c>
      <c r="C86" s="216"/>
      <c r="D86" s="216"/>
      <c r="E86" s="214"/>
      <c r="G86" s="267" t="s">
        <v>158</v>
      </c>
      <c r="H86" s="211">
        <f t="shared" ref="H86:S86" si="19">SUM(H74:H85)</f>
        <v>0</v>
      </c>
      <c r="I86" s="211">
        <f t="shared" si="19"/>
        <v>0</v>
      </c>
      <c r="J86" s="211">
        <f t="shared" si="19"/>
        <v>0</v>
      </c>
      <c r="K86" s="212">
        <f t="shared" si="19"/>
        <v>0</v>
      </c>
      <c r="L86" s="212">
        <f t="shared" si="19"/>
        <v>0</v>
      </c>
      <c r="M86" s="212">
        <f t="shared" si="19"/>
        <v>0</v>
      </c>
      <c r="N86" s="212">
        <f t="shared" si="19"/>
        <v>0</v>
      </c>
      <c r="O86" s="212">
        <f t="shared" si="19"/>
        <v>0</v>
      </c>
      <c r="P86" s="212">
        <f t="shared" si="19"/>
        <v>0</v>
      </c>
      <c r="Q86" s="212">
        <f t="shared" si="19"/>
        <v>0</v>
      </c>
      <c r="R86" s="212">
        <f t="shared" si="19"/>
        <v>0</v>
      </c>
      <c r="S86" s="212">
        <f t="shared" si="19"/>
        <v>0</v>
      </c>
    </row>
    <row r="87" spans="1:19" s="253" customFormat="1" x14ac:dyDescent="0.2">
      <c r="A87" s="213"/>
      <c r="B87" s="196" t="s">
        <v>378</v>
      </c>
      <c r="C87" s="216"/>
      <c r="D87" s="216"/>
      <c r="E87" s="214"/>
      <c r="F87" s="213"/>
      <c r="G87" s="268" t="s">
        <v>379</v>
      </c>
      <c r="H87" s="269"/>
      <c r="I87" s="270">
        <f t="shared" ref="I87:S87" si="20">(I14+I15)-(H14+H15-I58-I59+I45)</f>
        <v>0</v>
      </c>
      <c r="J87" s="270">
        <f t="shared" si="20"/>
        <v>0.377</v>
      </c>
      <c r="K87" s="244">
        <f t="shared" si="20"/>
        <v>15.212999999999999</v>
      </c>
      <c r="L87" s="244">
        <f t="shared" si="20"/>
        <v>1.2640000000000011</v>
      </c>
      <c r="M87" s="244">
        <f t="shared" si="20"/>
        <v>-9.9999999999944578E-4</v>
      </c>
      <c r="N87" s="244">
        <f t="shared" si="20"/>
        <v>0</v>
      </c>
      <c r="O87" s="244">
        <f t="shared" si="20"/>
        <v>0</v>
      </c>
      <c r="P87" s="244">
        <f t="shared" si="20"/>
        <v>0</v>
      </c>
      <c r="Q87" s="244">
        <f t="shared" si="20"/>
        <v>0</v>
      </c>
      <c r="R87" s="244">
        <f t="shared" si="20"/>
        <v>0</v>
      </c>
      <c r="S87" s="244">
        <f t="shared" si="20"/>
        <v>0</v>
      </c>
    </row>
    <row r="88" spans="1:19" s="253" customFormat="1" x14ac:dyDescent="0.2">
      <c r="A88" s="213"/>
      <c r="B88" s="196" t="s">
        <v>380</v>
      </c>
      <c r="C88" s="216"/>
      <c r="D88" s="216"/>
      <c r="E88" s="214"/>
      <c r="F88" s="213"/>
      <c r="G88" s="268" t="s">
        <v>381</v>
      </c>
      <c r="H88" s="269"/>
      <c r="I88" s="270">
        <f>I24-(H24+(I74+I76)+(I75+I77)+(I78))</f>
        <v>0</v>
      </c>
      <c r="J88" s="270">
        <f>J24-(I24+(J74+J76)+(J75+J77)+(J78))</f>
        <v>0</v>
      </c>
      <c r="K88" s="244">
        <f>K24-(J24+(K74+K76)+(K75+K77)+(K78))</f>
        <v>0</v>
      </c>
      <c r="L88" s="244">
        <f>L24-(K24+(L74+L76)+(L75+L77)+(L78))</f>
        <v>0</v>
      </c>
      <c r="M88" s="244">
        <f>M24-(L24+(M74+M76)+(M75+M77)+(M78))</f>
        <v>0</v>
      </c>
      <c r="N88" s="244">
        <f t="shared" ref="N88:S88" si="21">N24-(M24+(N74+N76)+(N75+N77)+(N78))</f>
        <v>0</v>
      </c>
      <c r="O88" s="244">
        <f t="shared" si="21"/>
        <v>0</v>
      </c>
      <c r="P88" s="244">
        <f t="shared" si="21"/>
        <v>0</v>
      </c>
      <c r="Q88" s="244">
        <f t="shared" si="21"/>
        <v>0</v>
      </c>
      <c r="R88" s="244">
        <f t="shared" si="21"/>
        <v>0</v>
      </c>
      <c r="S88" s="244">
        <f t="shared" si="21"/>
        <v>0</v>
      </c>
    </row>
    <row r="89" spans="1:19" s="253" customFormat="1" x14ac:dyDescent="0.2">
      <c r="A89" s="213"/>
      <c r="B89" s="196" t="s">
        <v>382</v>
      </c>
      <c r="C89" s="216"/>
      <c r="D89" s="216"/>
      <c r="E89" s="214"/>
      <c r="F89" s="213"/>
      <c r="G89" s="268" t="s">
        <v>383</v>
      </c>
      <c r="H89" s="269"/>
      <c r="I89" s="270">
        <f t="shared" ref="I89:S89" si="22">I28-(H28+(I82+I83))</f>
        <v>0</v>
      </c>
      <c r="J89" s="270">
        <f t="shared" si="22"/>
        <v>0</v>
      </c>
      <c r="K89" s="244">
        <f t="shared" si="22"/>
        <v>20.75</v>
      </c>
      <c r="L89" s="244">
        <f t="shared" si="22"/>
        <v>45.805000000000007</v>
      </c>
      <c r="M89" s="244">
        <f t="shared" si="22"/>
        <v>0</v>
      </c>
      <c r="N89" s="244">
        <f t="shared" si="22"/>
        <v>0</v>
      </c>
      <c r="O89" s="244">
        <f t="shared" si="22"/>
        <v>0</v>
      </c>
      <c r="P89" s="244">
        <f t="shared" si="22"/>
        <v>0</v>
      </c>
      <c r="Q89" s="244">
        <f t="shared" si="22"/>
        <v>0</v>
      </c>
      <c r="R89" s="244">
        <f t="shared" si="22"/>
        <v>0</v>
      </c>
      <c r="S89" s="244">
        <f t="shared" si="22"/>
        <v>0</v>
      </c>
    </row>
    <row r="90" spans="1:19" s="253" customFormat="1" x14ac:dyDescent="0.2">
      <c r="A90" s="213"/>
      <c r="B90" s="196" t="s">
        <v>384</v>
      </c>
      <c r="C90" s="216"/>
      <c r="D90" s="216"/>
      <c r="E90" s="214"/>
      <c r="F90" s="213"/>
      <c r="G90" s="268" t="s">
        <v>385</v>
      </c>
      <c r="H90" s="269"/>
      <c r="I90" s="270">
        <f t="shared" ref="I90:S90" si="23">I29-(H29+H30)-I84</f>
        <v>0</v>
      </c>
      <c r="J90" s="270">
        <f t="shared" si="23"/>
        <v>0</v>
      </c>
      <c r="K90" s="244">
        <f t="shared" si="23"/>
        <v>0</v>
      </c>
      <c r="L90" s="244">
        <f t="shared" si="23"/>
        <v>0</v>
      </c>
      <c r="M90" s="244">
        <f t="shared" si="23"/>
        <v>-1.0000000000012221E-3</v>
      </c>
      <c r="N90" s="244">
        <f t="shared" si="23"/>
        <v>0</v>
      </c>
      <c r="O90" s="244">
        <f t="shared" si="23"/>
        <v>0</v>
      </c>
      <c r="P90" s="244">
        <f t="shared" si="23"/>
        <v>0</v>
      </c>
      <c r="Q90" s="244">
        <f t="shared" si="23"/>
        <v>0</v>
      </c>
      <c r="R90" s="244">
        <f t="shared" si="23"/>
        <v>0</v>
      </c>
      <c r="S90" s="244">
        <f t="shared" si="23"/>
        <v>0</v>
      </c>
    </row>
    <row r="91" spans="1:19" s="253" customFormat="1" x14ac:dyDescent="0.2">
      <c r="A91" s="213"/>
      <c r="B91" s="196"/>
      <c r="C91" s="216"/>
      <c r="D91" s="216"/>
      <c r="E91" s="214"/>
      <c r="F91" s="213"/>
      <c r="G91" s="271"/>
      <c r="L91" s="272">
        <f>L90-L87</f>
        <v>-1.2640000000000011</v>
      </c>
    </row>
    <row r="92" spans="1:19" s="253" customFormat="1" x14ac:dyDescent="0.2">
      <c r="A92" s="221" t="s">
        <v>0</v>
      </c>
      <c r="B92" s="196"/>
      <c r="C92" s="216"/>
      <c r="D92" s="762" t="s">
        <v>187</v>
      </c>
      <c r="E92" s="763"/>
      <c r="F92" s="213"/>
      <c r="G92" s="273" t="s">
        <v>386</v>
      </c>
      <c r="H92" s="247">
        <f>H73</f>
        <v>2011</v>
      </c>
      <c r="I92" s="247">
        <f t="shared" ref="I92:S92" si="24">I73</f>
        <v>2012</v>
      </c>
      <c r="J92" s="247">
        <f t="shared" si="24"/>
        <v>2013</v>
      </c>
      <c r="K92" s="247">
        <f t="shared" si="24"/>
        <v>2014</v>
      </c>
      <c r="L92" s="247">
        <f t="shared" si="24"/>
        <v>2015</v>
      </c>
      <c r="M92" s="247">
        <f t="shared" si="24"/>
        <v>2016</v>
      </c>
      <c r="N92" s="247">
        <f t="shared" si="24"/>
        <v>2017</v>
      </c>
      <c r="O92" s="247">
        <f t="shared" si="24"/>
        <v>2018</v>
      </c>
      <c r="P92" s="247">
        <f t="shared" si="24"/>
        <v>2019</v>
      </c>
      <c r="Q92" s="247">
        <f t="shared" si="24"/>
        <v>2020</v>
      </c>
      <c r="R92" s="247">
        <f t="shared" si="24"/>
        <v>2021</v>
      </c>
      <c r="S92" s="247">
        <f t="shared" si="24"/>
        <v>2022</v>
      </c>
    </row>
    <row r="93" spans="1:19" s="253" customFormat="1" x14ac:dyDescent="0.2">
      <c r="A93" s="213"/>
      <c r="B93" s="196" t="s">
        <v>387</v>
      </c>
      <c r="C93" s="216" t="s">
        <v>388</v>
      </c>
      <c r="D93" s="216"/>
      <c r="E93" s="214"/>
      <c r="F93" s="213"/>
      <c r="G93" s="274" t="s">
        <v>389</v>
      </c>
      <c r="H93" s="275">
        <f>H5+H11+H12+H13</f>
        <v>0</v>
      </c>
      <c r="I93" s="275">
        <f>I5+I11+I12+I13</f>
        <v>0</v>
      </c>
      <c r="J93" s="275">
        <f t="shared" ref="J93:S93" si="25">J5+J11+J12+J13</f>
        <v>0</v>
      </c>
      <c r="K93" s="275">
        <f t="shared" si="25"/>
        <v>57.292999999999999</v>
      </c>
      <c r="L93" s="275">
        <f t="shared" si="25"/>
        <v>178.30699999999999</v>
      </c>
      <c r="M93" s="275">
        <f t="shared" si="25"/>
        <v>279.435</v>
      </c>
      <c r="N93" s="275">
        <f t="shared" si="25"/>
        <v>307.84199999999998</v>
      </c>
      <c r="O93" s="275">
        <f t="shared" si="25"/>
        <v>356.56200000000001</v>
      </c>
      <c r="P93" s="275">
        <f t="shared" si="25"/>
        <v>363.637</v>
      </c>
      <c r="Q93" s="275">
        <f t="shared" si="25"/>
        <v>372.71199999999999</v>
      </c>
      <c r="R93" s="275">
        <f t="shared" si="25"/>
        <v>383.78699999999998</v>
      </c>
      <c r="S93" s="275">
        <f t="shared" si="25"/>
        <v>394.86199999999997</v>
      </c>
    </row>
    <row r="94" spans="1:19" s="253" customFormat="1" x14ac:dyDescent="0.2">
      <c r="A94" s="213"/>
      <c r="B94" s="196" t="s">
        <v>390</v>
      </c>
      <c r="C94" s="216"/>
      <c r="D94" s="216"/>
      <c r="E94" s="214"/>
      <c r="F94" s="213"/>
      <c r="G94" s="276" t="s">
        <v>391</v>
      </c>
      <c r="H94" s="269"/>
      <c r="I94" s="275">
        <f>I93-H93</f>
        <v>0</v>
      </c>
      <c r="J94" s="275">
        <f t="shared" ref="J94:S94" si="26">J93-I93</f>
        <v>0</v>
      </c>
      <c r="K94" s="275">
        <f t="shared" si="26"/>
        <v>57.292999999999999</v>
      </c>
      <c r="L94" s="275">
        <f t="shared" si="26"/>
        <v>121.01399999999998</v>
      </c>
      <c r="M94" s="275">
        <f t="shared" si="26"/>
        <v>101.12800000000001</v>
      </c>
      <c r="N94" s="275">
        <f t="shared" si="26"/>
        <v>28.406999999999982</v>
      </c>
      <c r="O94" s="275">
        <f t="shared" si="26"/>
        <v>48.720000000000027</v>
      </c>
      <c r="P94" s="275">
        <f t="shared" si="26"/>
        <v>7.0749999999999886</v>
      </c>
      <c r="Q94" s="275">
        <f t="shared" si="26"/>
        <v>9.0749999999999886</v>
      </c>
      <c r="R94" s="275">
        <f t="shared" si="26"/>
        <v>11.074999999999989</v>
      </c>
      <c r="S94" s="275">
        <f t="shared" si="26"/>
        <v>11.074999999999989</v>
      </c>
    </row>
    <row r="95" spans="1:19" s="253" customFormat="1" x14ac:dyDescent="0.2">
      <c r="A95" s="213"/>
      <c r="B95" s="196" t="s">
        <v>392</v>
      </c>
      <c r="C95" s="216" t="s">
        <v>42</v>
      </c>
      <c r="D95" s="216"/>
      <c r="E95" s="214"/>
      <c r="F95" s="213"/>
      <c r="G95" s="274" t="s">
        <v>393</v>
      </c>
      <c r="H95" s="275">
        <f>H19</f>
        <v>0</v>
      </c>
      <c r="I95" s="275">
        <f t="shared" ref="I95:S95" si="27">I19</f>
        <v>0</v>
      </c>
      <c r="J95" s="275">
        <f t="shared" si="27"/>
        <v>0</v>
      </c>
      <c r="K95" s="275">
        <f t="shared" si="27"/>
        <v>39.841999999999999</v>
      </c>
      <c r="L95" s="275">
        <f t="shared" si="27"/>
        <v>106.20399999999999</v>
      </c>
      <c r="M95" s="275">
        <f t="shared" si="27"/>
        <v>152.62899999999999</v>
      </c>
      <c r="N95" s="275">
        <f>N19</f>
        <v>157.41300000000001</v>
      </c>
      <c r="O95" s="275">
        <f t="shared" si="27"/>
        <v>157.41300000000001</v>
      </c>
      <c r="P95" s="275">
        <f t="shared" si="27"/>
        <v>156.91999999999999</v>
      </c>
      <c r="Q95" s="275">
        <f t="shared" si="27"/>
        <v>155.923</v>
      </c>
      <c r="R95" s="275">
        <f t="shared" si="27"/>
        <v>155.923</v>
      </c>
      <c r="S95" s="275">
        <f t="shared" si="27"/>
        <v>155.923</v>
      </c>
    </row>
    <row r="96" spans="1:19" s="253" customFormat="1" x14ac:dyDescent="0.2">
      <c r="A96" s="213"/>
      <c r="B96" s="196" t="s">
        <v>394</v>
      </c>
      <c r="C96" s="216"/>
      <c r="D96" s="216"/>
      <c r="E96" s="214"/>
      <c r="F96" s="213"/>
      <c r="G96" s="276" t="s">
        <v>391</v>
      </c>
      <c r="H96" s="269"/>
      <c r="I96" s="275">
        <f>I95-H95</f>
        <v>0</v>
      </c>
      <c r="J96" s="275">
        <f t="shared" ref="J96:S96" si="28">J95-I95</f>
        <v>0</v>
      </c>
      <c r="K96" s="275">
        <f t="shared" si="28"/>
        <v>39.841999999999999</v>
      </c>
      <c r="L96" s="275">
        <f t="shared" si="28"/>
        <v>66.361999999999995</v>
      </c>
      <c r="M96" s="275">
        <f t="shared" si="28"/>
        <v>46.424999999999997</v>
      </c>
      <c r="N96" s="275">
        <f t="shared" si="28"/>
        <v>4.7840000000000202</v>
      </c>
      <c r="O96" s="275">
        <f t="shared" si="28"/>
        <v>0</v>
      </c>
      <c r="P96" s="275">
        <f t="shared" si="28"/>
        <v>-0.49300000000002342</v>
      </c>
      <c r="Q96" s="275">
        <f t="shared" si="28"/>
        <v>-0.99699999999998568</v>
      </c>
      <c r="R96" s="275">
        <f t="shared" si="28"/>
        <v>0</v>
      </c>
      <c r="S96" s="275">
        <f t="shared" si="28"/>
        <v>0</v>
      </c>
    </row>
    <row r="97" spans="1:20" s="281" customFormat="1" x14ac:dyDescent="0.2">
      <c r="A97" s="257" t="s">
        <v>395</v>
      </c>
      <c r="B97" s="196" t="s">
        <v>188</v>
      </c>
      <c r="C97" s="216" t="s">
        <v>396</v>
      </c>
      <c r="D97" s="277"/>
      <c r="E97" s="258"/>
      <c r="F97" s="257"/>
      <c r="G97" s="278" t="s">
        <v>386</v>
      </c>
      <c r="H97" s="279"/>
      <c r="I97" s="280">
        <f>I94-I96</f>
        <v>0</v>
      </c>
      <c r="J97" s="280">
        <f t="shared" ref="J97:S97" si="29">J94-J96</f>
        <v>0</v>
      </c>
      <c r="K97" s="280">
        <f t="shared" si="29"/>
        <v>17.451000000000001</v>
      </c>
      <c r="L97" s="280">
        <f t="shared" si="29"/>
        <v>54.651999999999987</v>
      </c>
      <c r="M97" s="280">
        <f t="shared" si="29"/>
        <v>54.703000000000017</v>
      </c>
      <c r="N97" s="280">
        <f t="shared" si="29"/>
        <v>23.622999999999962</v>
      </c>
      <c r="O97" s="280">
        <f t="shared" si="29"/>
        <v>48.720000000000027</v>
      </c>
      <c r="P97" s="280">
        <f t="shared" si="29"/>
        <v>7.5680000000000121</v>
      </c>
      <c r="Q97" s="280">
        <f t="shared" si="29"/>
        <v>10.071999999999974</v>
      </c>
      <c r="R97" s="280">
        <f t="shared" si="29"/>
        <v>11.074999999999989</v>
      </c>
      <c r="S97" s="280">
        <f t="shared" si="29"/>
        <v>11.074999999999989</v>
      </c>
    </row>
    <row r="98" spans="1:20" s="253" customFormat="1" x14ac:dyDescent="0.2">
      <c r="A98" s="213"/>
      <c r="B98" s="196"/>
      <c r="C98" s="216"/>
      <c r="D98" s="216"/>
      <c r="E98" s="214"/>
      <c r="F98" s="213"/>
      <c r="G98" s="279"/>
      <c r="H98" s="279"/>
      <c r="I98" s="279"/>
      <c r="J98" s="279"/>
      <c r="K98" s="279"/>
      <c r="L98" s="279"/>
      <c r="M98" s="279"/>
      <c r="N98" s="279"/>
      <c r="O98" s="279"/>
      <c r="P98" s="279"/>
      <c r="Q98" s="279"/>
      <c r="R98" s="279"/>
      <c r="S98" s="279"/>
    </row>
    <row r="99" spans="1:20" s="253" customFormat="1" x14ac:dyDescent="0.2">
      <c r="A99" s="213"/>
      <c r="B99" s="196" t="s">
        <v>397</v>
      </c>
      <c r="C99" s="216" t="s">
        <v>398</v>
      </c>
      <c r="D99" s="216"/>
      <c r="E99" s="214"/>
      <c r="F99" s="213"/>
      <c r="G99" s="274" t="s">
        <v>399</v>
      </c>
      <c r="H99" s="275">
        <f>H4-H93</f>
        <v>0</v>
      </c>
      <c r="I99" s="275">
        <f t="shared" ref="I99:S99" si="30">I4-I93</f>
        <v>0</v>
      </c>
      <c r="J99" s="275">
        <f t="shared" si="30"/>
        <v>0</v>
      </c>
      <c r="K99" s="275">
        <f t="shared" si="30"/>
        <v>15.213000000000001</v>
      </c>
      <c r="L99" s="275">
        <f t="shared" si="30"/>
        <v>13.694999999999993</v>
      </c>
      <c r="M99" s="275">
        <f t="shared" si="30"/>
        <v>12.540999999999997</v>
      </c>
      <c r="N99" s="275">
        <f t="shared" si="30"/>
        <v>11.466000000000008</v>
      </c>
      <c r="O99" s="275">
        <f t="shared" si="30"/>
        <v>10.39100000000002</v>
      </c>
      <c r="P99" s="275">
        <f t="shared" si="30"/>
        <v>9.3159999999999741</v>
      </c>
      <c r="Q99" s="275">
        <f t="shared" si="30"/>
        <v>8.2409999999999854</v>
      </c>
      <c r="R99" s="275">
        <f t="shared" si="30"/>
        <v>7.1659999999999968</v>
      </c>
      <c r="S99" s="275">
        <f t="shared" si="30"/>
        <v>6.0910000000000082</v>
      </c>
    </row>
    <row r="100" spans="1:20" s="253" customFormat="1" x14ac:dyDescent="0.2">
      <c r="A100" s="213"/>
      <c r="B100" s="196" t="s">
        <v>400</v>
      </c>
      <c r="C100" s="216"/>
      <c r="D100" s="216"/>
      <c r="E100" s="214"/>
      <c r="F100" s="213"/>
      <c r="G100" s="276" t="s">
        <v>391</v>
      </c>
      <c r="H100" s="269"/>
      <c r="I100" s="275">
        <f>I99-H99</f>
        <v>0</v>
      </c>
      <c r="J100" s="275">
        <f t="shared" ref="J100:S100" si="31">J99-I99</f>
        <v>0</v>
      </c>
      <c r="K100" s="275">
        <f t="shared" si="31"/>
        <v>15.213000000000001</v>
      </c>
      <c r="L100" s="275">
        <f t="shared" si="31"/>
        <v>-1.5180000000000078</v>
      </c>
      <c r="M100" s="275">
        <f t="shared" si="31"/>
        <v>-1.1539999999999964</v>
      </c>
      <c r="N100" s="275">
        <f t="shared" si="31"/>
        <v>-1.0749999999999886</v>
      </c>
      <c r="O100" s="275">
        <f t="shared" si="31"/>
        <v>-1.0749999999999886</v>
      </c>
      <c r="P100" s="275">
        <f t="shared" si="31"/>
        <v>-1.0750000000000455</v>
      </c>
      <c r="Q100" s="275">
        <f t="shared" si="31"/>
        <v>-1.0749999999999886</v>
      </c>
      <c r="R100" s="275">
        <f t="shared" si="31"/>
        <v>-1.0749999999999886</v>
      </c>
      <c r="S100" s="275">
        <f t="shared" si="31"/>
        <v>-1.0749999999999886</v>
      </c>
    </row>
    <row r="101" spans="1:20" s="253" customFormat="1" x14ac:dyDescent="0.2">
      <c r="A101" s="213"/>
      <c r="B101" s="196" t="s">
        <v>401</v>
      </c>
      <c r="C101" s="216" t="s">
        <v>64</v>
      </c>
      <c r="D101" s="216"/>
      <c r="E101" s="214"/>
      <c r="F101" s="213"/>
      <c r="G101" s="274" t="s">
        <v>402</v>
      </c>
      <c r="H101" s="275">
        <f>H27</f>
        <v>0</v>
      </c>
      <c r="I101" s="275">
        <f t="shared" ref="I101:S101" si="32">I27</f>
        <v>0</v>
      </c>
      <c r="J101" s="275">
        <f t="shared" si="32"/>
        <v>0</v>
      </c>
      <c r="K101" s="275">
        <f t="shared" si="32"/>
        <v>32.664000000000001</v>
      </c>
      <c r="L101" s="275">
        <f t="shared" si="32"/>
        <v>85.799000000000007</v>
      </c>
      <c r="M101" s="275">
        <f t="shared" si="32"/>
        <v>139.34700000000001</v>
      </c>
      <c r="N101" s="275">
        <f t="shared" si="32"/>
        <v>161.89600000000002</v>
      </c>
      <c r="O101" s="275">
        <f t="shared" si="32"/>
        <v>210.03000000000003</v>
      </c>
      <c r="P101" s="275">
        <f t="shared" si="32"/>
        <v>216.03000000000003</v>
      </c>
      <c r="Q101" s="275">
        <f t="shared" si="32"/>
        <v>225.03000000000003</v>
      </c>
      <c r="R101" s="275">
        <f t="shared" si="32"/>
        <v>235.03000000000003</v>
      </c>
      <c r="S101" s="275">
        <f t="shared" si="32"/>
        <v>245.03000000000003</v>
      </c>
    </row>
    <row r="102" spans="1:20" s="253" customFormat="1" x14ac:dyDescent="0.2">
      <c r="A102" s="213"/>
      <c r="B102" s="196" t="s">
        <v>403</v>
      </c>
      <c r="C102" s="216"/>
      <c r="D102" s="216"/>
      <c r="E102" s="214"/>
      <c r="F102" s="213"/>
      <c r="G102" s="276" t="s">
        <v>391</v>
      </c>
      <c r="H102" s="269"/>
      <c r="I102" s="275">
        <f>I101-H101</f>
        <v>0</v>
      </c>
      <c r="J102" s="275">
        <f t="shared" ref="J102:S102" si="33">J101-I101</f>
        <v>0</v>
      </c>
      <c r="K102" s="275">
        <f t="shared" si="33"/>
        <v>32.664000000000001</v>
      </c>
      <c r="L102" s="275">
        <f t="shared" si="33"/>
        <v>53.135000000000005</v>
      </c>
      <c r="M102" s="275">
        <f t="shared" si="33"/>
        <v>53.548000000000002</v>
      </c>
      <c r="N102" s="275">
        <f t="shared" si="33"/>
        <v>22.549000000000007</v>
      </c>
      <c r="O102" s="275">
        <f t="shared" si="33"/>
        <v>48.134000000000015</v>
      </c>
      <c r="P102" s="275">
        <f t="shared" si="33"/>
        <v>6</v>
      </c>
      <c r="Q102" s="275">
        <f t="shared" si="33"/>
        <v>9</v>
      </c>
      <c r="R102" s="275">
        <f t="shared" si="33"/>
        <v>10</v>
      </c>
      <c r="S102" s="275">
        <f t="shared" si="33"/>
        <v>10</v>
      </c>
    </row>
    <row r="103" spans="1:20" s="281" customFormat="1" x14ac:dyDescent="0.2">
      <c r="A103" s="257" t="s">
        <v>404</v>
      </c>
      <c r="B103" s="196" t="s">
        <v>189</v>
      </c>
      <c r="C103" s="216" t="s">
        <v>405</v>
      </c>
      <c r="D103" s="216"/>
      <c r="E103" s="214"/>
      <c r="F103" s="213"/>
      <c r="G103" s="278" t="s">
        <v>406</v>
      </c>
      <c r="H103" s="279"/>
      <c r="I103" s="280">
        <f>I102-I100</f>
        <v>0</v>
      </c>
      <c r="J103" s="280">
        <f t="shared" ref="J103:S103" si="34">J102-J100</f>
        <v>0</v>
      </c>
      <c r="K103" s="280">
        <f t="shared" si="34"/>
        <v>17.451000000000001</v>
      </c>
      <c r="L103" s="280">
        <f t="shared" si="34"/>
        <v>54.653000000000013</v>
      </c>
      <c r="M103" s="280">
        <f t="shared" si="34"/>
        <v>54.701999999999998</v>
      </c>
      <c r="N103" s="280">
        <f t="shared" si="34"/>
        <v>23.623999999999995</v>
      </c>
      <c r="O103" s="280">
        <f t="shared" si="34"/>
        <v>49.209000000000003</v>
      </c>
      <c r="P103" s="280">
        <f t="shared" si="34"/>
        <v>7.0750000000000455</v>
      </c>
      <c r="Q103" s="280">
        <f t="shared" si="34"/>
        <v>10.074999999999989</v>
      </c>
      <c r="R103" s="280">
        <f t="shared" si="34"/>
        <v>11.074999999999989</v>
      </c>
      <c r="S103" s="280">
        <f t="shared" si="34"/>
        <v>11.074999999999989</v>
      </c>
    </row>
    <row r="104" spans="1:20" s="253" customFormat="1" x14ac:dyDescent="0.2">
      <c r="A104" s="213"/>
      <c r="B104" s="196"/>
      <c r="C104" s="216"/>
      <c r="D104" s="216"/>
      <c r="E104" s="214"/>
      <c r="F104" s="213"/>
      <c r="G104" s="279"/>
      <c r="H104" s="279"/>
      <c r="I104" s="279"/>
      <c r="J104" s="279"/>
      <c r="K104" s="279"/>
      <c r="L104" s="279"/>
      <c r="M104" s="279"/>
      <c r="N104" s="279"/>
      <c r="O104" s="279"/>
      <c r="P104" s="279"/>
      <c r="Q104" s="279"/>
      <c r="R104" s="279"/>
      <c r="S104" s="279"/>
    </row>
    <row r="105" spans="1:20" s="253" customFormat="1" x14ac:dyDescent="0.2">
      <c r="A105" s="221"/>
      <c r="B105" s="196"/>
      <c r="C105" s="216"/>
      <c r="D105" s="216"/>
      <c r="E105" s="214"/>
      <c r="F105" s="213"/>
      <c r="G105" s="273" t="s">
        <v>407</v>
      </c>
      <c r="H105" s="247">
        <f t="shared" ref="H105:S105" si="35">H32</f>
        <v>2011</v>
      </c>
      <c r="I105" s="247">
        <f t="shared" si="35"/>
        <v>2012</v>
      </c>
      <c r="J105" s="247">
        <f t="shared" si="35"/>
        <v>2013</v>
      </c>
      <c r="K105" s="247">
        <f t="shared" si="35"/>
        <v>2014</v>
      </c>
      <c r="L105" s="247">
        <f t="shared" si="35"/>
        <v>2015</v>
      </c>
      <c r="M105" s="247">
        <f t="shared" si="35"/>
        <v>2016</v>
      </c>
      <c r="N105" s="247">
        <f t="shared" si="35"/>
        <v>2017</v>
      </c>
      <c r="O105" s="247">
        <f t="shared" si="35"/>
        <v>2018</v>
      </c>
      <c r="P105" s="247">
        <f t="shared" si="35"/>
        <v>2019</v>
      </c>
      <c r="Q105" s="247">
        <f t="shared" si="35"/>
        <v>2020</v>
      </c>
      <c r="R105" s="247">
        <f t="shared" si="35"/>
        <v>2021</v>
      </c>
      <c r="S105" s="247">
        <f t="shared" si="35"/>
        <v>2022</v>
      </c>
    </row>
    <row r="106" spans="1:20" s="281" customFormat="1" x14ac:dyDescent="0.2">
      <c r="A106" s="257" t="s">
        <v>408</v>
      </c>
      <c r="B106" s="196" t="s">
        <v>192</v>
      </c>
      <c r="C106" s="257" t="s">
        <v>409</v>
      </c>
      <c r="D106" s="216"/>
      <c r="E106" s="214"/>
      <c r="F106" s="213"/>
      <c r="G106" s="282" t="s">
        <v>407</v>
      </c>
      <c r="H106" s="279" t="s">
        <v>358</v>
      </c>
      <c r="I106" s="283">
        <f t="shared" ref="I106:N106" si="36">(I48-I45+I50)+(I58+I59)+(I82+I83+I84+I85)-(I85-I49)</f>
        <v>0</v>
      </c>
      <c r="J106" s="283">
        <f t="shared" si="36"/>
        <v>0.377</v>
      </c>
      <c r="K106" s="283">
        <f t="shared" si="36"/>
        <v>12.171000000000001</v>
      </c>
      <c r="L106" s="283">
        <f t="shared" si="36"/>
        <v>9.655999999999846</v>
      </c>
      <c r="M106" s="283">
        <f t="shared" si="36"/>
        <v>54.700999999999894</v>
      </c>
      <c r="N106" s="283">
        <f t="shared" si="36"/>
        <v>23.633999999999741</v>
      </c>
      <c r="O106" s="283">
        <f>(O48-O45+O50)+(O58+O59)+(O82+O83+O84+O85)-(O85-O49)</f>
        <v>49.207999999999814</v>
      </c>
      <c r="P106" s="283">
        <f>(P48-P45+P50)+(P58+P59)+(P82+P83+P84+P85)-(P85-P49)</f>
        <v>6.97170000000001</v>
      </c>
      <c r="Q106" s="283">
        <f>(Q48-Q45+Q50)+(Q58+Q59)+(Q82+Q83+Q84+Q85)-(Q85-Q49)</f>
        <v>10.53231499999988</v>
      </c>
      <c r="R106" s="283">
        <f>(R48-R45+R50)+(R58+R59)+(R82+R83+R84+R85)-(R85-R49)</f>
        <v>10.789511149999907</v>
      </c>
      <c r="S106" s="283">
        <f>(S48-S45+S50)+(S58+S59)+(S82+S83+S84+S85)-(S85-S49)</f>
        <v>11.281509519499831</v>
      </c>
    </row>
    <row r="107" spans="1:20" s="281" customFormat="1" x14ac:dyDescent="0.2">
      <c r="A107" s="257" t="s">
        <v>410</v>
      </c>
      <c r="B107" s="196" t="s">
        <v>194</v>
      </c>
      <c r="C107" s="257" t="s">
        <v>411</v>
      </c>
      <c r="D107" s="216"/>
      <c r="E107" s="214"/>
      <c r="F107" s="213"/>
      <c r="G107" s="268" t="s">
        <v>412</v>
      </c>
      <c r="H107" s="279" t="s">
        <v>358</v>
      </c>
      <c r="I107" s="244">
        <f>I97-I106</f>
        <v>0</v>
      </c>
      <c r="J107" s="244">
        <f t="shared" ref="J107:S107" si="37">J97-J106</f>
        <v>-0.377</v>
      </c>
      <c r="K107" s="244">
        <f t="shared" si="37"/>
        <v>5.2799999999999994</v>
      </c>
      <c r="L107" s="244">
        <f t="shared" si="37"/>
        <v>44.996000000000137</v>
      </c>
      <c r="M107" s="244">
        <f t="shared" si="37"/>
        <v>2.0000000001232365E-3</v>
      </c>
      <c r="N107" s="244">
        <f t="shared" si="37"/>
        <v>-1.0999999999778964E-2</v>
      </c>
      <c r="O107" s="244">
        <f t="shared" si="37"/>
        <v>-0.48799999999978638</v>
      </c>
      <c r="P107" s="244">
        <f t="shared" si="37"/>
        <v>0.59630000000000205</v>
      </c>
      <c r="Q107" s="244">
        <f t="shared" si="37"/>
        <v>-0.46031499999990544</v>
      </c>
      <c r="R107" s="244">
        <f t="shared" si="37"/>
        <v>0.28548885000008184</v>
      </c>
      <c r="S107" s="244">
        <f t="shared" si="37"/>
        <v>-0.20650951949984275</v>
      </c>
    </row>
    <row r="108" spans="1:20" s="281" customFormat="1" x14ac:dyDescent="0.2">
      <c r="A108" s="257"/>
      <c r="B108" s="196"/>
      <c r="C108" s="257"/>
      <c r="D108" s="216"/>
      <c r="E108" s="214"/>
      <c r="F108" s="214"/>
      <c r="G108" s="214"/>
      <c r="H108" s="214"/>
      <c r="I108" s="214"/>
      <c r="J108" s="214"/>
      <c r="K108" s="214"/>
      <c r="L108" s="214"/>
      <c r="M108" s="214"/>
      <c r="N108" s="214"/>
      <c r="O108" s="214"/>
      <c r="P108" s="214"/>
      <c r="Q108" s="214"/>
      <c r="R108" s="214"/>
      <c r="S108" s="214"/>
      <c r="T108" s="214"/>
    </row>
    <row r="109" spans="1:20" s="281" customFormat="1" x14ac:dyDescent="0.2">
      <c r="A109" s="257"/>
      <c r="B109" s="196"/>
      <c r="C109" s="257"/>
      <c r="D109" s="216"/>
      <c r="E109" s="214"/>
      <c r="F109" s="213"/>
      <c r="G109" s="273" t="s">
        <v>413</v>
      </c>
      <c r="H109" s="247">
        <f>H105</f>
        <v>2011</v>
      </c>
      <c r="I109" s="247">
        <f t="shared" ref="I109:S109" si="38">I105</f>
        <v>2012</v>
      </c>
      <c r="J109" s="247">
        <f t="shared" si="38"/>
        <v>2013</v>
      </c>
      <c r="K109" s="247">
        <f t="shared" si="38"/>
        <v>2014</v>
      </c>
      <c r="L109" s="247">
        <f t="shared" si="38"/>
        <v>2015</v>
      </c>
      <c r="M109" s="247">
        <f t="shared" si="38"/>
        <v>2016</v>
      </c>
      <c r="N109" s="247">
        <f t="shared" si="38"/>
        <v>2017</v>
      </c>
      <c r="O109" s="247">
        <f t="shared" si="38"/>
        <v>2018</v>
      </c>
      <c r="P109" s="247">
        <f t="shared" si="38"/>
        <v>2019</v>
      </c>
      <c r="Q109" s="247">
        <f t="shared" si="38"/>
        <v>2020</v>
      </c>
      <c r="R109" s="247">
        <f t="shared" si="38"/>
        <v>2021</v>
      </c>
      <c r="S109" s="247">
        <f t="shared" si="38"/>
        <v>2022</v>
      </c>
    </row>
    <row r="110" spans="1:20" s="253" customFormat="1" x14ac:dyDescent="0.2">
      <c r="A110" s="213" t="s">
        <v>414</v>
      </c>
      <c r="B110" s="196" t="s">
        <v>415</v>
      </c>
      <c r="C110" s="263" t="s">
        <v>190</v>
      </c>
      <c r="D110" s="216"/>
      <c r="E110" s="214"/>
      <c r="F110" s="213"/>
      <c r="G110" s="282" t="s">
        <v>191</v>
      </c>
      <c r="H110" s="284">
        <f t="shared" ref="H110:S110" si="39">H33+H38+H41-H45</f>
        <v>0</v>
      </c>
      <c r="I110" s="223">
        <f t="shared" si="39"/>
        <v>0</v>
      </c>
      <c r="J110" s="223">
        <f t="shared" si="39"/>
        <v>0</v>
      </c>
      <c r="K110" s="223">
        <f t="shared" si="39"/>
        <v>12.171000000000001</v>
      </c>
      <c r="L110" s="223">
        <f t="shared" si="39"/>
        <v>8.2359999999998479</v>
      </c>
      <c r="M110" s="223">
        <f t="shared" si="39"/>
        <v>54.267999999999894</v>
      </c>
      <c r="N110" s="223">
        <f t="shared" si="39"/>
        <v>23.633999999999741</v>
      </c>
      <c r="O110" s="223">
        <f t="shared" si="39"/>
        <v>49.207999999999814</v>
      </c>
      <c r="P110" s="223">
        <f t="shared" si="39"/>
        <v>6.97170000000001</v>
      </c>
      <c r="Q110" s="223">
        <f t="shared" si="39"/>
        <v>10.53231499999988</v>
      </c>
      <c r="R110" s="223">
        <f t="shared" si="39"/>
        <v>10.789511149999907</v>
      </c>
      <c r="S110" s="223">
        <f t="shared" si="39"/>
        <v>11.281509519499831</v>
      </c>
    </row>
    <row r="111" spans="1:20" s="253" customFormat="1" x14ac:dyDescent="0.2">
      <c r="A111" s="213" t="s">
        <v>416</v>
      </c>
      <c r="B111" s="196" t="s">
        <v>197</v>
      </c>
      <c r="C111" s="213" t="s">
        <v>417</v>
      </c>
      <c r="D111" s="216"/>
      <c r="E111" s="285">
        <v>0</v>
      </c>
      <c r="F111" s="213"/>
      <c r="G111" s="286" t="s">
        <v>193</v>
      </c>
      <c r="H111" s="287" t="e">
        <f t="shared" ref="H111:S111" si="40">H110/H33</f>
        <v>#DIV/0!</v>
      </c>
      <c r="I111" s="288" t="e">
        <f t="shared" si="40"/>
        <v>#DIV/0!</v>
      </c>
      <c r="J111" s="288" t="e">
        <f t="shared" si="40"/>
        <v>#DIV/0!</v>
      </c>
      <c r="K111" s="288">
        <f t="shared" si="40"/>
        <v>0.92646722996117836</v>
      </c>
      <c r="L111" s="288">
        <f t="shared" si="40"/>
        <v>8.6205182149789849E-3</v>
      </c>
      <c r="M111" s="288">
        <f t="shared" si="40"/>
        <v>5.2825854180862351E-2</v>
      </c>
      <c r="N111" s="288">
        <f t="shared" si="40"/>
        <v>2.0746920749290697E-2</v>
      </c>
      <c r="O111" s="288">
        <f t="shared" si="40"/>
        <v>3.924098580935316E-2</v>
      </c>
      <c r="P111" s="288">
        <f t="shared" si="40"/>
        <v>5.5663226501434905E-3</v>
      </c>
      <c r="Q111" s="288">
        <f t="shared" si="40"/>
        <v>8.0608408128521516E-3</v>
      </c>
      <c r="R111" s="288">
        <f t="shared" si="40"/>
        <v>7.913490335266813E-3</v>
      </c>
      <c r="S111" s="288">
        <f t="shared" si="40"/>
        <v>7.9273947834496532E-3</v>
      </c>
    </row>
    <row r="112" spans="1:20" s="253" customFormat="1" x14ac:dyDescent="0.2">
      <c r="A112" s="213" t="s">
        <v>418</v>
      </c>
      <c r="B112" s="196" t="s">
        <v>200</v>
      </c>
      <c r="C112" s="263" t="s">
        <v>195</v>
      </c>
      <c r="D112" s="216"/>
      <c r="E112" s="289"/>
      <c r="F112" s="213"/>
      <c r="G112" s="290" t="s">
        <v>196</v>
      </c>
      <c r="H112" s="291" t="e">
        <f t="shared" ref="H112:S112" si="41">-H33/(H38+H41)</f>
        <v>#DIV/0!</v>
      </c>
      <c r="I112" s="291" t="e">
        <f t="shared" si="41"/>
        <v>#DIV/0!</v>
      </c>
      <c r="J112" s="291" t="e">
        <f t="shared" si="41"/>
        <v>#DIV/0!</v>
      </c>
      <c r="K112" s="291">
        <f t="shared" si="41"/>
        <v>13.599378881987578</v>
      </c>
      <c r="L112" s="291">
        <f t="shared" si="41"/>
        <v>1.0070814407854305</v>
      </c>
      <c r="M112" s="291">
        <f t="shared" si="41"/>
        <v>1.0545224982934451</v>
      </c>
      <c r="N112" s="291">
        <f t="shared" si="41"/>
        <v>1.0202033319063797</v>
      </c>
      <c r="O112" s="291">
        <f t="shared" si="41"/>
        <v>1.0399158444332766</v>
      </c>
      <c r="P112" s="291">
        <f t="shared" si="41"/>
        <v>1.0047302948967893</v>
      </c>
      <c r="Q112" s="291">
        <f t="shared" si="41"/>
        <v>1.0072908683550901</v>
      </c>
      <c r="R112" s="291">
        <f t="shared" si="41"/>
        <v>1.0071761697096024</v>
      </c>
      <c r="S112" s="291">
        <f t="shared" si="41"/>
        <v>1.0072238131203695</v>
      </c>
    </row>
    <row r="113" spans="1:20" s="253" customFormat="1" x14ac:dyDescent="0.2">
      <c r="A113" s="213" t="s">
        <v>419</v>
      </c>
      <c r="B113" s="196" t="s">
        <v>420</v>
      </c>
      <c r="C113" s="213" t="s">
        <v>198</v>
      </c>
      <c r="D113" s="216"/>
      <c r="E113" s="289"/>
      <c r="F113" s="213"/>
      <c r="G113" s="282" t="s">
        <v>199</v>
      </c>
      <c r="H113" s="284">
        <f t="shared" ref="H113:S113" si="42">H46</f>
        <v>0</v>
      </c>
      <c r="I113" s="284">
        <f t="shared" si="42"/>
        <v>0</v>
      </c>
      <c r="J113" s="284">
        <f t="shared" si="42"/>
        <v>0</v>
      </c>
      <c r="K113" s="284">
        <f t="shared" si="42"/>
        <v>12.171000000000001</v>
      </c>
      <c r="L113" s="284">
        <f t="shared" si="42"/>
        <v>6.7179999999998472</v>
      </c>
      <c r="M113" s="284">
        <f t="shared" si="42"/>
        <v>53.114999999999895</v>
      </c>
      <c r="N113" s="284">
        <f t="shared" si="42"/>
        <v>22.558999999999742</v>
      </c>
      <c r="O113" s="284">
        <f t="shared" si="42"/>
        <v>48.132999999999811</v>
      </c>
      <c r="P113" s="284">
        <f t="shared" si="42"/>
        <v>5.8967000000000098</v>
      </c>
      <c r="Q113" s="284">
        <f t="shared" si="42"/>
        <v>9.4573149999998805</v>
      </c>
      <c r="R113" s="284">
        <f t="shared" si="42"/>
        <v>9.7145111499999075</v>
      </c>
      <c r="S113" s="284">
        <f t="shared" si="42"/>
        <v>10.206509519499832</v>
      </c>
    </row>
    <row r="114" spans="1:20" s="253" customFormat="1" x14ac:dyDescent="0.2">
      <c r="A114" s="213" t="s">
        <v>421</v>
      </c>
      <c r="B114" s="196" t="s">
        <v>422</v>
      </c>
      <c r="C114" s="213" t="s">
        <v>201</v>
      </c>
      <c r="D114" s="285">
        <v>-0.3</v>
      </c>
      <c r="E114" s="285">
        <v>0</v>
      </c>
      <c r="F114" s="213"/>
      <c r="G114" s="290" t="s">
        <v>202</v>
      </c>
      <c r="H114" s="292" t="e">
        <f t="shared" ref="H114:S114" si="43">H46/H33</f>
        <v>#DIV/0!</v>
      </c>
      <c r="I114" s="293" t="e">
        <f t="shared" si="43"/>
        <v>#DIV/0!</v>
      </c>
      <c r="J114" s="293" t="e">
        <f t="shared" si="43"/>
        <v>#DIV/0!</v>
      </c>
      <c r="K114" s="293">
        <f t="shared" si="43"/>
        <v>0.92646722996117836</v>
      </c>
      <c r="L114" s="293">
        <f t="shared" si="43"/>
        <v>7.0316465964337755E-3</v>
      </c>
      <c r="M114" s="293">
        <f t="shared" si="43"/>
        <v>5.1703494597488464E-2</v>
      </c>
      <c r="N114" s="293">
        <f t="shared" si="43"/>
        <v>1.9803240466414851E-2</v>
      </c>
      <c r="O114" s="293">
        <f t="shared" si="43"/>
        <v>3.8383725612940893E-2</v>
      </c>
      <c r="P114" s="293">
        <f t="shared" si="43"/>
        <v>4.708024552275791E-3</v>
      </c>
      <c r="Q114" s="293">
        <f t="shared" si="43"/>
        <v>7.238096347479045E-3</v>
      </c>
      <c r="R114" s="293">
        <f t="shared" si="43"/>
        <v>7.1250392189795009E-3</v>
      </c>
      <c r="S114" s="293">
        <f t="shared" si="43"/>
        <v>7.1720039044650295E-3</v>
      </c>
    </row>
    <row r="115" spans="1:20" s="253" customFormat="1" x14ac:dyDescent="0.2">
      <c r="A115" s="213" t="s">
        <v>423</v>
      </c>
      <c r="B115" s="196" t="s">
        <v>424</v>
      </c>
      <c r="C115" s="213" t="s">
        <v>204</v>
      </c>
      <c r="D115" s="216"/>
      <c r="E115" s="289"/>
      <c r="F115" s="213"/>
      <c r="G115" s="286" t="s">
        <v>205</v>
      </c>
      <c r="H115" s="284">
        <f t="shared" ref="H115:S115" si="44">H29+H30</f>
        <v>0</v>
      </c>
      <c r="I115" s="284">
        <f t="shared" si="44"/>
        <v>0</v>
      </c>
      <c r="J115" s="284">
        <f t="shared" si="44"/>
        <v>0</v>
      </c>
      <c r="K115" s="284">
        <f t="shared" si="44"/>
        <v>11.914</v>
      </c>
      <c r="L115" s="284">
        <f t="shared" si="44"/>
        <v>19.244</v>
      </c>
      <c r="M115" s="284">
        <f t="shared" si="44"/>
        <v>72.792000000000002</v>
      </c>
      <c r="N115" s="284">
        <f t="shared" si="44"/>
        <v>95.341000000000008</v>
      </c>
      <c r="O115" s="284">
        <f t="shared" si="44"/>
        <v>143.47500000000002</v>
      </c>
      <c r="P115" s="284">
        <f t="shared" si="44"/>
        <v>149.47500000000002</v>
      </c>
      <c r="Q115" s="284">
        <f t="shared" si="44"/>
        <v>158.47500000000002</v>
      </c>
      <c r="R115" s="284">
        <f t="shared" si="44"/>
        <v>168.47500000000002</v>
      </c>
      <c r="S115" s="284">
        <f t="shared" si="44"/>
        <v>178.47500000000002</v>
      </c>
    </row>
    <row r="116" spans="1:20" s="253" customFormat="1" x14ac:dyDescent="0.2">
      <c r="A116" s="213"/>
      <c r="B116" s="196"/>
      <c r="C116" s="213"/>
      <c r="D116" s="213"/>
      <c r="E116" s="213"/>
      <c r="F116" s="213"/>
      <c r="G116" s="213"/>
      <c r="H116" s="213"/>
      <c r="I116" s="213"/>
      <c r="J116" s="213"/>
      <c r="K116" s="213"/>
      <c r="L116" s="213"/>
      <c r="M116" s="213"/>
      <c r="N116" s="213"/>
      <c r="O116" s="213"/>
      <c r="P116" s="213"/>
      <c r="Q116" s="213"/>
      <c r="R116" s="213"/>
      <c r="S116" s="213"/>
      <c r="T116" s="213"/>
    </row>
    <row r="117" spans="1:20" s="253" customFormat="1" x14ac:dyDescent="0.2">
      <c r="A117" s="213"/>
      <c r="B117" s="196"/>
      <c r="C117" s="216"/>
      <c r="D117" s="216"/>
      <c r="E117" s="213"/>
      <c r="F117" s="213"/>
      <c r="G117" s="273" t="s">
        <v>206</v>
      </c>
      <c r="H117" s="247">
        <f t="shared" ref="H117:S117" si="45">H105</f>
        <v>2011</v>
      </c>
      <c r="I117" s="247">
        <f t="shared" si="45"/>
        <v>2012</v>
      </c>
      <c r="J117" s="247">
        <f t="shared" si="45"/>
        <v>2013</v>
      </c>
      <c r="K117" s="247">
        <f t="shared" si="45"/>
        <v>2014</v>
      </c>
      <c r="L117" s="247">
        <f t="shared" si="45"/>
        <v>2015</v>
      </c>
      <c r="M117" s="247">
        <f t="shared" si="45"/>
        <v>2016</v>
      </c>
      <c r="N117" s="247">
        <f t="shared" si="45"/>
        <v>2017</v>
      </c>
      <c r="O117" s="247">
        <f t="shared" si="45"/>
        <v>2018</v>
      </c>
      <c r="P117" s="247">
        <f t="shared" si="45"/>
        <v>2019</v>
      </c>
      <c r="Q117" s="247">
        <f t="shared" si="45"/>
        <v>2020</v>
      </c>
      <c r="R117" s="247">
        <f t="shared" si="45"/>
        <v>2021</v>
      </c>
      <c r="S117" s="247">
        <f t="shared" si="45"/>
        <v>2022</v>
      </c>
    </row>
    <row r="118" spans="1:20" s="253" customFormat="1" x14ac:dyDescent="0.2">
      <c r="A118" s="263" t="s">
        <v>425</v>
      </c>
      <c r="B118" s="196" t="s">
        <v>426</v>
      </c>
      <c r="C118" s="216" t="s">
        <v>208</v>
      </c>
      <c r="D118" s="216"/>
      <c r="E118" s="289"/>
      <c r="F118" s="294"/>
      <c r="G118" s="282" t="s">
        <v>209</v>
      </c>
      <c r="H118" s="284">
        <f t="shared" ref="H118:S118" si="46">H6+H12</f>
        <v>0</v>
      </c>
      <c r="I118" s="223">
        <f t="shared" si="46"/>
        <v>0</v>
      </c>
      <c r="J118" s="223">
        <f t="shared" si="46"/>
        <v>0</v>
      </c>
      <c r="K118" s="223">
        <f t="shared" si="46"/>
        <v>0</v>
      </c>
      <c r="L118" s="223">
        <f t="shared" si="46"/>
        <v>167.76</v>
      </c>
      <c r="M118" s="223">
        <f t="shared" si="46"/>
        <v>206.21299999999999</v>
      </c>
      <c r="N118" s="223">
        <f t="shared" si="46"/>
        <v>258.24299999999999</v>
      </c>
      <c r="O118" s="223">
        <f t="shared" si="46"/>
        <v>307.452</v>
      </c>
      <c r="P118" s="223">
        <f t="shared" si="46"/>
        <v>314.52699999999999</v>
      </c>
      <c r="Q118" s="223">
        <f t="shared" si="46"/>
        <v>324.60199999999998</v>
      </c>
      <c r="R118" s="223">
        <f t="shared" si="46"/>
        <v>335.67699999999996</v>
      </c>
      <c r="S118" s="223">
        <f t="shared" si="46"/>
        <v>346.75199999999995</v>
      </c>
    </row>
    <row r="119" spans="1:20" s="253" customFormat="1" x14ac:dyDescent="0.2">
      <c r="A119" s="213" t="s">
        <v>427</v>
      </c>
      <c r="B119" s="196" t="s">
        <v>428</v>
      </c>
      <c r="C119" s="213" t="s">
        <v>42</v>
      </c>
      <c r="D119" s="216"/>
      <c r="E119" s="289"/>
      <c r="F119" s="294"/>
      <c r="G119" s="290" t="s">
        <v>211</v>
      </c>
      <c r="H119" s="284">
        <f t="shared" ref="H119:S119" si="47">H19</f>
        <v>0</v>
      </c>
      <c r="I119" s="284">
        <f t="shared" si="47"/>
        <v>0</v>
      </c>
      <c r="J119" s="284">
        <f t="shared" si="47"/>
        <v>0</v>
      </c>
      <c r="K119" s="284">
        <f t="shared" si="47"/>
        <v>39.841999999999999</v>
      </c>
      <c r="L119" s="284">
        <f t="shared" si="47"/>
        <v>106.20399999999999</v>
      </c>
      <c r="M119" s="284">
        <f t="shared" si="47"/>
        <v>152.62899999999999</v>
      </c>
      <c r="N119" s="284">
        <f t="shared" si="47"/>
        <v>157.41300000000001</v>
      </c>
      <c r="O119" s="284">
        <f t="shared" si="47"/>
        <v>157.41300000000001</v>
      </c>
      <c r="P119" s="284">
        <f t="shared" si="47"/>
        <v>156.91999999999999</v>
      </c>
      <c r="Q119" s="284">
        <f t="shared" si="47"/>
        <v>155.923</v>
      </c>
      <c r="R119" s="284">
        <f t="shared" si="47"/>
        <v>155.923</v>
      </c>
      <c r="S119" s="284">
        <f t="shared" si="47"/>
        <v>155.923</v>
      </c>
    </row>
    <row r="120" spans="1:20" s="253" customFormat="1" x14ac:dyDescent="0.2">
      <c r="A120" s="213" t="s">
        <v>429</v>
      </c>
      <c r="B120" s="196" t="s">
        <v>203</v>
      </c>
      <c r="C120" s="213" t="s">
        <v>430</v>
      </c>
      <c r="D120" s="216"/>
      <c r="E120" s="289"/>
      <c r="F120" s="294"/>
      <c r="G120" s="290" t="s">
        <v>212</v>
      </c>
      <c r="H120" s="284">
        <f t="shared" ref="H120:S120" si="48">H119-H118</f>
        <v>0</v>
      </c>
      <c r="I120" s="223">
        <f t="shared" si="48"/>
        <v>0</v>
      </c>
      <c r="J120" s="223">
        <f t="shared" si="48"/>
        <v>0</v>
      </c>
      <c r="K120" s="223">
        <f t="shared" si="48"/>
        <v>39.841999999999999</v>
      </c>
      <c r="L120" s="223">
        <f t="shared" si="48"/>
        <v>-61.555999999999997</v>
      </c>
      <c r="M120" s="223">
        <f>M119-M118</f>
        <v>-53.584000000000003</v>
      </c>
      <c r="N120" s="223">
        <f t="shared" si="48"/>
        <v>-100.82999999999998</v>
      </c>
      <c r="O120" s="223">
        <f t="shared" si="48"/>
        <v>-150.03899999999999</v>
      </c>
      <c r="P120" s="223">
        <f t="shared" si="48"/>
        <v>-157.607</v>
      </c>
      <c r="Q120" s="223">
        <f t="shared" si="48"/>
        <v>-168.67899999999997</v>
      </c>
      <c r="R120" s="223">
        <f t="shared" si="48"/>
        <v>-179.75399999999996</v>
      </c>
      <c r="S120" s="223">
        <f t="shared" si="48"/>
        <v>-190.82899999999995</v>
      </c>
    </row>
    <row r="121" spans="1:20" s="253" customFormat="1" x14ac:dyDescent="0.2">
      <c r="A121" s="263" t="s">
        <v>431</v>
      </c>
      <c r="B121" s="196" t="s">
        <v>207</v>
      </c>
      <c r="C121" s="213" t="s">
        <v>432</v>
      </c>
      <c r="D121" s="216"/>
      <c r="E121" s="285">
        <v>0.4</v>
      </c>
      <c r="F121" s="295" t="s">
        <v>433</v>
      </c>
      <c r="G121" s="286" t="s">
        <v>213</v>
      </c>
      <c r="H121" s="296" t="e">
        <f t="shared" ref="H121:S121" si="49">H120/H33</f>
        <v>#DIV/0!</v>
      </c>
      <c r="I121" s="288" t="e">
        <f t="shared" si="49"/>
        <v>#DIV/0!</v>
      </c>
      <c r="J121" s="288" t="e">
        <f t="shared" si="49"/>
        <v>#DIV/0!</v>
      </c>
      <c r="K121" s="288">
        <f t="shared" si="49"/>
        <v>3.0328080992616271</v>
      </c>
      <c r="L121" s="288">
        <f t="shared" si="49"/>
        <v>-6.442989548825355E-2</v>
      </c>
      <c r="M121" s="288">
        <f t="shared" si="49"/>
        <v>-5.2160031149615503E-2</v>
      </c>
      <c r="N121" s="288">
        <f t="shared" si="49"/>
        <v>-8.8512821323136315E-2</v>
      </c>
      <c r="O121" s="288">
        <f t="shared" si="49"/>
        <v>-0.1196488024274419</v>
      </c>
      <c r="P121" s="288">
        <f t="shared" si="49"/>
        <v>-0.12583608214942754</v>
      </c>
      <c r="Q121" s="288">
        <f t="shared" si="49"/>
        <v>-0.12909740806946085</v>
      </c>
      <c r="R121" s="288">
        <f t="shared" si="49"/>
        <v>-0.1318392948438227</v>
      </c>
      <c r="S121" s="288">
        <f t="shared" si="49"/>
        <v>-0.1340934753914016</v>
      </c>
    </row>
    <row r="122" spans="1:20" s="253" customFormat="1" x14ac:dyDescent="0.2">
      <c r="A122" s="213" t="s">
        <v>434</v>
      </c>
      <c r="B122" s="196" t="s">
        <v>210</v>
      </c>
      <c r="C122" s="213" t="s">
        <v>435</v>
      </c>
      <c r="D122" s="297">
        <v>0</v>
      </c>
      <c r="E122" s="297">
        <v>5</v>
      </c>
      <c r="F122" s="294"/>
      <c r="G122" s="278" t="s">
        <v>215</v>
      </c>
      <c r="H122" s="291" t="e">
        <f t="shared" ref="H122:S122" si="50">H120/H110</f>
        <v>#DIV/0!</v>
      </c>
      <c r="I122" s="291" t="e">
        <f t="shared" si="50"/>
        <v>#DIV/0!</v>
      </c>
      <c r="J122" s="291" t="e">
        <f t="shared" si="50"/>
        <v>#DIV/0!</v>
      </c>
      <c r="K122" s="291">
        <f t="shared" si="50"/>
        <v>3.2735190206227913</v>
      </c>
      <c r="L122" s="291">
        <f t="shared" si="50"/>
        <v>-7.4740165128704632</v>
      </c>
      <c r="M122" s="291">
        <f>M120/M110</f>
        <v>-0.98739588707894355</v>
      </c>
      <c r="N122" s="291">
        <f t="shared" si="50"/>
        <v>-4.2663112465093125</v>
      </c>
      <c r="O122" s="291">
        <f t="shared" si="50"/>
        <v>-3.0490773857909397</v>
      </c>
      <c r="P122" s="291">
        <f t="shared" si="50"/>
        <v>-22.606681297244542</v>
      </c>
      <c r="Q122" s="291">
        <f t="shared" si="50"/>
        <v>-16.015377436014958</v>
      </c>
      <c r="R122" s="291">
        <f t="shared" si="50"/>
        <v>-16.660068978194765</v>
      </c>
      <c r="S122" s="291">
        <f t="shared" si="50"/>
        <v>-16.915200901985358</v>
      </c>
    </row>
    <row r="123" spans="1:20" s="253" customFormat="1" x14ac:dyDescent="0.2">
      <c r="A123" s="213" t="s">
        <v>436</v>
      </c>
      <c r="B123" s="196" t="s">
        <v>437</v>
      </c>
      <c r="C123" s="213" t="s">
        <v>217</v>
      </c>
      <c r="D123" s="216"/>
      <c r="E123" s="289"/>
      <c r="F123" s="294"/>
      <c r="G123" s="290" t="s">
        <v>218</v>
      </c>
      <c r="H123" s="284">
        <f t="shared" ref="H123:S123" si="51">-(H75+H77+H78+H79+H80+H81)</f>
        <v>0</v>
      </c>
      <c r="I123" s="284">
        <f t="shared" si="51"/>
        <v>0</v>
      </c>
      <c r="J123" s="284">
        <f t="shared" si="51"/>
        <v>0</v>
      </c>
      <c r="K123" s="284">
        <f t="shared" si="51"/>
        <v>0</v>
      </c>
      <c r="L123" s="284">
        <f t="shared" si="51"/>
        <v>0</v>
      </c>
      <c r="M123" s="284">
        <f t="shared" si="51"/>
        <v>0</v>
      </c>
      <c r="N123" s="284">
        <f t="shared" si="51"/>
        <v>0</v>
      </c>
      <c r="O123" s="284">
        <f t="shared" si="51"/>
        <v>0</v>
      </c>
      <c r="P123" s="284">
        <f t="shared" si="51"/>
        <v>0</v>
      </c>
      <c r="Q123" s="284">
        <f t="shared" si="51"/>
        <v>0</v>
      </c>
      <c r="R123" s="284">
        <f t="shared" si="51"/>
        <v>0</v>
      </c>
      <c r="S123" s="284">
        <f t="shared" si="51"/>
        <v>0</v>
      </c>
    </row>
    <row r="124" spans="1:20" s="253" customFormat="1" x14ac:dyDescent="0.2">
      <c r="A124" s="213" t="s">
        <v>438</v>
      </c>
      <c r="B124" s="196" t="s">
        <v>439</v>
      </c>
      <c r="C124" s="213" t="s">
        <v>440</v>
      </c>
      <c r="D124" s="216"/>
      <c r="E124" s="297">
        <v>1.2</v>
      </c>
      <c r="F124" s="295" t="s">
        <v>433</v>
      </c>
      <c r="G124" s="290" t="s">
        <v>220</v>
      </c>
      <c r="H124" s="298" t="e">
        <f t="shared" ref="H124:S124" si="52">H110/H123</f>
        <v>#DIV/0!</v>
      </c>
      <c r="I124" s="291" t="e">
        <f t="shared" si="52"/>
        <v>#DIV/0!</v>
      </c>
      <c r="J124" s="291" t="e">
        <f t="shared" si="52"/>
        <v>#DIV/0!</v>
      </c>
      <c r="K124" s="291" t="e">
        <f t="shared" si="52"/>
        <v>#DIV/0!</v>
      </c>
      <c r="L124" s="291" t="e">
        <f t="shared" si="52"/>
        <v>#DIV/0!</v>
      </c>
      <c r="M124" s="291" t="e">
        <f t="shared" si="52"/>
        <v>#DIV/0!</v>
      </c>
      <c r="N124" s="291" t="e">
        <f t="shared" si="52"/>
        <v>#DIV/0!</v>
      </c>
      <c r="O124" s="291" t="e">
        <f t="shared" si="52"/>
        <v>#DIV/0!</v>
      </c>
      <c r="P124" s="291" t="e">
        <f t="shared" si="52"/>
        <v>#DIV/0!</v>
      </c>
      <c r="Q124" s="291" t="e">
        <f t="shared" si="52"/>
        <v>#DIV/0!</v>
      </c>
      <c r="R124" s="291" t="e">
        <f t="shared" si="52"/>
        <v>#DIV/0!</v>
      </c>
      <c r="S124" s="291" t="e">
        <f t="shared" si="52"/>
        <v>#DIV/0!</v>
      </c>
    </row>
    <row r="125" spans="1:20" s="253" customFormat="1" x14ac:dyDescent="0.2">
      <c r="A125" s="299" t="s">
        <v>441</v>
      </c>
      <c r="B125" s="196" t="s">
        <v>442</v>
      </c>
      <c r="C125" s="213" t="s">
        <v>222</v>
      </c>
      <c r="D125" s="216"/>
      <c r="E125" s="297">
        <v>0</v>
      </c>
      <c r="F125" s="294"/>
      <c r="G125" s="282" t="s">
        <v>223</v>
      </c>
      <c r="H125" s="284">
        <f t="shared" ref="H125:S125" si="53">H5-H20</f>
        <v>0</v>
      </c>
      <c r="I125" s="284">
        <f t="shared" si="53"/>
        <v>0</v>
      </c>
      <c r="J125" s="284">
        <f t="shared" si="53"/>
        <v>0</v>
      </c>
      <c r="K125" s="284">
        <f t="shared" si="53"/>
        <v>17.451000000000001</v>
      </c>
      <c r="L125" s="284">
        <f t="shared" si="53"/>
        <v>72.102999999999994</v>
      </c>
      <c r="M125" s="284">
        <f t="shared" si="53"/>
        <v>126.80600000000001</v>
      </c>
      <c r="N125" s="284">
        <f t="shared" si="53"/>
        <v>307.84199999999998</v>
      </c>
      <c r="O125" s="284">
        <f t="shared" si="53"/>
        <v>356.56200000000001</v>
      </c>
      <c r="P125" s="284">
        <f t="shared" si="53"/>
        <v>363.637</v>
      </c>
      <c r="Q125" s="284">
        <f t="shared" si="53"/>
        <v>372.71199999999999</v>
      </c>
      <c r="R125" s="284">
        <f t="shared" si="53"/>
        <v>383.78699999999998</v>
      </c>
      <c r="S125" s="284">
        <f t="shared" si="53"/>
        <v>394.86199999999997</v>
      </c>
    </row>
    <row r="126" spans="1:20" s="253" customFormat="1" x14ac:dyDescent="0.2">
      <c r="A126" s="263" t="s">
        <v>443</v>
      </c>
      <c r="B126" s="196" t="s">
        <v>444</v>
      </c>
      <c r="C126" s="213" t="s">
        <v>225</v>
      </c>
      <c r="D126" s="216"/>
      <c r="E126" s="297">
        <v>1</v>
      </c>
      <c r="F126" s="295" t="s">
        <v>433</v>
      </c>
      <c r="G126" s="290" t="s">
        <v>226</v>
      </c>
      <c r="H126" s="298" t="e">
        <f t="shared" ref="H126:S126" si="54">H5/H20</f>
        <v>#DIV/0!</v>
      </c>
      <c r="I126" s="298" t="e">
        <f t="shared" si="54"/>
        <v>#DIV/0!</v>
      </c>
      <c r="J126" s="298" t="e">
        <f t="shared" si="54"/>
        <v>#DIV/0!</v>
      </c>
      <c r="K126" s="298">
        <f t="shared" si="54"/>
        <v>1.4380051202248882</v>
      </c>
      <c r="L126" s="298">
        <f t="shared" si="54"/>
        <v>1.6789103988550338</v>
      </c>
      <c r="M126" s="298">
        <f t="shared" si="54"/>
        <v>1.8308119688918882</v>
      </c>
      <c r="N126" s="298" t="e">
        <f t="shared" si="54"/>
        <v>#DIV/0!</v>
      </c>
      <c r="O126" s="298" t="e">
        <f t="shared" si="54"/>
        <v>#DIV/0!</v>
      </c>
      <c r="P126" s="298" t="e">
        <f t="shared" si="54"/>
        <v>#DIV/0!</v>
      </c>
      <c r="Q126" s="298" t="e">
        <f t="shared" si="54"/>
        <v>#DIV/0!</v>
      </c>
      <c r="R126" s="298" t="e">
        <f t="shared" si="54"/>
        <v>#DIV/0!</v>
      </c>
      <c r="S126" s="298" t="e">
        <f t="shared" si="54"/>
        <v>#DIV/0!</v>
      </c>
    </row>
    <row r="127" spans="1:20" s="253" customFormat="1" x14ac:dyDescent="0.2">
      <c r="A127" s="263" t="s">
        <v>445</v>
      </c>
      <c r="B127" s="196" t="s">
        <v>214</v>
      </c>
      <c r="C127" s="263" t="s">
        <v>228</v>
      </c>
      <c r="D127" s="216"/>
      <c r="E127" s="297">
        <v>1</v>
      </c>
      <c r="F127" s="294"/>
      <c r="G127" s="286" t="s">
        <v>229</v>
      </c>
      <c r="H127" s="298" t="e">
        <f t="shared" ref="H127:S127" si="55">-H6/((H38+H41-H45+H47)/12)</f>
        <v>#DIV/0!</v>
      </c>
      <c r="I127" s="298" t="e">
        <f t="shared" si="55"/>
        <v>#DIV/0!</v>
      </c>
      <c r="J127" s="298" t="e">
        <f t="shared" si="55"/>
        <v>#DIV/0!</v>
      </c>
      <c r="K127" s="298">
        <f t="shared" si="55"/>
        <v>0</v>
      </c>
      <c r="L127" s="298">
        <f t="shared" si="55"/>
        <v>2.125779960570346</v>
      </c>
      <c r="M127" s="298">
        <f t="shared" si="55"/>
        <v>2.5442715857203222</v>
      </c>
      <c r="N127" s="298">
        <f t="shared" si="55"/>
        <v>2.7779938199391672</v>
      </c>
      <c r="O127" s="298">
        <f t="shared" si="55"/>
        <v>3.062303959123065</v>
      </c>
      <c r="P127" s="298">
        <f t="shared" si="55"/>
        <v>3.0303517387177861</v>
      </c>
      <c r="Q127" s="298">
        <f t="shared" si="55"/>
        <v>3.0054112461800528</v>
      </c>
      <c r="R127" s="298">
        <f t="shared" si="55"/>
        <v>2.9779650411474279</v>
      </c>
      <c r="S127" s="298">
        <f t="shared" si="55"/>
        <v>2.9472707619671947</v>
      </c>
    </row>
    <row r="128" spans="1:20" s="253" customFormat="1" x14ac:dyDescent="0.2">
      <c r="A128" s="263"/>
      <c r="B128" s="196"/>
      <c r="C128" s="263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</row>
    <row r="129" spans="1:21" s="253" customFormat="1" x14ac:dyDescent="0.2">
      <c r="A129" s="213"/>
      <c r="B129" s="196"/>
      <c r="C129" s="213"/>
      <c r="D129" s="216"/>
      <c r="E129" s="214"/>
      <c r="F129" s="294"/>
      <c r="G129" s="273" t="s">
        <v>230</v>
      </c>
      <c r="H129" s="247">
        <f t="shared" ref="H129:S129" si="56">H117</f>
        <v>2011</v>
      </c>
      <c r="I129" s="247">
        <f t="shared" si="56"/>
        <v>2012</v>
      </c>
      <c r="J129" s="247">
        <f t="shared" si="56"/>
        <v>2013</v>
      </c>
      <c r="K129" s="247">
        <f t="shared" si="56"/>
        <v>2014</v>
      </c>
      <c r="L129" s="247">
        <f t="shared" si="56"/>
        <v>2015</v>
      </c>
      <c r="M129" s="247">
        <f t="shared" si="56"/>
        <v>2016</v>
      </c>
      <c r="N129" s="247">
        <f t="shared" si="56"/>
        <v>2017</v>
      </c>
      <c r="O129" s="247">
        <f t="shared" si="56"/>
        <v>2018</v>
      </c>
      <c r="P129" s="247">
        <f t="shared" si="56"/>
        <v>2019</v>
      </c>
      <c r="Q129" s="247">
        <f t="shared" si="56"/>
        <v>2020</v>
      </c>
      <c r="R129" s="247">
        <f t="shared" si="56"/>
        <v>2021</v>
      </c>
      <c r="S129" s="247">
        <f t="shared" si="56"/>
        <v>2022</v>
      </c>
    </row>
    <row r="130" spans="1:21" s="253" customFormat="1" x14ac:dyDescent="0.2">
      <c r="A130" s="263" t="s">
        <v>446</v>
      </c>
      <c r="B130" s="196" t="s">
        <v>216</v>
      </c>
      <c r="C130" s="263" t="s">
        <v>232</v>
      </c>
      <c r="D130" s="216"/>
      <c r="E130" s="285">
        <v>0.6</v>
      </c>
      <c r="F130" s="294"/>
      <c r="G130" s="282" t="s">
        <v>233</v>
      </c>
      <c r="H130" s="296" t="e">
        <f t="shared" ref="H130:S130" si="57">H17/H4</f>
        <v>#DIV/0!</v>
      </c>
      <c r="I130" s="296" t="e">
        <f t="shared" si="57"/>
        <v>#DIV/0!</v>
      </c>
      <c r="J130" s="296" t="e">
        <f t="shared" si="57"/>
        <v>#DIV/0!</v>
      </c>
      <c r="K130" s="296">
        <f t="shared" si="57"/>
        <v>0</v>
      </c>
      <c r="L130" s="296">
        <f t="shared" si="57"/>
        <v>0</v>
      </c>
      <c r="M130" s="296">
        <f t="shared" si="57"/>
        <v>0</v>
      </c>
      <c r="N130" s="296">
        <f t="shared" si="57"/>
        <v>0</v>
      </c>
      <c r="O130" s="296">
        <f t="shared" si="57"/>
        <v>0</v>
      </c>
      <c r="P130" s="296">
        <f t="shared" si="57"/>
        <v>0</v>
      </c>
      <c r="Q130" s="296">
        <f t="shared" si="57"/>
        <v>0</v>
      </c>
      <c r="R130" s="296">
        <f t="shared" si="57"/>
        <v>0</v>
      </c>
      <c r="S130" s="296">
        <f t="shared" si="57"/>
        <v>0</v>
      </c>
    </row>
    <row r="131" spans="1:21" s="253" customFormat="1" x14ac:dyDescent="0.2">
      <c r="A131" s="263" t="s">
        <v>447</v>
      </c>
      <c r="B131" s="196" t="s">
        <v>219</v>
      </c>
      <c r="C131" s="263" t="s">
        <v>235</v>
      </c>
      <c r="D131" s="216"/>
      <c r="E131" s="285">
        <v>0.4</v>
      </c>
      <c r="F131" s="294"/>
      <c r="G131" s="286" t="s">
        <v>236</v>
      </c>
      <c r="H131" s="296" t="e">
        <f t="shared" ref="H131:S131" si="58">H27/H17</f>
        <v>#DIV/0!</v>
      </c>
      <c r="I131" s="296" t="e">
        <f t="shared" si="58"/>
        <v>#DIV/0!</v>
      </c>
      <c r="J131" s="296" t="e">
        <f t="shared" si="58"/>
        <v>#DIV/0!</v>
      </c>
      <c r="K131" s="296" t="e">
        <f t="shared" si="58"/>
        <v>#DIV/0!</v>
      </c>
      <c r="L131" s="296" t="e">
        <f t="shared" si="58"/>
        <v>#DIV/0!</v>
      </c>
      <c r="M131" s="296" t="e">
        <f t="shared" si="58"/>
        <v>#DIV/0!</v>
      </c>
      <c r="N131" s="296" t="e">
        <f t="shared" si="58"/>
        <v>#DIV/0!</v>
      </c>
      <c r="O131" s="296" t="e">
        <f t="shared" si="58"/>
        <v>#DIV/0!</v>
      </c>
      <c r="P131" s="296" t="e">
        <f t="shared" si="58"/>
        <v>#DIV/0!</v>
      </c>
      <c r="Q131" s="296" t="e">
        <f t="shared" si="58"/>
        <v>#DIV/0!</v>
      </c>
      <c r="R131" s="296" t="e">
        <f t="shared" si="58"/>
        <v>#DIV/0!</v>
      </c>
      <c r="S131" s="296" t="e">
        <f t="shared" si="58"/>
        <v>#DIV/0!</v>
      </c>
    </row>
    <row r="132" spans="1:21" s="253" customFormat="1" x14ac:dyDescent="0.2">
      <c r="A132" s="263"/>
      <c r="B132" s="196"/>
      <c r="C132" s="263"/>
      <c r="D132" s="263"/>
      <c r="E132" s="263"/>
      <c r="F132" s="263"/>
      <c r="G132" s="263"/>
      <c r="H132" s="263"/>
      <c r="I132" s="263"/>
      <c r="J132" s="263"/>
      <c r="K132" s="263"/>
      <c r="L132" s="263"/>
      <c r="M132" s="263"/>
      <c r="N132" s="263"/>
      <c r="O132" s="263"/>
      <c r="P132" s="263"/>
      <c r="Q132" s="263"/>
      <c r="R132" s="263"/>
      <c r="S132" s="263"/>
      <c r="T132" s="263"/>
      <c r="U132" s="263"/>
    </row>
    <row r="133" spans="1:21" s="253" customFormat="1" x14ac:dyDescent="0.2">
      <c r="A133" s="213"/>
      <c r="B133" s="196"/>
      <c r="C133" s="213"/>
      <c r="D133" s="216"/>
      <c r="E133" s="214"/>
      <c r="F133" s="294"/>
      <c r="G133" s="273" t="s">
        <v>237</v>
      </c>
      <c r="H133" s="247">
        <f t="shared" ref="H133:S133" si="59">H117</f>
        <v>2011</v>
      </c>
      <c r="I133" s="247">
        <f t="shared" si="59"/>
        <v>2012</v>
      </c>
      <c r="J133" s="247">
        <f t="shared" si="59"/>
        <v>2013</v>
      </c>
      <c r="K133" s="247">
        <f t="shared" si="59"/>
        <v>2014</v>
      </c>
      <c r="L133" s="247">
        <f t="shared" si="59"/>
        <v>2015</v>
      </c>
      <c r="M133" s="247">
        <f t="shared" si="59"/>
        <v>2016</v>
      </c>
      <c r="N133" s="247">
        <f t="shared" si="59"/>
        <v>2017</v>
      </c>
      <c r="O133" s="247">
        <f t="shared" si="59"/>
        <v>2018</v>
      </c>
      <c r="P133" s="247">
        <f t="shared" si="59"/>
        <v>2019</v>
      </c>
      <c r="Q133" s="247">
        <f t="shared" si="59"/>
        <v>2020</v>
      </c>
      <c r="R133" s="247">
        <f t="shared" si="59"/>
        <v>2021</v>
      </c>
      <c r="S133" s="247">
        <f t="shared" si="59"/>
        <v>2022</v>
      </c>
    </row>
    <row r="134" spans="1:21" s="253" customFormat="1" x14ac:dyDescent="0.2">
      <c r="A134" s="263" t="s">
        <v>448</v>
      </c>
      <c r="B134" s="196" t="s">
        <v>221</v>
      </c>
      <c r="C134" s="300" t="s">
        <v>239</v>
      </c>
      <c r="D134" s="216"/>
      <c r="E134" s="289"/>
      <c r="F134" s="294"/>
      <c r="G134" s="290" t="s">
        <v>240</v>
      </c>
      <c r="H134" s="301" t="e">
        <f t="shared" ref="H134:S134" si="60">H10/H4</f>
        <v>#DIV/0!</v>
      </c>
      <c r="I134" s="301" t="e">
        <f t="shared" si="60"/>
        <v>#DIV/0!</v>
      </c>
      <c r="J134" s="301" t="e">
        <f t="shared" si="60"/>
        <v>#DIV/0!</v>
      </c>
      <c r="K134" s="301">
        <f t="shared" si="60"/>
        <v>0.20981711858328964</v>
      </c>
      <c r="L134" s="301">
        <f t="shared" si="60"/>
        <v>7.1327382006437443E-2</v>
      </c>
      <c r="M134" s="301">
        <f t="shared" si="60"/>
        <v>4.2952160451543965E-2</v>
      </c>
      <c r="N134" s="301">
        <f t="shared" si="60"/>
        <v>3.5908903002743429E-2</v>
      </c>
      <c r="O134" s="301">
        <f t="shared" si="60"/>
        <v>2.8316977923603291E-2</v>
      </c>
      <c r="P134" s="301">
        <f t="shared" si="60"/>
        <v>2.4979018803977984E-2</v>
      </c>
      <c r="Q134" s="301">
        <f t="shared" si="60"/>
        <v>2.1632589847041504E-2</v>
      </c>
      <c r="R134" s="301">
        <f t="shared" si="60"/>
        <v>1.8329569027479013E-2</v>
      </c>
      <c r="S134" s="301">
        <f t="shared" si="60"/>
        <v>1.5191306711759237E-2</v>
      </c>
    </row>
    <row r="135" spans="1:21" s="253" customFormat="1" x14ac:dyDescent="0.2">
      <c r="A135" s="263" t="s">
        <v>449</v>
      </c>
      <c r="B135" s="196" t="s">
        <v>224</v>
      </c>
      <c r="C135" s="300" t="s">
        <v>242</v>
      </c>
      <c r="D135" s="216"/>
      <c r="E135" s="289"/>
      <c r="F135" s="294"/>
      <c r="G135" s="290" t="s">
        <v>243</v>
      </c>
      <c r="H135" s="301" t="e">
        <f t="shared" ref="H135:S135" si="61">-(H58)/H15</f>
        <v>#DIV/0!</v>
      </c>
      <c r="I135" s="301" t="e">
        <f t="shared" si="61"/>
        <v>#DIV/0!</v>
      </c>
      <c r="J135" s="301" t="e">
        <f t="shared" si="61"/>
        <v>#DIV/0!</v>
      </c>
      <c r="K135" s="301">
        <f t="shared" si="61"/>
        <v>0</v>
      </c>
      <c r="L135" s="301">
        <f t="shared" si="61"/>
        <v>0</v>
      </c>
      <c r="M135" s="301">
        <f t="shared" si="61"/>
        <v>0</v>
      </c>
      <c r="N135" s="301">
        <f t="shared" si="61"/>
        <v>0</v>
      </c>
      <c r="O135" s="301">
        <f t="shared" si="61"/>
        <v>0</v>
      </c>
      <c r="P135" s="301">
        <f t="shared" si="61"/>
        <v>0</v>
      </c>
      <c r="Q135" s="301">
        <f t="shared" si="61"/>
        <v>0</v>
      </c>
      <c r="R135" s="301">
        <f t="shared" si="61"/>
        <v>0</v>
      </c>
      <c r="S135" s="301">
        <f t="shared" si="61"/>
        <v>0</v>
      </c>
    </row>
    <row r="136" spans="1:21" s="253" customFormat="1" x14ac:dyDescent="0.2">
      <c r="A136" s="263" t="s">
        <v>450</v>
      </c>
      <c r="B136" s="196" t="s">
        <v>227</v>
      </c>
      <c r="C136" s="213" t="s">
        <v>245</v>
      </c>
      <c r="D136" s="216"/>
      <c r="E136" s="289"/>
      <c r="F136" s="294"/>
      <c r="G136" s="282" t="s">
        <v>246</v>
      </c>
      <c r="H136" s="291" t="e">
        <f t="shared" ref="H136:S136" si="62">H33/H4</f>
        <v>#DIV/0!</v>
      </c>
      <c r="I136" s="291" t="e">
        <f t="shared" si="62"/>
        <v>#DIV/0!</v>
      </c>
      <c r="J136" s="291" t="e">
        <f t="shared" si="62"/>
        <v>#DIV/0!</v>
      </c>
      <c r="K136" s="291">
        <f t="shared" si="62"/>
        <v>0.1811850053788652</v>
      </c>
      <c r="L136" s="291">
        <f t="shared" si="62"/>
        <v>4.9759637920438333</v>
      </c>
      <c r="M136" s="291">
        <f t="shared" si="62"/>
        <v>3.5184398717702825</v>
      </c>
      <c r="N136" s="291">
        <f t="shared" si="62"/>
        <v>3.5675805178698936</v>
      </c>
      <c r="O136" s="291">
        <f t="shared" si="62"/>
        <v>3.417317749139535</v>
      </c>
      <c r="P136" s="291">
        <f t="shared" si="62"/>
        <v>3.3582746351416941</v>
      </c>
      <c r="Q136" s="291">
        <f t="shared" si="62"/>
        <v>3.4298260677826402</v>
      </c>
      <c r="R136" s="291">
        <f t="shared" si="62"/>
        <v>3.4874592508562414</v>
      </c>
      <c r="S136" s="291">
        <f t="shared" si="62"/>
        <v>3.5493045053285552</v>
      </c>
    </row>
    <row r="137" spans="1:21" s="253" customFormat="1" x14ac:dyDescent="0.2">
      <c r="A137" s="263" t="s">
        <v>451</v>
      </c>
      <c r="B137" s="196" t="s">
        <v>231</v>
      </c>
      <c r="C137" s="300" t="s">
        <v>248</v>
      </c>
      <c r="D137" s="216"/>
      <c r="E137" s="289"/>
      <c r="F137" s="294"/>
      <c r="G137" s="286" t="s">
        <v>249</v>
      </c>
      <c r="H137" s="291" t="e">
        <f t="shared" ref="H137:S137" si="63">H33/H15</f>
        <v>#DIV/0!</v>
      </c>
      <c r="I137" s="291" t="e">
        <f t="shared" si="63"/>
        <v>#DIV/0!</v>
      </c>
      <c r="J137" s="291" t="e">
        <f t="shared" si="63"/>
        <v>#DIV/0!</v>
      </c>
      <c r="K137" s="291">
        <f t="shared" si="63"/>
        <v>0.86353776375468361</v>
      </c>
      <c r="L137" s="291">
        <f t="shared" si="63"/>
        <v>69.762322015334064</v>
      </c>
      <c r="M137" s="291">
        <f t="shared" si="63"/>
        <v>81.915317757754565</v>
      </c>
      <c r="N137" s="291">
        <f t="shared" si="63"/>
        <v>99.350863422291994</v>
      </c>
      <c r="O137" s="291">
        <f t="shared" si="63"/>
        <v>120.68087768260995</v>
      </c>
      <c r="P137" s="291">
        <f t="shared" si="63"/>
        <v>134.44381708887934</v>
      </c>
      <c r="Q137" s="291">
        <f t="shared" si="63"/>
        <v>158.54902681713384</v>
      </c>
      <c r="R137" s="291">
        <f t="shared" si="63"/>
        <v>190.26411617359753</v>
      </c>
      <c r="S137" s="291">
        <f t="shared" si="63"/>
        <v>233.64050062797568</v>
      </c>
    </row>
    <row r="138" spans="1:21" s="253" customFormat="1" x14ac:dyDescent="0.2">
      <c r="A138" s="213" t="s">
        <v>452</v>
      </c>
      <c r="B138" s="196" t="s">
        <v>234</v>
      </c>
      <c r="C138" s="300" t="s">
        <v>251</v>
      </c>
      <c r="D138" s="285">
        <v>0.5</v>
      </c>
      <c r="E138" s="285">
        <f>1/3</f>
        <v>0.33333333333333331</v>
      </c>
      <c r="F138" s="295" t="s">
        <v>433</v>
      </c>
      <c r="G138" s="278" t="s">
        <v>252</v>
      </c>
      <c r="H138" s="301" t="e">
        <f t="shared" ref="H138:S138" si="64">H27/H4</f>
        <v>#DIV/0!</v>
      </c>
      <c r="I138" s="301" t="e">
        <f t="shared" si="64"/>
        <v>#DIV/0!</v>
      </c>
      <c r="J138" s="301" t="e">
        <f t="shared" si="64"/>
        <v>#DIV/0!</v>
      </c>
      <c r="K138" s="301">
        <f t="shared" si="64"/>
        <v>0.45050064822221614</v>
      </c>
      <c r="L138" s="301">
        <f t="shared" si="64"/>
        <v>0.44686513682149154</v>
      </c>
      <c r="M138" s="301">
        <f t="shared" si="64"/>
        <v>0.47725497986135851</v>
      </c>
      <c r="N138" s="301">
        <f t="shared" si="64"/>
        <v>0.5070214338507022</v>
      </c>
      <c r="O138" s="301">
        <f t="shared" si="64"/>
        <v>0.57236212811995002</v>
      </c>
      <c r="P138" s="301">
        <f t="shared" si="64"/>
        <v>0.57924188838808122</v>
      </c>
      <c r="Q138" s="301">
        <f t="shared" si="64"/>
        <v>0.59070279010796622</v>
      </c>
      <c r="R138" s="301">
        <f t="shared" si="64"/>
        <v>0.6011720078884164</v>
      </c>
      <c r="S138" s="301">
        <f t="shared" si="64"/>
        <v>0.61111900896115012</v>
      </c>
    </row>
    <row r="139" spans="1:21" s="253" customFormat="1" x14ac:dyDescent="0.2">
      <c r="A139" s="213"/>
      <c r="B139" s="196"/>
      <c r="C139" s="300"/>
      <c r="D139" s="300"/>
      <c r="E139" s="300"/>
      <c r="F139" s="300"/>
      <c r="G139" s="300"/>
      <c r="H139" s="300"/>
      <c r="I139" s="300"/>
      <c r="J139" s="300"/>
      <c r="K139" s="300"/>
      <c r="L139" s="300"/>
      <c r="M139" s="300"/>
      <c r="N139" s="300"/>
      <c r="O139" s="300"/>
      <c r="P139" s="300"/>
      <c r="Q139" s="300"/>
      <c r="R139" s="300"/>
      <c r="S139" s="300"/>
    </row>
    <row r="140" spans="1:21" s="253" customFormat="1" x14ac:dyDescent="0.2">
      <c r="A140" s="281"/>
      <c r="B140" s="196"/>
      <c r="C140" s="196"/>
      <c r="D140" s="302"/>
      <c r="E140" s="303"/>
      <c r="F140" s="294"/>
      <c r="G140" s="273" t="s">
        <v>253</v>
      </c>
      <c r="H140" s="247">
        <f t="shared" ref="H140:S140" si="65">H133</f>
        <v>2011</v>
      </c>
      <c r="I140" s="247">
        <f t="shared" si="65"/>
        <v>2012</v>
      </c>
      <c r="J140" s="247">
        <f t="shared" si="65"/>
        <v>2013</v>
      </c>
      <c r="K140" s="247">
        <f t="shared" si="65"/>
        <v>2014</v>
      </c>
      <c r="L140" s="247">
        <f t="shared" si="65"/>
        <v>2015</v>
      </c>
      <c r="M140" s="247">
        <f t="shared" si="65"/>
        <v>2016</v>
      </c>
      <c r="N140" s="247">
        <f t="shared" si="65"/>
        <v>2017</v>
      </c>
      <c r="O140" s="247">
        <f t="shared" si="65"/>
        <v>2018</v>
      </c>
      <c r="P140" s="247">
        <f t="shared" si="65"/>
        <v>2019</v>
      </c>
      <c r="Q140" s="247">
        <f t="shared" si="65"/>
        <v>2020</v>
      </c>
      <c r="R140" s="247">
        <f t="shared" si="65"/>
        <v>2021</v>
      </c>
      <c r="S140" s="247">
        <f t="shared" si="65"/>
        <v>2022</v>
      </c>
    </row>
    <row r="141" spans="1:21" s="253" customFormat="1" x14ac:dyDescent="0.2">
      <c r="A141" s="213" t="s">
        <v>453</v>
      </c>
      <c r="B141" s="196" t="s">
        <v>238</v>
      </c>
      <c r="C141" s="213" t="s">
        <v>255</v>
      </c>
      <c r="D141" s="304"/>
      <c r="E141" s="285">
        <v>0.05</v>
      </c>
      <c r="F141" s="213"/>
      <c r="G141" s="282" t="s">
        <v>256</v>
      </c>
      <c r="H141" s="288" t="e">
        <f t="shared" ref="H141:S141" si="66">H35/H33</f>
        <v>#DIV/0!</v>
      </c>
      <c r="I141" s="288" t="e">
        <f t="shared" si="66"/>
        <v>#DIV/0!</v>
      </c>
      <c r="J141" s="288" t="e">
        <f t="shared" si="66"/>
        <v>#DIV/0!</v>
      </c>
      <c r="K141" s="288">
        <f t="shared" si="66"/>
        <v>0</v>
      </c>
      <c r="L141" s="288">
        <f t="shared" si="66"/>
        <v>0.15472239230894028</v>
      </c>
      <c r="M141" s="288">
        <f t="shared" si="66"/>
        <v>0.12808624549790715</v>
      </c>
      <c r="N141" s="288">
        <f t="shared" si="66"/>
        <v>0.18213468380565628</v>
      </c>
      <c r="O141" s="288">
        <f t="shared" si="66"/>
        <v>0.17788188948121803</v>
      </c>
      <c r="P141" s="288">
        <f t="shared" si="66"/>
        <v>0.13573086198838047</v>
      </c>
      <c r="Q141" s="288">
        <f t="shared" si="66"/>
        <v>0.13010842708225889</v>
      </c>
      <c r="R141" s="288">
        <f t="shared" si="66"/>
        <v>0.12468529280822604</v>
      </c>
      <c r="S141" s="288">
        <f t="shared" si="66"/>
        <v>0.1194571622580335</v>
      </c>
    </row>
    <row r="142" spans="1:21" s="253" customFormat="1" x14ac:dyDescent="0.2">
      <c r="A142" s="213" t="s">
        <v>454</v>
      </c>
      <c r="B142" s="196" t="s">
        <v>241</v>
      </c>
      <c r="C142" s="213" t="s">
        <v>258</v>
      </c>
      <c r="D142" s="216"/>
      <c r="E142" s="285">
        <v>0.95</v>
      </c>
      <c r="F142" s="213"/>
      <c r="G142" s="290" t="s">
        <v>259</v>
      </c>
      <c r="H142" s="301" t="e">
        <f t="shared" ref="H142:S142" si="67">(H36+H34)/H33</f>
        <v>#DIV/0!</v>
      </c>
      <c r="I142" s="301" t="e">
        <f t="shared" si="67"/>
        <v>#DIV/0!</v>
      </c>
      <c r="J142" s="301" t="e">
        <f t="shared" si="67"/>
        <v>#DIV/0!</v>
      </c>
      <c r="K142" s="301">
        <f t="shared" si="67"/>
        <v>0.98043693385095532</v>
      </c>
      <c r="L142" s="301">
        <f t="shared" si="67"/>
        <v>0.843184232699564</v>
      </c>
      <c r="M142" s="301">
        <f t="shared" si="67"/>
        <v>0.87191375450209285</v>
      </c>
      <c r="N142" s="301">
        <f t="shared" si="67"/>
        <v>0.81786531619434366</v>
      </c>
      <c r="O142" s="301">
        <f t="shared" si="67"/>
        <v>0.82211811051878203</v>
      </c>
      <c r="P142" s="301">
        <f t="shared" si="67"/>
        <v>0.86426913801161953</v>
      </c>
      <c r="Q142" s="301">
        <f t="shared" si="67"/>
        <v>0.86989157291774111</v>
      </c>
      <c r="R142" s="301">
        <f t="shared" si="67"/>
        <v>0.87531470719177396</v>
      </c>
      <c r="S142" s="301">
        <f t="shared" si="67"/>
        <v>0.88054283774196651</v>
      </c>
    </row>
    <row r="143" spans="1:21" s="253" customFormat="1" x14ac:dyDescent="0.2">
      <c r="A143" s="213" t="s">
        <v>455</v>
      </c>
      <c r="B143" s="196" t="s">
        <v>244</v>
      </c>
      <c r="C143" s="213" t="s">
        <v>261</v>
      </c>
      <c r="D143" s="216"/>
      <c r="E143" s="285">
        <v>0.95</v>
      </c>
      <c r="F143" s="213"/>
      <c r="G143" s="286" t="s">
        <v>262</v>
      </c>
      <c r="H143" s="288" t="e">
        <f t="shared" ref="H143:S143" si="68">H38/(H38+H41)</f>
        <v>#DIV/0!</v>
      </c>
      <c r="I143" s="288" t="e">
        <f t="shared" si="68"/>
        <v>#DIV/0!</v>
      </c>
      <c r="J143" s="288" t="e">
        <f t="shared" si="68"/>
        <v>#DIV/0!</v>
      </c>
      <c r="K143" s="288">
        <f t="shared" si="68"/>
        <v>0</v>
      </c>
      <c r="L143" s="288">
        <f t="shared" si="68"/>
        <v>5.0596778460951404E-4</v>
      </c>
      <c r="M143" s="288">
        <f t="shared" si="68"/>
        <v>1.2266663929335802E-3</v>
      </c>
      <c r="N143" s="288">
        <f t="shared" si="68"/>
        <v>1.1866401336918029E-3</v>
      </c>
      <c r="O143" s="288">
        <f t="shared" si="68"/>
        <v>1.3683157774272677E-3</v>
      </c>
      <c r="P143" s="288">
        <f t="shared" si="68"/>
        <v>1.3236194108064618E-3</v>
      </c>
      <c r="Q143" s="288">
        <f t="shared" si="68"/>
        <v>1.2720241195200335E-3</v>
      </c>
      <c r="R143" s="288">
        <f t="shared" si="68"/>
        <v>1.2188652458177671E-3</v>
      </c>
      <c r="S143" s="288">
        <f t="shared" si="68"/>
        <v>1.1678127204836708E-3</v>
      </c>
    </row>
    <row r="144" spans="1:21" s="253" customFormat="1" x14ac:dyDescent="0.2">
      <c r="A144" s="213"/>
      <c r="B144" s="196"/>
      <c r="C144" s="213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</row>
    <row r="145" spans="1:19" s="253" customFormat="1" x14ac:dyDescent="0.2">
      <c r="A145" s="281"/>
      <c r="B145" s="196"/>
      <c r="C145" s="305"/>
      <c r="D145" s="302"/>
      <c r="E145" s="303"/>
      <c r="F145" s="294"/>
      <c r="G145" s="273"/>
      <c r="H145" s="247">
        <f>H140</f>
        <v>2011</v>
      </c>
      <c r="I145" s="247">
        <f t="shared" ref="I145:S145" si="69">I140</f>
        <v>2012</v>
      </c>
      <c r="J145" s="247">
        <f t="shared" si="69"/>
        <v>2013</v>
      </c>
      <c r="K145" s="247">
        <f t="shared" si="69"/>
        <v>2014</v>
      </c>
      <c r="L145" s="247">
        <f t="shared" si="69"/>
        <v>2015</v>
      </c>
      <c r="M145" s="247">
        <f t="shared" si="69"/>
        <v>2016</v>
      </c>
      <c r="N145" s="247">
        <f t="shared" si="69"/>
        <v>2017</v>
      </c>
      <c r="O145" s="247">
        <f t="shared" si="69"/>
        <v>2018</v>
      </c>
      <c r="P145" s="247">
        <f t="shared" si="69"/>
        <v>2019</v>
      </c>
      <c r="Q145" s="247">
        <f t="shared" si="69"/>
        <v>2020</v>
      </c>
      <c r="R145" s="247">
        <f t="shared" si="69"/>
        <v>2021</v>
      </c>
      <c r="S145" s="247">
        <f t="shared" si="69"/>
        <v>2022</v>
      </c>
    </row>
    <row r="146" spans="1:19" s="253" customFormat="1" x14ac:dyDescent="0.2">
      <c r="A146" s="253" t="s">
        <v>456</v>
      </c>
      <c r="B146" s="196" t="s">
        <v>247</v>
      </c>
      <c r="C146" s="213" t="s">
        <v>264</v>
      </c>
      <c r="D146" s="306">
        <v>0.5</v>
      </c>
      <c r="E146" s="307" t="s">
        <v>265</v>
      </c>
      <c r="G146" s="282" t="s">
        <v>266</v>
      </c>
      <c r="H146" s="291" t="e">
        <f t="shared" ref="H146:S146" si="70">IF(H141&lt;$D$146,$E$146,H35/H4)</f>
        <v>#DIV/0!</v>
      </c>
      <c r="I146" s="291" t="e">
        <f t="shared" si="70"/>
        <v>#DIV/0!</v>
      </c>
      <c r="J146" s="291" t="e">
        <f t="shared" si="70"/>
        <v>#DIV/0!</v>
      </c>
      <c r="K146" s="291" t="str">
        <f t="shared" si="70"/>
        <v>N/A</v>
      </c>
      <c r="L146" s="291" t="str">
        <f t="shared" si="70"/>
        <v>N/A</v>
      </c>
      <c r="M146" s="291" t="str">
        <f t="shared" si="70"/>
        <v>N/A</v>
      </c>
      <c r="N146" s="291" t="str">
        <f t="shared" si="70"/>
        <v>N/A</v>
      </c>
      <c r="O146" s="291" t="str">
        <f t="shared" si="70"/>
        <v>N/A</v>
      </c>
      <c r="P146" s="291" t="str">
        <f t="shared" si="70"/>
        <v>N/A</v>
      </c>
      <c r="Q146" s="291" t="str">
        <f t="shared" si="70"/>
        <v>N/A</v>
      </c>
      <c r="R146" s="291" t="str">
        <f t="shared" si="70"/>
        <v>N/A</v>
      </c>
      <c r="S146" s="291" t="str">
        <f t="shared" si="70"/>
        <v>N/A</v>
      </c>
    </row>
    <row r="147" spans="1:19" s="253" customFormat="1" x14ac:dyDescent="0.2">
      <c r="A147" s="253" t="s">
        <v>457</v>
      </c>
      <c r="B147" s="196" t="s">
        <v>250</v>
      </c>
      <c r="C147" s="213" t="s">
        <v>267</v>
      </c>
      <c r="D147" s="306">
        <v>0.5</v>
      </c>
      <c r="E147" s="307" t="s">
        <v>265</v>
      </c>
      <c r="G147" s="290" t="s">
        <v>268</v>
      </c>
      <c r="H147" s="291" t="e">
        <f t="shared" ref="H147:S147" si="71">IF(H141&lt;$D$147,$E$147,H35/H15)</f>
        <v>#DIV/0!</v>
      </c>
      <c r="I147" s="291" t="e">
        <f t="shared" si="71"/>
        <v>#DIV/0!</v>
      </c>
      <c r="J147" s="291" t="e">
        <f t="shared" si="71"/>
        <v>#DIV/0!</v>
      </c>
      <c r="K147" s="291" t="str">
        <f t="shared" si="71"/>
        <v>N/A</v>
      </c>
      <c r="L147" s="291" t="str">
        <f t="shared" si="71"/>
        <v>N/A</v>
      </c>
      <c r="M147" s="291" t="str">
        <f t="shared" si="71"/>
        <v>N/A</v>
      </c>
      <c r="N147" s="291" t="str">
        <f t="shared" si="71"/>
        <v>N/A</v>
      </c>
      <c r="O147" s="291" t="str">
        <f t="shared" si="71"/>
        <v>N/A</v>
      </c>
      <c r="P147" s="291" t="str">
        <f t="shared" si="71"/>
        <v>N/A</v>
      </c>
      <c r="Q147" s="291" t="str">
        <f t="shared" si="71"/>
        <v>N/A</v>
      </c>
      <c r="R147" s="291" t="str">
        <f t="shared" si="71"/>
        <v>N/A</v>
      </c>
      <c r="S147" s="291" t="str">
        <f t="shared" si="71"/>
        <v>N/A</v>
      </c>
    </row>
    <row r="148" spans="1:19" s="253" customFormat="1" x14ac:dyDescent="0.2">
      <c r="A148" s="253" t="s">
        <v>458</v>
      </c>
      <c r="B148" s="196" t="s">
        <v>254</v>
      </c>
      <c r="C148" s="213" t="s">
        <v>201</v>
      </c>
      <c r="D148" s="306">
        <v>0.5</v>
      </c>
      <c r="E148" s="307" t="s">
        <v>265</v>
      </c>
      <c r="G148" s="282" t="s">
        <v>269</v>
      </c>
      <c r="H148" s="301" t="e">
        <f t="shared" ref="H148:S148" si="72">IF(H141&lt;$D$148,$E$148,H46/H33)</f>
        <v>#DIV/0!</v>
      </c>
      <c r="I148" s="301" t="e">
        <f t="shared" si="72"/>
        <v>#DIV/0!</v>
      </c>
      <c r="J148" s="301" t="e">
        <f t="shared" si="72"/>
        <v>#DIV/0!</v>
      </c>
      <c r="K148" s="301" t="str">
        <f t="shared" si="72"/>
        <v>N/A</v>
      </c>
      <c r="L148" s="301" t="str">
        <f t="shared" si="72"/>
        <v>N/A</v>
      </c>
      <c r="M148" s="301" t="str">
        <f t="shared" si="72"/>
        <v>N/A</v>
      </c>
      <c r="N148" s="301" t="str">
        <f t="shared" si="72"/>
        <v>N/A</v>
      </c>
      <c r="O148" s="301" t="str">
        <f t="shared" si="72"/>
        <v>N/A</v>
      </c>
      <c r="P148" s="301" t="str">
        <f t="shared" si="72"/>
        <v>N/A</v>
      </c>
      <c r="Q148" s="301" t="str">
        <f t="shared" si="72"/>
        <v>N/A</v>
      </c>
      <c r="R148" s="301" t="str">
        <f t="shared" si="72"/>
        <v>N/A</v>
      </c>
      <c r="S148" s="301" t="str">
        <f t="shared" si="72"/>
        <v>N/A</v>
      </c>
    </row>
    <row r="149" spans="1:19" s="253" customFormat="1" x14ac:dyDescent="0.2">
      <c r="A149" s="253" t="s">
        <v>459</v>
      </c>
      <c r="B149" s="196" t="s">
        <v>257</v>
      </c>
      <c r="C149" s="213" t="s">
        <v>270</v>
      </c>
      <c r="D149" s="306">
        <v>0.5</v>
      </c>
      <c r="E149" s="307" t="s">
        <v>265</v>
      </c>
      <c r="G149" s="290" t="s">
        <v>271</v>
      </c>
      <c r="H149" s="301" t="e">
        <f t="shared" ref="H149:S149" si="73">IF(H141&lt;$D$148,$E$149,H51/H33)</f>
        <v>#DIV/0!</v>
      </c>
      <c r="I149" s="301" t="e">
        <f t="shared" si="73"/>
        <v>#DIV/0!</v>
      </c>
      <c r="J149" s="301" t="e">
        <f t="shared" si="73"/>
        <v>#DIV/0!</v>
      </c>
      <c r="K149" s="301" t="str">
        <f t="shared" si="73"/>
        <v>N/A</v>
      </c>
      <c r="L149" s="301" t="str">
        <f t="shared" si="73"/>
        <v>N/A</v>
      </c>
      <c r="M149" s="301" t="str">
        <f t="shared" si="73"/>
        <v>N/A</v>
      </c>
      <c r="N149" s="301" t="str">
        <f t="shared" si="73"/>
        <v>N/A</v>
      </c>
      <c r="O149" s="301" t="str">
        <f t="shared" si="73"/>
        <v>N/A</v>
      </c>
      <c r="P149" s="301" t="str">
        <f t="shared" si="73"/>
        <v>N/A</v>
      </c>
      <c r="Q149" s="301" t="str">
        <f t="shared" si="73"/>
        <v>N/A</v>
      </c>
      <c r="R149" s="301" t="str">
        <f t="shared" si="73"/>
        <v>N/A</v>
      </c>
      <c r="S149" s="301" t="str">
        <f t="shared" si="73"/>
        <v>N/A</v>
      </c>
    </row>
    <row r="150" spans="1:19" s="253" customFormat="1" x14ac:dyDescent="0.2">
      <c r="A150" s="253" t="s">
        <v>460</v>
      </c>
      <c r="B150" s="196" t="s">
        <v>260</v>
      </c>
      <c r="C150" s="213" t="s">
        <v>272</v>
      </c>
      <c r="D150" s="306">
        <v>0.5</v>
      </c>
      <c r="E150" s="307" t="s">
        <v>265</v>
      </c>
      <c r="G150" s="290" t="s">
        <v>273</v>
      </c>
      <c r="H150" s="301" t="e">
        <f t="shared" ref="H150:S150" si="74">IF(H141&lt;$D$150,$E$150,H51/H4)</f>
        <v>#DIV/0!</v>
      </c>
      <c r="I150" s="301" t="e">
        <f t="shared" si="74"/>
        <v>#DIV/0!</v>
      </c>
      <c r="J150" s="301" t="e">
        <f t="shared" si="74"/>
        <v>#DIV/0!</v>
      </c>
      <c r="K150" s="301" t="str">
        <f t="shared" si="74"/>
        <v>N/A</v>
      </c>
      <c r="L150" s="301" t="str">
        <f t="shared" si="74"/>
        <v>N/A</v>
      </c>
      <c r="M150" s="301" t="str">
        <f t="shared" si="74"/>
        <v>N/A</v>
      </c>
      <c r="N150" s="301" t="str">
        <f t="shared" si="74"/>
        <v>N/A</v>
      </c>
      <c r="O150" s="301" t="str">
        <f t="shared" si="74"/>
        <v>N/A</v>
      </c>
      <c r="P150" s="301" t="str">
        <f t="shared" si="74"/>
        <v>N/A</v>
      </c>
      <c r="Q150" s="301" t="str">
        <f t="shared" si="74"/>
        <v>N/A</v>
      </c>
      <c r="R150" s="301" t="str">
        <f t="shared" si="74"/>
        <v>N/A</v>
      </c>
      <c r="S150" s="301" t="str">
        <f t="shared" si="74"/>
        <v>N/A</v>
      </c>
    </row>
    <row r="151" spans="1:19" s="253" customFormat="1" x14ac:dyDescent="0.2">
      <c r="A151" s="253" t="s">
        <v>461</v>
      </c>
      <c r="B151" s="196" t="s">
        <v>263</v>
      </c>
      <c r="C151" s="213" t="s">
        <v>274</v>
      </c>
      <c r="D151" s="306">
        <v>0.5</v>
      </c>
      <c r="E151" s="307" t="s">
        <v>265</v>
      </c>
      <c r="G151" s="286" t="s">
        <v>275</v>
      </c>
      <c r="H151" s="301" t="e">
        <f>IF(H141&lt;$D$151,$E$151,H51/H27)</f>
        <v>#DIV/0!</v>
      </c>
      <c r="I151" s="301" t="e">
        <f>IF(I141&lt;$D$151,$E$151,I51/((H27+I27)/2))</f>
        <v>#DIV/0!</v>
      </c>
      <c r="J151" s="301" t="e">
        <f>IF(J141&lt;$D$151,$E$151,J51/((I27+J27)/2))</f>
        <v>#DIV/0!</v>
      </c>
      <c r="K151" s="301" t="str">
        <f>IF(K141&lt;$D$151,$E$151,K51/((J27+K27)/2))</f>
        <v>N/A</v>
      </c>
      <c r="L151" s="301" t="str">
        <f>IF(L141&lt;$D$151,$E$151,L51/((K27+L27)/2))</f>
        <v>N/A</v>
      </c>
      <c r="M151" s="301" t="str">
        <f>IF(M141&lt;$D$151,$E$151,M51/((L27+M27)/2))</f>
        <v>N/A</v>
      </c>
      <c r="N151" s="301" t="str">
        <f t="shared" ref="N151:S151" si="75">IF(N141&lt;$D$151,$E$151,N51/((M27+N27)/2))</f>
        <v>N/A</v>
      </c>
      <c r="O151" s="301" t="str">
        <f t="shared" si="75"/>
        <v>N/A</v>
      </c>
      <c r="P151" s="301" t="str">
        <f t="shared" si="75"/>
        <v>N/A</v>
      </c>
      <c r="Q151" s="301" t="str">
        <f t="shared" si="75"/>
        <v>N/A</v>
      </c>
      <c r="R151" s="301" t="str">
        <f t="shared" si="75"/>
        <v>N/A</v>
      </c>
      <c r="S151" s="301" t="str">
        <f t="shared" si="75"/>
        <v>N/A</v>
      </c>
    </row>
    <row r="152" spans="1:19" s="253" customFormat="1" x14ac:dyDescent="0.2">
      <c r="A152" s="213"/>
      <c r="B152" s="196"/>
      <c r="C152" s="305"/>
      <c r="D152" s="302"/>
      <c r="E152" s="303"/>
      <c r="F152" s="213"/>
      <c r="G152" s="213"/>
      <c r="H152" s="213"/>
      <c r="I152" s="213"/>
      <c r="J152" s="213"/>
      <c r="K152" s="213"/>
      <c r="L152" s="213"/>
      <c r="M152" s="213"/>
      <c r="N152" s="213"/>
      <c r="O152" s="213"/>
      <c r="P152" s="213"/>
      <c r="Q152" s="213"/>
      <c r="R152" s="213"/>
      <c r="S152" s="213"/>
    </row>
    <row r="153" spans="1:19" s="253" customFormat="1" x14ac:dyDescent="0.2">
      <c r="A153" s="213"/>
      <c r="B153" s="196"/>
      <c r="C153" s="216"/>
      <c r="D153" s="216"/>
      <c r="E153" s="214"/>
      <c r="F153" s="213"/>
      <c r="G153" s="273" t="s">
        <v>462</v>
      </c>
      <c r="H153" s="247">
        <f>H145</f>
        <v>2011</v>
      </c>
      <c r="I153" s="247">
        <f t="shared" ref="I153:S153" si="76">I145</f>
        <v>2012</v>
      </c>
      <c r="J153" s="247">
        <f t="shared" si="76"/>
        <v>2013</v>
      </c>
      <c r="K153" s="247">
        <f t="shared" si="76"/>
        <v>2014</v>
      </c>
      <c r="L153" s="247">
        <f t="shared" si="76"/>
        <v>2015</v>
      </c>
      <c r="M153" s="247">
        <f t="shared" si="76"/>
        <v>2016</v>
      </c>
      <c r="N153" s="247">
        <f t="shared" si="76"/>
        <v>2017</v>
      </c>
      <c r="O153" s="247">
        <f t="shared" si="76"/>
        <v>2018</v>
      </c>
      <c r="P153" s="247">
        <f t="shared" si="76"/>
        <v>2019</v>
      </c>
      <c r="Q153" s="247">
        <f t="shared" si="76"/>
        <v>2020</v>
      </c>
      <c r="R153" s="247">
        <f t="shared" si="76"/>
        <v>2021</v>
      </c>
      <c r="S153" s="247">
        <f t="shared" si="76"/>
        <v>2022</v>
      </c>
    </row>
    <row r="154" spans="1:19" s="253" customFormat="1" x14ac:dyDescent="0.2">
      <c r="A154" s="213"/>
      <c r="B154" s="196"/>
      <c r="C154" s="216"/>
      <c r="D154" s="216"/>
      <c r="E154" s="214"/>
      <c r="F154" s="213"/>
      <c r="G154" s="274" t="s">
        <v>276</v>
      </c>
      <c r="H154" s="275">
        <f t="shared" ref="H154:S154" si="77">H33</f>
        <v>0</v>
      </c>
      <c r="I154" s="275">
        <f t="shared" si="77"/>
        <v>0</v>
      </c>
      <c r="J154" s="275">
        <f t="shared" si="77"/>
        <v>0</v>
      </c>
      <c r="K154" s="275">
        <f t="shared" si="77"/>
        <v>13.137</v>
      </c>
      <c r="L154" s="275">
        <f>L33</f>
        <v>955.39499999999998</v>
      </c>
      <c r="M154" s="275">
        <f t="shared" si="77"/>
        <v>1027.3</v>
      </c>
      <c r="N154" s="275">
        <f t="shared" si="77"/>
        <v>1139.1569999999999</v>
      </c>
      <c r="O154" s="275">
        <f t="shared" si="77"/>
        <v>1253.9949999999999</v>
      </c>
      <c r="P154" s="275">
        <f t="shared" si="77"/>
        <v>1252.4786000000001</v>
      </c>
      <c r="Q154" s="275">
        <f t="shared" si="77"/>
        <v>1306.6025300000001</v>
      </c>
      <c r="R154" s="275">
        <f t="shared" si="77"/>
        <v>1363.4326565000001</v>
      </c>
      <c r="S154" s="275">
        <f t="shared" si="77"/>
        <v>1423.1042893250001</v>
      </c>
    </row>
    <row r="155" spans="1:19" s="253" customFormat="1" x14ac:dyDescent="0.2">
      <c r="A155" s="213"/>
      <c r="B155" s="196"/>
      <c r="C155" s="216"/>
      <c r="D155" s="216"/>
      <c r="E155" s="214"/>
      <c r="F155" s="213"/>
      <c r="G155" s="274" t="s">
        <v>277</v>
      </c>
      <c r="H155" s="275">
        <f t="shared" ref="H155:S156" si="78">H35</f>
        <v>0</v>
      </c>
      <c r="I155" s="275">
        <f t="shared" si="78"/>
        <v>0</v>
      </c>
      <c r="J155" s="275">
        <f t="shared" si="78"/>
        <v>0</v>
      </c>
      <c r="K155" s="275">
        <f t="shared" si="78"/>
        <v>0</v>
      </c>
      <c r="L155" s="275">
        <f t="shared" si="78"/>
        <v>147.821</v>
      </c>
      <c r="M155" s="275">
        <f t="shared" si="78"/>
        <v>131.583</v>
      </c>
      <c r="N155" s="275">
        <f t="shared" si="78"/>
        <v>207.48</v>
      </c>
      <c r="O155" s="275">
        <f t="shared" si="78"/>
        <v>223.06299999999999</v>
      </c>
      <c r="P155" s="275">
        <f t="shared" si="78"/>
        <v>170</v>
      </c>
      <c r="Q155" s="275">
        <f t="shared" si="78"/>
        <v>170</v>
      </c>
      <c r="R155" s="275">
        <f t="shared" si="78"/>
        <v>170</v>
      </c>
      <c r="S155" s="275">
        <f t="shared" si="78"/>
        <v>170</v>
      </c>
    </row>
    <row r="156" spans="1:19" s="253" customFormat="1" x14ac:dyDescent="0.2">
      <c r="A156" s="213"/>
      <c r="B156" s="196"/>
      <c r="C156" s="216"/>
      <c r="D156" s="216"/>
      <c r="E156" s="214"/>
      <c r="F156" s="213"/>
      <c r="G156" s="274" t="s">
        <v>278</v>
      </c>
      <c r="H156" s="275">
        <f t="shared" si="78"/>
        <v>0</v>
      </c>
      <c r="I156" s="275">
        <f t="shared" si="78"/>
        <v>0</v>
      </c>
      <c r="J156" s="275">
        <f t="shared" si="78"/>
        <v>0</v>
      </c>
      <c r="K156" s="275">
        <f t="shared" si="78"/>
        <v>12.88</v>
      </c>
      <c r="L156" s="275">
        <f t="shared" si="78"/>
        <v>805.57399999999996</v>
      </c>
      <c r="M156" s="275">
        <f t="shared" si="78"/>
        <v>895.71699999999998</v>
      </c>
      <c r="N156" s="275">
        <f t="shared" si="78"/>
        <v>929.11699999999996</v>
      </c>
      <c r="O156" s="275">
        <f t="shared" si="78"/>
        <v>1030.932</v>
      </c>
      <c r="P156" s="275">
        <f t="shared" si="78"/>
        <v>1082.4786000000001</v>
      </c>
      <c r="Q156" s="275">
        <f t="shared" si="78"/>
        <v>1136.6025300000001</v>
      </c>
      <c r="R156" s="275">
        <f t="shared" si="78"/>
        <v>1193.4326565000001</v>
      </c>
      <c r="S156" s="275">
        <f t="shared" si="78"/>
        <v>1253.1042893250001</v>
      </c>
    </row>
    <row r="157" spans="1:19" s="253" customFormat="1" x14ac:dyDescent="0.2">
      <c r="A157" s="213"/>
      <c r="B157" s="196"/>
      <c r="C157" s="216"/>
      <c r="D157" s="216"/>
      <c r="E157" s="214"/>
      <c r="F157" s="213"/>
      <c r="G157" s="274" t="s">
        <v>279</v>
      </c>
      <c r="H157" s="275">
        <f t="shared" ref="H157:S157" si="79">H38+H41</f>
        <v>0</v>
      </c>
      <c r="I157" s="275">
        <f t="shared" si="79"/>
        <v>0</v>
      </c>
      <c r="J157" s="275">
        <f t="shared" si="79"/>
        <v>0</v>
      </c>
      <c r="K157" s="275">
        <f t="shared" si="79"/>
        <v>-0.96599999999999997</v>
      </c>
      <c r="L157" s="275">
        <f t="shared" si="79"/>
        <v>-948.67700000000013</v>
      </c>
      <c r="M157" s="275">
        <f t="shared" si="79"/>
        <v>-974.18500000000017</v>
      </c>
      <c r="N157" s="275">
        <f t="shared" si="79"/>
        <v>-1116.5980000000002</v>
      </c>
      <c r="O157" s="275">
        <f t="shared" si="79"/>
        <v>-1205.8620000000001</v>
      </c>
      <c r="P157" s="275">
        <f t="shared" si="79"/>
        <v>-1246.5819000000001</v>
      </c>
      <c r="Q157" s="275">
        <f t="shared" si="79"/>
        <v>-1297.1452150000002</v>
      </c>
      <c r="R157" s="275">
        <f t="shared" si="79"/>
        <v>-1353.7181453500002</v>
      </c>
      <c r="S157" s="275">
        <f t="shared" si="79"/>
        <v>-1412.8977798055002</v>
      </c>
    </row>
    <row r="158" spans="1:19" s="253" customFormat="1" x14ac:dyDescent="0.2">
      <c r="A158" s="213"/>
      <c r="B158" s="196"/>
      <c r="C158" s="216"/>
      <c r="D158" s="216"/>
      <c r="E158" s="214"/>
      <c r="F158" s="213"/>
      <c r="G158" s="274" t="s">
        <v>280</v>
      </c>
      <c r="H158" s="275">
        <f t="shared" ref="H158:S158" si="80">H41</f>
        <v>0</v>
      </c>
      <c r="I158" s="275">
        <f t="shared" si="80"/>
        <v>0</v>
      </c>
      <c r="J158" s="275">
        <f t="shared" si="80"/>
        <v>0</v>
      </c>
      <c r="K158" s="275">
        <f t="shared" si="80"/>
        <v>-0.96599999999999997</v>
      </c>
      <c r="L158" s="275">
        <f t="shared" si="80"/>
        <v>-948.19700000000012</v>
      </c>
      <c r="M158" s="275">
        <f t="shared" si="80"/>
        <v>-972.99000000000012</v>
      </c>
      <c r="N158" s="275">
        <f t="shared" si="80"/>
        <v>-1115.2730000000001</v>
      </c>
      <c r="O158" s="275">
        <f t="shared" si="80"/>
        <v>-1204.212</v>
      </c>
      <c r="P158" s="275">
        <f t="shared" si="80"/>
        <v>-1244.9319</v>
      </c>
      <c r="Q158" s="275">
        <f t="shared" si="80"/>
        <v>-1295.4952150000001</v>
      </c>
      <c r="R158" s="275">
        <f t="shared" si="80"/>
        <v>-1352.0681453500001</v>
      </c>
      <c r="S158" s="275">
        <f t="shared" si="80"/>
        <v>-1411.2477798055002</v>
      </c>
    </row>
    <row r="159" spans="1:19" s="253" customFormat="1" x14ac:dyDescent="0.2">
      <c r="A159" s="213"/>
      <c r="B159" s="196"/>
      <c r="C159" s="216"/>
      <c r="D159" s="216"/>
      <c r="E159" s="214"/>
      <c r="F159" s="213"/>
      <c r="G159" s="274" t="s">
        <v>281</v>
      </c>
      <c r="H159" s="275">
        <f t="shared" ref="H159:S159" si="81">H38</f>
        <v>0</v>
      </c>
      <c r="I159" s="275">
        <f t="shared" si="81"/>
        <v>0</v>
      </c>
      <c r="J159" s="275">
        <f t="shared" si="81"/>
        <v>0</v>
      </c>
      <c r="K159" s="275">
        <f t="shared" si="81"/>
        <v>0</v>
      </c>
      <c r="L159" s="275">
        <f t="shared" si="81"/>
        <v>-0.48</v>
      </c>
      <c r="M159" s="275">
        <f t="shared" si="81"/>
        <v>-1.1950000000000001</v>
      </c>
      <c r="N159" s="275">
        <f t="shared" si="81"/>
        <v>-1.325</v>
      </c>
      <c r="O159" s="275">
        <f t="shared" si="81"/>
        <v>-1.65</v>
      </c>
      <c r="P159" s="275">
        <f t="shared" si="81"/>
        <v>-1.65</v>
      </c>
      <c r="Q159" s="275">
        <f t="shared" si="81"/>
        <v>-1.65</v>
      </c>
      <c r="R159" s="275">
        <f t="shared" si="81"/>
        <v>-1.65</v>
      </c>
      <c r="S159" s="275">
        <f t="shared" si="81"/>
        <v>-1.65</v>
      </c>
    </row>
    <row r="160" spans="1:19" s="253" customFormat="1" x14ac:dyDescent="0.2">
      <c r="A160" s="213"/>
      <c r="B160" s="196"/>
      <c r="C160" s="216"/>
      <c r="D160" s="216"/>
      <c r="E160" s="214"/>
      <c r="F160" s="213"/>
      <c r="G160" s="274" t="s">
        <v>282</v>
      </c>
      <c r="H160" s="275">
        <f t="shared" ref="H160:S160" si="82">H46</f>
        <v>0</v>
      </c>
      <c r="I160" s="275">
        <f t="shared" si="82"/>
        <v>0</v>
      </c>
      <c r="J160" s="275">
        <f t="shared" si="82"/>
        <v>0</v>
      </c>
      <c r="K160" s="275">
        <f t="shared" si="82"/>
        <v>12.171000000000001</v>
      </c>
      <c r="L160" s="275">
        <f t="shared" si="82"/>
        <v>6.7179999999998472</v>
      </c>
      <c r="M160" s="275">
        <f t="shared" si="82"/>
        <v>53.114999999999895</v>
      </c>
      <c r="N160" s="275">
        <f t="shared" si="82"/>
        <v>22.558999999999742</v>
      </c>
      <c r="O160" s="275">
        <f t="shared" si="82"/>
        <v>48.132999999999811</v>
      </c>
      <c r="P160" s="275">
        <f t="shared" si="82"/>
        <v>5.8967000000000098</v>
      </c>
      <c r="Q160" s="275">
        <f t="shared" si="82"/>
        <v>9.4573149999998805</v>
      </c>
      <c r="R160" s="275">
        <f t="shared" si="82"/>
        <v>9.7145111499999075</v>
      </c>
      <c r="S160" s="275">
        <f t="shared" si="82"/>
        <v>10.206509519499832</v>
      </c>
    </row>
    <row r="161" spans="1:19" s="253" customFormat="1" x14ac:dyDescent="0.2">
      <c r="A161" s="213"/>
      <c r="B161" s="196"/>
      <c r="C161" s="216"/>
      <c r="D161" s="216"/>
      <c r="E161" s="214"/>
      <c r="F161" s="213"/>
      <c r="G161" s="274" t="s">
        <v>283</v>
      </c>
      <c r="H161" s="275">
        <f t="shared" ref="H161:S161" si="83">H51</f>
        <v>0</v>
      </c>
      <c r="I161" s="275">
        <f t="shared" si="83"/>
        <v>0</v>
      </c>
      <c r="J161" s="275">
        <f t="shared" si="83"/>
        <v>0</v>
      </c>
      <c r="K161" s="275">
        <f t="shared" si="83"/>
        <v>12.171000000000001</v>
      </c>
      <c r="L161" s="275">
        <f t="shared" si="83"/>
        <v>6.8739999999998469</v>
      </c>
      <c r="M161" s="275">
        <f t="shared" si="83"/>
        <v>53.547999999999895</v>
      </c>
      <c r="N161" s="275">
        <f t="shared" si="83"/>
        <v>22.558999999999742</v>
      </c>
      <c r="O161" s="275">
        <f t="shared" si="83"/>
        <v>48.132999999999811</v>
      </c>
      <c r="P161" s="275">
        <f t="shared" si="83"/>
        <v>5.8967000000000098</v>
      </c>
      <c r="Q161" s="275">
        <f t="shared" si="83"/>
        <v>9.4573149999998805</v>
      </c>
      <c r="R161" s="275">
        <f t="shared" si="83"/>
        <v>9.7145111499999075</v>
      </c>
      <c r="S161" s="275">
        <f t="shared" si="83"/>
        <v>10.206509519499832</v>
      </c>
    </row>
    <row r="162" spans="1:19" s="253" customFormat="1" x14ac:dyDescent="0.2">
      <c r="A162" s="213"/>
      <c r="B162" s="196"/>
      <c r="C162" s="216"/>
      <c r="D162" s="216"/>
      <c r="E162" s="214"/>
      <c r="F162" s="213"/>
      <c r="G162" s="274" t="s">
        <v>284</v>
      </c>
      <c r="H162" s="275">
        <f t="shared" ref="H162:S163" si="84">H4</f>
        <v>0</v>
      </c>
      <c r="I162" s="275">
        <f t="shared" si="84"/>
        <v>0</v>
      </c>
      <c r="J162" s="275">
        <f t="shared" si="84"/>
        <v>0</v>
      </c>
      <c r="K162" s="275">
        <f t="shared" si="84"/>
        <v>72.506</v>
      </c>
      <c r="L162" s="275">
        <f t="shared" si="84"/>
        <v>192.00199999999998</v>
      </c>
      <c r="M162" s="275">
        <f t="shared" si="84"/>
        <v>291.976</v>
      </c>
      <c r="N162" s="275">
        <f t="shared" si="84"/>
        <v>319.30799999999999</v>
      </c>
      <c r="O162" s="275">
        <f t="shared" si="84"/>
        <v>366.95300000000003</v>
      </c>
      <c r="P162" s="275">
        <f t="shared" si="84"/>
        <v>372.95299999999997</v>
      </c>
      <c r="Q162" s="275">
        <f t="shared" si="84"/>
        <v>380.95299999999997</v>
      </c>
      <c r="R162" s="275">
        <f t="shared" si="84"/>
        <v>390.95299999999997</v>
      </c>
      <c r="S162" s="275">
        <f t="shared" si="84"/>
        <v>400.95299999999997</v>
      </c>
    </row>
    <row r="163" spans="1:19" s="253" customFormat="1" x14ac:dyDescent="0.2">
      <c r="A163" s="213"/>
      <c r="B163" s="196"/>
      <c r="C163" s="216"/>
      <c r="D163" s="216"/>
      <c r="E163" s="214"/>
      <c r="F163" s="213"/>
      <c r="G163" s="274" t="s">
        <v>285</v>
      </c>
      <c r="H163" s="275">
        <f t="shared" si="84"/>
        <v>0</v>
      </c>
      <c r="I163" s="275">
        <f t="shared" si="84"/>
        <v>0</v>
      </c>
      <c r="J163" s="275">
        <f t="shared" si="84"/>
        <v>0</v>
      </c>
      <c r="K163" s="275">
        <f t="shared" si="84"/>
        <v>57.292999999999999</v>
      </c>
      <c r="L163" s="275">
        <f t="shared" si="84"/>
        <v>178.30699999999999</v>
      </c>
      <c r="M163" s="275">
        <f t="shared" si="84"/>
        <v>279.435</v>
      </c>
      <c r="N163" s="275">
        <f t="shared" si="84"/>
        <v>307.84199999999998</v>
      </c>
      <c r="O163" s="275">
        <f t="shared" si="84"/>
        <v>356.56200000000001</v>
      </c>
      <c r="P163" s="275">
        <f t="shared" si="84"/>
        <v>363.637</v>
      </c>
      <c r="Q163" s="275">
        <f t="shared" si="84"/>
        <v>372.71199999999999</v>
      </c>
      <c r="R163" s="275">
        <f t="shared" si="84"/>
        <v>383.78699999999998</v>
      </c>
      <c r="S163" s="275">
        <f t="shared" si="84"/>
        <v>394.86199999999997</v>
      </c>
    </row>
    <row r="164" spans="1:19" s="253" customFormat="1" x14ac:dyDescent="0.2">
      <c r="A164" s="213"/>
      <c r="B164" s="196"/>
      <c r="C164" s="216"/>
      <c r="D164" s="216"/>
      <c r="E164" s="214"/>
      <c r="F164" s="213"/>
      <c r="G164" s="274" t="s">
        <v>286</v>
      </c>
      <c r="H164" s="275">
        <f t="shared" ref="H164:S164" si="85">H10</f>
        <v>0</v>
      </c>
      <c r="I164" s="275">
        <f t="shared" si="85"/>
        <v>0</v>
      </c>
      <c r="J164" s="275">
        <f t="shared" si="85"/>
        <v>0</v>
      </c>
      <c r="K164" s="275">
        <f t="shared" si="85"/>
        <v>15.212999999999999</v>
      </c>
      <c r="L164" s="275">
        <f t="shared" si="85"/>
        <v>13.695</v>
      </c>
      <c r="M164" s="275">
        <f t="shared" si="85"/>
        <v>12.541</v>
      </c>
      <c r="N164" s="275">
        <f t="shared" si="85"/>
        <v>11.465999999999999</v>
      </c>
      <c r="O164" s="275">
        <f t="shared" si="85"/>
        <v>10.391</v>
      </c>
      <c r="P164" s="275">
        <f t="shared" si="85"/>
        <v>9.3160000000000007</v>
      </c>
      <c r="Q164" s="275">
        <f t="shared" si="85"/>
        <v>8.2410000000000014</v>
      </c>
      <c r="R164" s="275">
        <f t="shared" si="85"/>
        <v>7.1660000000000013</v>
      </c>
      <c r="S164" s="275">
        <f t="shared" si="85"/>
        <v>6.0910000000000011</v>
      </c>
    </row>
    <row r="165" spans="1:19" s="253" customFormat="1" x14ac:dyDescent="0.2">
      <c r="A165" s="213"/>
      <c r="B165" s="196"/>
      <c r="C165" s="216"/>
      <c r="D165" s="216"/>
      <c r="E165" s="214"/>
      <c r="F165" s="213"/>
      <c r="G165" s="274" t="s">
        <v>287</v>
      </c>
      <c r="H165" s="275">
        <f t="shared" ref="H165:S166" si="86">H19</f>
        <v>0</v>
      </c>
      <c r="I165" s="275">
        <f t="shared" si="86"/>
        <v>0</v>
      </c>
      <c r="J165" s="275">
        <f t="shared" si="86"/>
        <v>0</v>
      </c>
      <c r="K165" s="275">
        <f t="shared" si="86"/>
        <v>39.841999999999999</v>
      </c>
      <c r="L165" s="275">
        <f t="shared" si="86"/>
        <v>106.20399999999999</v>
      </c>
      <c r="M165" s="275">
        <f t="shared" si="86"/>
        <v>152.62899999999999</v>
      </c>
      <c r="N165" s="275">
        <f t="shared" si="86"/>
        <v>157.41300000000001</v>
      </c>
      <c r="O165" s="275">
        <f t="shared" si="86"/>
        <v>157.41300000000001</v>
      </c>
      <c r="P165" s="275">
        <f t="shared" si="86"/>
        <v>156.91999999999999</v>
      </c>
      <c r="Q165" s="275">
        <f t="shared" si="86"/>
        <v>155.923</v>
      </c>
      <c r="R165" s="275">
        <f t="shared" si="86"/>
        <v>155.923</v>
      </c>
      <c r="S165" s="275">
        <f t="shared" si="86"/>
        <v>155.923</v>
      </c>
    </row>
    <row r="166" spans="1:19" s="253" customFormat="1" x14ac:dyDescent="0.2">
      <c r="A166" s="213"/>
      <c r="B166" s="196"/>
      <c r="C166" s="216"/>
      <c r="D166" s="216"/>
      <c r="E166" s="214"/>
      <c r="F166" s="213"/>
      <c r="G166" s="274" t="s">
        <v>288</v>
      </c>
      <c r="H166" s="275">
        <f t="shared" si="86"/>
        <v>0</v>
      </c>
      <c r="I166" s="275">
        <f t="shared" si="86"/>
        <v>0</v>
      </c>
      <c r="J166" s="275">
        <f t="shared" si="86"/>
        <v>0</v>
      </c>
      <c r="K166" s="275">
        <f t="shared" si="86"/>
        <v>39.841999999999999</v>
      </c>
      <c r="L166" s="275">
        <f t="shared" si="86"/>
        <v>106.20399999999999</v>
      </c>
      <c r="M166" s="275">
        <f t="shared" si="86"/>
        <v>152.62899999999999</v>
      </c>
      <c r="N166" s="275">
        <f t="shared" si="86"/>
        <v>0</v>
      </c>
      <c r="O166" s="275">
        <f t="shared" si="86"/>
        <v>0</v>
      </c>
      <c r="P166" s="275">
        <f t="shared" si="86"/>
        <v>0</v>
      </c>
      <c r="Q166" s="275">
        <f t="shared" si="86"/>
        <v>0</v>
      </c>
      <c r="R166" s="275">
        <f t="shared" si="86"/>
        <v>0</v>
      </c>
      <c r="S166" s="275">
        <f t="shared" si="86"/>
        <v>0</v>
      </c>
    </row>
    <row r="167" spans="1:19" s="253" customFormat="1" x14ac:dyDescent="0.2">
      <c r="A167" s="213"/>
      <c r="B167" s="196"/>
      <c r="C167" s="216"/>
      <c r="D167" s="216"/>
      <c r="E167" s="214"/>
      <c r="F167" s="213"/>
      <c r="G167" s="274" t="s">
        <v>289</v>
      </c>
      <c r="H167" s="275">
        <f t="shared" ref="H167:S167" si="87">H24</f>
        <v>0</v>
      </c>
      <c r="I167" s="275">
        <f t="shared" si="87"/>
        <v>0</v>
      </c>
      <c r="J167" s="275">
        <f t="shared" si="87"/>
        <v>0</v>
      </c>
      <c r="K167" s="275">
        <f t="shared" si="87"/>
        <v>0</v>
      </c>
      <c r="L167" s="275">
        <f t="shared" si="87"/>
        <v>0</v>
      </c>
      <c r="M167" s="275">
        <f t="shared" si="87"/>
        <v>0</v>
      </c>
      <c r="N167" s="275">
        <f t="shared" si="87"/>
        <v>0</v>
      </c>
      <c r="O167" s="275">
        <f t="shared" si="87"/>
        <v>0</v>
      </c>
      <c r="P167" s="275">
        <f t="shared" si="87"/>
        <v>0</v>
      </c>
      <c r="Q167" s="275">
        <f t="shared" si="87"/>
        <v>0</v>
      </c>
      <c r="R167" s="275">
        <f t="shared" si="87"/>
        <v>0</v>
      </c>
      <c r="S167" s="275">
        <f t="shared" si="87"/>
        <v>0</v>
      </c>
    </row>
    <row r="168" spans="1:19" s="253" customFormat="1" x14ac:dyDescent="0.2">
      <c r="A168" s="213"/>
      <c r="B168" s="196"/>
      <c r="C168" s="216"/>
      <c r="D168" s="216"/>
      <c r="E168" s="214"/>
      <c r="F168" s="213"/>
      <c r="G168" s="274" t="s">
        <v>290</v>
      </c>
      <c r="H168" s="275">
        <f t="shared" ref="H168:S168" si="88">H27</f>
        <v>0</v>
      </c>
      <c r="I168" s="275">
        <f t="shared" si="88"/>
        <v>0</v>
      </c>
      <c r="J168" s="275">
        <f t="shared" si="88"/>
        <v>0</v>
      </c>
      <c r="K168" s="275">
        <f t="shared" si="88"/>
        <v>32.664000000000001</v>
      </c>
      <c r="L168" s="275">
        <f t="shared" si="88"/>
        <v>85.799000000000007</v>
      </c>
      <c r="M168" s="275">
        <f t="shared" si="88"/>
        <v>139.34700000000001</v>
      </c>
      <c r="N168" s="275">
        <f t="shared" si="88"/>
        <v>161.89600000000002</v>
      </c>
      <c r="O168" s="275">
        <f t="shared" si="88"/>
        <v>210.03000000000003</v>
      </c>
      <c r="P168" s="275">
        <f t="shared" si="88"/>
        <v>216.03000000000003</v>
      </c>
      <c r="Q168" s="275">
        <f t="shared" si="88"/>
        <v>225.03000000000003</v>
      </c>
      <c r="R168" s="275">
        <f t="shared" si="88"/>
        <v>235.03000000000003</v>
      </c>
      <c r="S168" s="275">
        <f t="shared" si="88"/>
        <v>245.03000000000003</v>
      </c>
    </row>
    <row r="169" spans="1:19" s="253" customFormat="1" x14ac:dyDescent="0.2">
      <c r="A169" s="213"/>
      <c r="B169" s="196"/>
      <c r="C169" s="305"/>
      <c r="D169" s="302"/>
      <c r="E169" s="303"/>
      <c r="F169" s="213"/>
      <c r="G169" s="213"/>
      <c r="H169" s="213"/>
      <c r="I169" s="213"/>
      <c r="J169" s="213"/>
      <c r="K169" s="213"/>
      <c r="L169" s="213"/>
      <c r="M169" s="213"/>
      <c r="N169" s="213"/>
      <c r="O169" s="213"/>
      <c r="P169" s="213"/>
      <c r="Q169" s="213"/>
      <c r="R169" s="213"/>
      <c r="S169" s="213"/>
    </row>
    <row r="170" spans="1:19" s="253" customFormat="1" x14ac:dyDescent="0.2">
      <c r="A170" s="213"/>
      <c r="B170" s="196"/>
      <c r="C170" s="305" t="s">
        <v>463</v>
      </c>
      <c r="D170" s="302"/>
      <c r="E170" s="303"/>
      <c r="F170" s="213"/>
      <c r="G170" s="213"/>
      <c r="H170" s="213"/>
      <c r="I170" s="213"/>
      <c r="J170" s="213"/>
      <c r="K170" s="213"/>
      <c r="L170" s="213"/>
      <c r="M170" s="213"/>
      <c r="N170" s="213"/>
      <c r="O170" s="213"/>
      <c r="P170" s="213"/>
      <c r="Q170" s="213"/>
      <c r="R170" s="213"/>
      <c r="S170" s="213"/>
    </row>
    <row r="171" spans="1:19" s="253" customFormat="1" x14ac:dyDescent="0.2">
      <c r="A171" s="213"/>
      <c r="B171" s="196"/>
      <c r="C171" s="305"/>
      <c r="D171" s="302"/>
      <c r="E171" s="303"/>
      <c r="F171" s="213"/>
      <c r="G171" s="213"/>
      <c r="H171" s="213"/>
      <c r="I171" s="213"/>
      <c r="J171" s="213"/>
      <c r="K171" s="213"/>
      <c r="L171" s="213"/>
      <c r="M171" s="213"/>
      <c r="N171" s="213"/>
      <c r="O171" s="213"/>
      <c r="P171" s="213"/>
      <c r="Q171" s="213"/>
      <c r="R171" s="213"/>
      <c r="S171" s="213"/>
    </row>
    <row r="172" spans="1:19" s="281" customFormat="1" x14ac:dyDescent="0.2">
      <c r="A172" s="257"/>
      <c r="B172" s="196"/>
      <c r="C172" s="257" t="s">
        <v>464</v>
      </c>
      <c r="D172" s="277"/>
      <c r="E172" s="258"/>
      <c r="F172" s="257"/>
      <c r="G172" s="257"/>
      <c r="H172" s="257"/>
      <c r="I172" s="257"/>
      <c r="J172" s="257"/>
      <c r="K172" s="257"/>
      <c r="L172" s="257"/>
      <c r="M172" s="257"/>
      <c r="N172" s="257"/>
      <c r="O172" s="257"/>
      <c r="P172" s="257"/>
      <c r="Q172" s="257"/>
      <c r="R172" s="257"/>
      <c r="S172" s="257"/>
    </row>
    <row r="173" spans="1:19" s="253" customFormat="1" x14ac:dyDescent="0.2">
      <c r="A173" s="213"/>
      <c r="B173" s="196"/>
      <c r="C173" s="213"/>
      <c r="D173" s="216"/>
      <c r="E173" s="214"/>
      <c r="F173" s="213"/>
      <c r="G173" s="271"/>
      <c r="H173" s="271"/>
      <c r="I173" s="271"/>
      <c r="J173" s="271"/>
      <c r="K173" s="271"/>
      <c r="L173" s="271"/>
      <c r="M173" s="271"/>
      <c r="N173" s="271"/>
      <c r="O173" s="271"/>
      <c r="P173" s="271"/>
      <c r="Q173" s="271"/>
      <c r="R173" s="271"/>
    </row>
    <row r="174" spans="1:19" s="253" customFormat="1" x14ac:dyDescent="0.2">
      <c r="A174" s="213"/>
      <c r="B174" s="196"/>
      <c r="C174" s="213" t="s">
        <v>291</v>
      </c>
      <c r="D174" s="216"/>
      <c r="E174" s="214"/>
      <c r="F174" s="213"/>
      <c r="G174" s="271"/>
      <c r="H174" s="271"/>
      <c r="I174" s="271"/>
      <c r="J174" s="271"/>
      <c r="K174" s="271"/>
      <c r="L174" s="271"/>
      <c r="M174" s="271"/>
      <c r="N174" s="271"/>
      <c r="O174" s="271"/>
      <c r="P174" s="271"/>
      <c r="Q174" s="271"/>
      <c r="R174" s="271"/>
    </row>
    <row r="175" spans="1:19" s="253" customFormat="1" x14ac:dyDescent="0.2">
      <c r="A175" s="213"/>
      <c r="B175" s="196"/>
      <c r="C175" s="213" t="s">
        <v>292</v>
      </c>
      <c r="D175" s="216"/>
      <c r="E175" s="214"/>
      <c r="F175" s="220"/>
      <c r="G175" s="308"/>
      <c r="H175" s="308"/>
      <c r="I175" s="308"/>
      <c r="J175" s="308"/>
      <c r="K175" s="308"/>
      <c r="L175" s="308"/>
      <c r="M175" s="308"/>
      <c r="N175" s="308"/>
      <c r="O175" s="308"/>
      <c r="P175" s="308"/>
      <c r="Q175" s="308"/>
      <c r="R175" s="308"/>
    </row>
    <row r="176" spans="1:19" s="253" customFormat="1" x14ac:dyDescent="0.2">
      <c r="A176" s="213"/>
      <c r="B176" s="196"/>
      <c r="C176" s="213"/>
      <c r="D176" s="216"/>
      <c r="E176" s="214"/>
      <c r="F176" s="220"/>
      <c r="G176" s="309"/>
      <c r="H176" s="309"/>
      <c r="I176" s="309"/>
      <c r="J176" s="309"/>
      <c r="K176" s="309"/>
      <c r="L176" s="309"/>
      <c r="M176" s="309"/>
      <c r="N176" s="309"/>
      <c r="O176" s="309"/>
      <c r="P176" s="309"/>
      <c r="Q176" s="309"/>
      <c r="R176" s="309"/>
    </row>
    <row r="177" spans="1:7" s="253" customFormat="1" x14ac:dyDescent="0.2">
      <c r="A177" s="213"/>
      <c r="B177" s="196"/>
      <c r="C177" s="213" t="s">
        <v>293</v>
      </c>
      <c r="D177" s="216"/>
      <c r="E177" s="214"/>
      <c r="F177" s="220"/>
      <c r="G177" s="271"/>
    </row>
    <row r="178" spans="1:7" s="253" customFormat="1" x14ac:dyDescent="0.2">
      <c r="A178" s="213"/>
      <c r="B178" s="196"/>
      <c r="C178" s="213" t="s">
        <v>294</v>
      </c>
      <c r="D178" s="216"/>
      <c r="E178" s="214"/>
      <c r="F178" s="220"/>
      <c r="G178" s="271"/>
    </row>
    <row r="179" spans="1:7" s="253" customFormat="1" x14ac:dyDescent="0.2">
      <c r="A179" s="213"/>
      <c r="B179" s="196"/>
      <c r="C179" s="216"/>
      <c r="D179" s="216"/>
      <c r="E179" s="214"/>
      <c r="F179" s="213"/>
      <c r="G179" s="271"/>
    </row>
    <row r="180" spans="1:7" s="253" customFormat="1" x14ac:dyDescent="0.2">
      <c r="A180" s="213"/>
      <c r="B180" s="196"/>
      <c r="C180" s="216"/>
      <c r="D180" s="216"/>
      <c r="E180" s="214"/>
      <c r="F180" s="213"/>
      <c r="G180" s="271"/>
    </row>
    <row r="181" spans="1:7" s="253" customFormat="1" x14ac:dyDescent="0.2">
      <c r="A181" s="213"/>
      <c r="B181" s="196"/>
      <c r="C181" s="216"/>
      <c r="D181" s="216"/>
      <c r="E181" s="214"/>
      <c r="F181" s="213"/>
      <c r="G181" s="271"/>
    </row>
    <row r="182" spans="1:7" s="253" customFormat="1" x14ac:dyDescent="0.2">
      <c r="A182" s="213"/>
      <c r="B182" s="196"/>
      <c r="C182" s="216"/>
      <c r="D182" s="216"/>
      <c r="E182" s="214"/>
      <c r="F182" s="213"/>
      <c r="G182" s="271"/>
    </row>
    <row r="183" spans="1:7" s="253" customFormat="1" x14ac:dyDescent="0.2">
      <c r="A183" s="213"/>
      <c r="B183" s="196"/>
      <c r="C183" s="216"/>
      <c r="D183" s="216"/>
      <c r="E183" s="214"/>
      <c r="F183" s="213"/>
      <c r="G183" s="271"/>
    </row>
    <row r="184" spans="1:7" s="253" customFormat="1" x14ac:dyDescent="0.2">
      <c r="A184" s="213"/>
      <c r="B184" s="196"/>
      <c r="C184" s="216"/>
      <c r="D184" s="216"/>
      <c r="E184" s="214"/>
      <c r="F184" s="213"/>
      <c r="G184" s="271"/>
    </row>
    <row r="185" spans="1:7" s="253" customFormat="1" x14ac:dyDescent="0.2">
      <c r="A185" s="213"/>
      <c r="B185" s="196"/>
      <c r="C185" s="216"/>
      <c r="D185" s="216"/>
      <c r="E185" s="214"/>
      <c r="F185" s="213"/>
      <c r="G185" s="271"/>
    </row>
    <row r="186" spans="1:7" s="253" customFormat="1" x14ac:dyDescent="0.2">
      <c r="A186" s="213"/>
      <c r="B186" s="196"/>
      <c r="C186" s="216"/>
      <c r="D186" s="216"/>
      <c r="E186" s="214"/>
      <c r="F186" s="213"/>
      <c r="G186" s="271"/>
    </row>
    <row r="187" spans="1:7" s="253" customFormat="1" x14ac:dyDescent="0.2">
      <c r="A187" s="213"/>
      <c r="B187" s="196"/>
      <c r="C187" s="216"/>
      <c r="D187" s="216"/>
      <c r="E187" s="214"/>
      <c r="F187" s="213"/>
      <c r="G187" s="271"/>
    </row>
    <row r="188" spans="1:7" s="253" customFormat="1" x14ac:dyDescent="0.2">
      <c r="A188" s="213"/>
      <c r="B188" s="196"/>
      <c r="C188" s="216"/>
      <c r="D188" s="216"/>
      <c r="E188" s="214"/>
      <c r="F188" s="213"/>
      <c r="G188" s="271"/>
    </row>
    <row r="189" spans="1:7" s="253" customFormat="1" x14ac:dyDescent="0.2">
      <c r="A189" s="213"/>
      <c r="B189" s="196"/>
      <c r="C189" s="216"/>
      <c r="D189" s="216"/>
      <c r="E189" s="214"/>
      <c r="F189" s="213"/>
      <c r="G189" s="271"/>
    </row>
    <row r="190" spans="1:7" s="253" customFormat="1" x14ac:dyDescent="0.2">
      <c r="A190" s="213"/>
      <c r="B190" s="196"/>
      <c r="C190" s="216"/>
      <c r="D190" s="216"/>
      <c r="E190" s="214"/>
      <c r="F190" s="213"/>
      <c r="G190" s="271"/>
    </row>
    <row r="191" spans="1:7" s="253" customFormat="1" x14ac:dyDescent="0.2">
      <c r="A191" s="213"/>
      <c r="B191" s="196"/>
      <c r="C191" s="216"/>
      <c r="D191" s="216"/>
      <c r="E191" s="214"/>
      <c r="F191" s="213"/>
      <c r="G191" s="271"/>
    </row>
    <row r="192" spans="1:7" s="253" customFormat="1" x14ac:dyDescent="0.2">
      <c r="A192" s="213"/>
      <c r="B192" s="196"/>
      <c r="C192" s="216"/>
      <c r="D192" s="216"/>
      <c r="E192" s="214"/>
      <c r="F192" s="213"/>
      <c r="G192" s="271"/>
    </row>
    <row r="193" spans="1:7" s="253" customFormat="1" x14ac:dyDescent="0.2">
      <c r="A193" s="213"/>
      <c r="B193" s="196"/>
      <c r="C193" s="216"/>
      <c r="D193" s="216"/>
      <c r="E193" s="214"/>
      <c r="F193" s="213"/>
      <c r="G193" s="271"/>
    </row>
    <row r="194" spans="1:7" s="253" customFormat="1" x14ac:dyDescent="0.2">
      <c r="A194" s="213"/>
      <c r="B194" s="196"/>
      <c r="C194" s="216"/>
      <c r="D194" s="216"/>
      <c r="E194" s="214"/>
      <c r="F194" s="213"/>
      <c r="G194" s="271"/>
    </row>
    <row r="195" spans="1:7" s="253" customFormat="1" x14ac:dyDescent="0.2">
      <c r="A195" s="213"/>
      <c r="B195" s="196"/>
      <c r="C195" s="216"/>
      <c r="D195" s="216"/>
      <c r="E195" s="214"/>
      <c r="F195" s="213"/>
      <c r="G195" s="271"/>
    </row>
    <row r="196" spans="1:7" s="253" customFormat="1" x14ac:dyDescent="0.2">
      <c r="A196" s="213"/>
      <c r="B196" s="196"/>
      <c r="C196" s="216"/>
      <c r="D196" s="216"/>
      <c r="E196" s="214"/>
      <c r="F196" s="213"/>
      <c r="G196" s="271"/>
    </row>
    <row r="197" spans="1:7" s="253" customFormat="1" x14ac:dyDescent="0.2">
      <c r="A197" s="213"/>
      <c r="B197" s="196"/>
      <c r="C197" s="216"/>
      <c r="D197" s="216"/>
      <c r="E197" s="214"/>
      <c r="F197" s="213"/>
      <c r="G197" s="271"/>
    </row>
    <row r="198" spans="1:7" s="253" customFormat="1" x14ac:dyDescent="0.2">
      <c r="A198" s="213"/>
      <c r="B198" s="196"/>
      <c r="C198" s="216"/>
      <c r="D198" s="216"/>
      <c r="E198" s="214"/>
      <c r="F198" s="213"/>
      <c r="G198" s="271"/>
    </row>
    <row r="199" spans="1:7" s="253" customFormat="1" x14ac:dyDescent="0.2">
      <c r="A199" s="213"/>
      <c r="B199" s="196"/>
      <c r="C199" s="216"/>
      <c r="D199" s="216"/>
      <c r="E199" s="214"/>
      <c r="F199" s="213"/>
      <c r="G199" s="271"/>
    </row>
    <row r="200" spans="1:7" s="253" customFormat="1" x14ac:dyDescent="0.2">
      <c r="A200" s="213"/>
      <c r="B200" s="196"/>
      <c r="C200" s="216"/>
      <c r="D200" s="216"/>
      <c r="E200" s="214"/>
      <c r="F200" s="213"/>
      <c r="G200" s="271"/>
    </row>
    <row r="201" spans="1:7" s="253" customFormat="1" x14ac:dyDescent="0.2">
      <c r="A201" s="213"/>
      <c r="B201" s="196"/>
      <c r="C201" s="216"/>
      <c r="D201" s="216"/>
      <c r="E201" s="214"/>
      <c r="F201" s="213"/>
      <c r="G201" s="271"/>
    </row>
    <row r="202" spans="1:7" s="253" customFormat="1" x14ac:dyDescent="0.2">
      <c r="A202" s="213"/>
      <c r="B202" s="196"/>
      <c r="C202" s="216"/>
      <c r="D202" s="216"/>
      <c r="E202" s="214"/>
      <c r="F202" s="213"/>
      <c r="G202" s="271"/>
    </row>
  </sheetData>
  <mergeCells count="3">
    <mergeCell ref="K2:L2"/>
    <mergeCell ref="M2:R2"/>
    <mergeCell ref="D92:E92"/>
  </mergeCells>
  <conditionalFormatting sqref="H141:Q141">
    <cfRule type="cellIs" dxfId="1853" priority="51" stopIfTrue="1" operator="greaterThan">
      <formula>$E$141</formula>
    </cfRule>
    <cfRule type="cellIs" dxfId="1852" priority="52" stopIfTrue="1" operator="lessThanOrEqual">
      <formula>$E$141</formula>
    </cfRule>
  </conditionalFormatting>
  <conditionalFormatting sqref="H143:Q143">
    <cfRule type="cellIs" dxfId="1851" priority="49" stopIfTrue="1" operator="lessThanOrEqual">
      <formula>$E$143</formula>
    </cfRule>
    <cfRule type="cellIs" dxfId="1850" priority="50" stopIfTrue="1" operator="greaterThan">
      <formula>$E$143</formula>
    </cfRule>
  </conditionalFormatting>
  <conditionalFormatting sqref="H121:Q121">
    <cfRule type="cellIs" dxfId="1849" priority="47" operator="greaterThan">
      <formula>$E$121</formula>
    </cfRule>
    <cfRule type="cellIs" dxfId="1848" priority="48" operator="lessThanOrEqual">
      <formula>$E$121</formula>
    </cfRule>
  </conditionalFormatting>
  <conditionalFormatting sqref="H124:Q124">
    <cfRule type="cellIs" dxfId="1847" priority="45" stopIfTrue="1" operator="greaterThanOrEqual">
      <formula>$E$124</formula>
    </cfRule>
    <cfRule type="cellIs" dxfId="1846" priority="46" stopIfTrue="1" operator="lessThan">
      <formula>$E$124</formula>
    </cfRule>
  </conditionalFormatting>
  <conditionalFormatting sqref="H126:Q126">
    <cfRule type="cellIs" dxfId="1845" priority="43" stopIfTrue="1" operator="lessThan">
      <formula>$E$126</formula>
    </cfRule>
    <cfRule type="cellIs" dxfId="1844" priority="44" stopIfTrue="1" operator="greaterThanOrEqual">
      <formula>$E$126</formula>
    </cfRule>
  </conditionalFormatting>
  <conditionalFormatting sqref="H125:Q125">
    <cfRule type="cellIs" dxfId="1843" priority="41" stopIfTrue="1" operator="greaterThan">
      <formula>$E$125</formula>
    </cfRule>
    <cfRule type="cellIs" dxfId="1842" priority="42" stopIfTrue="1" operator="lessThanOrEqual">
      <formula>$E$125</formula>
    </cfRule>
  </conditionalFormatting>
  <conditionalFormatting sqref="H122:Q122">
    <cfRule type="cellIs" dxfId="1841" priority="30" stopIfTrue="1" operator="between">
      <formula>$D$122</formula>
      <formula>$E$122</formula>
    </cfRule>
    <cfRule type="cellIs" dxfId="1840" priority="39" stopIfTrue="1" operator="lessThanOrEqual">
      <formula>$D$122</formula>
    </cfRule>
    <cfRule type="cellIs" dxfId="1839" priority="40" stopIfTrue="1" operator="greaterThan">
      <formula>$E$122</formula>
    </cfRule>
  </conditionalFormatting>
  <conditionalFormatting sqref="H142:Q142">
    <cfRule type="cellIs" dxfId="1838" priority="37" stopIfTrue="1" operator="greaterThan">
      <formula>$E$142</formula>
    </cfRule>
    <cfRule type="cellIs" dxfId="1837" priority="38" stopIfTrue="1" operator="lessThanOrEqual">
      <formula>$E$142</formula>
    </cfRule>
  </conditionalFormatting>
  <conditionalFormatting sqref="H130:Q130">
    <cfRule type="cellIs" dxfId="1836" priority="35" stopIfTrue="1" operator="greaterThan">
      <formula>$E$130</formula>
    </cfRule>
    <cfRule type="cellIs" dxfId="1835" priority="36" stopIfTrue="1" operator="lessThanOrEqual">
      <formula>$E$130</formula>
    </cfRule>
  </conditionalFormatting>
  <conditionalFormatting sqref="H131:Q131">
    <cfRule type="cellIs" dxfId="1834" priority="33" stopIfTrue="1" operator="lessThan">
      <formula>$E$131</formula>
    </cfRule>
    <cfRule type="cellIs" dxfId="1833" priority="34" stopIfTrue="1" operator="greaterThanOrEqual">
      <formula>$E$131</formula>
    </cfRule>
  </conditionalFormatting>
  <conditionalFormatting sqref="H114:Q114">
    <cfRule type="cellIs" dxfId="1832" priority="53" stopIfTrue="1" operator="lessThan">
      <formula>$D$114</formula>
    </cfRule>
    <cfRule type="cellIs" dxfId="1831" priority="54" stopIfTrue="1" operator="between">
      <formula>$D$114</formula>
      <formula>$E$114</formula>
    </cfRule>
    <cfRule type="cellIs" dxfId="1830" priority="55" stopIfTrue="1" operator="greaterThan">
      <formula>$E$114</formula>
    </cfRule>
  </conditionalFormatting>
  <conditionalFormatting sqref="H138:Q138">
    <cfRule type="cellIs" dxfId="1829" priority="56" stopIfTrue="1" operator="lessThan">
      <formula>$E$138</formula>
    </cfRule>
    <cfRule type="cellIs" dxfId="1828" priority="57" stopIfTrue="1" operator="between">
      <formula>$D$138</formula>
      <formula>$E$138</formula>
    </cfRule>
    <cfRule type="cellIs" dxfId="1827" priority="58" stopIfTrue="1" operator="greaterThanOrEqual">
      <formula>$D$138</formula>
    </cfRule>
  </conditionalFormatting>
  <conditionalFormatting sqref="H111:Q111">
    <cfRule type="cellIs" dxfId="1826" priority="31" stopIfTrue="1" operator="lessThan">
      <formula>$E$111</formula>
    </cfRule>
    <cfRule type="cellIs" dxfId="1825" priority="32" stopIfTrue="1" operator="greaterThan">
      <formula>$E$111</formula>
    </cfRule>
  </conditionalFormatting>
  <conditionalFormatting sqref="R141:S141">
    <cfRule type="cellIs" dxfId="1824" priority="22" stopIfTrue="1" operator="greaterThan">
      <formula>$E$141</formula>
    </cfRule>
    <cfRule type="cellIs" dxfId="1823" priority="23" stopIfTrue="1" operator="lessThanOrEqual">
      <formula>$E$141</formula>
    </cfRule>
  </conditionalFormatting>
  <conditionalFormatting sqref="R143:S143">
    <cfRule type="cellIs" dxfId="1822" priority="20" stopIfTrue="1" operator="lessThanOrEqual">
      <formula>$E$143</formula>
    </cfRule>
    <cfRule type="cellIs" dxfId="1821" priority="21" stopIfTrue="1" operator="greaterThan">
      <formula>$E$143</formula>
    </cfRule>
  </conditionalFormatting>
  <conditionalFormatting sqref="R121:S121">
    <cfRule type="cellIs" dxfId="1820" priority="18" operator="greaterThan">
      <formula>$E$121</formula>
    </cfRule>
    <cfRule type="cellIs" dxfId="1819" priority="19" operator="lessThanOrEqual">
      <formula>$E$121</formula>
    </cfRule>
  </conditionalFormatting>
  <conditionalFormatting sqref="R124:S124">
    <cfRule type="cellIs" dxfId="1818" priority="16" stopIfTrue="1" operator="greaterThanOrEqual">
      <formula>$E$124</formula>
    </cfRule>
    <cfRule type="cellIs" dxfId="1817" priority="17" stopIfTrue="1" operator="lessThan">
      <formula>$E$124</formula>
    </cfRule>
  </conditionalFormatting>
  <conditionalFormatting sqref="R126:S126">
    <cfRule type="cellIs" dxfId="1816" priority="14" stopIfTrue="1" operator="lessThan">
      <formula>$E$126</formula>
    </cfRule>
    <cfRule type="cellIs" dxfId="1815" priority="15" stopIfTrue="1" operator="greaterThanOrEqual">
      <formula>$E$126</formula>
    </cfRule>
  </conditionalFormatting>
  <conditionalFormatting sqref="R125:S125">
    <cfRule type="cellIs" dxfId="1814" priority="12" stopIfTrue="1" operator="greaterThan">
      <formula>$E$125</formula>
    </cfRule>
    <cfRule type="cellIs" dxfId="1813" priority="13" stopIfTrue="1" operator="lessThanOrEqual">
      <formula>$E$125</formula>
    </cfRule>
  </conditionalFormatting>
  <conditionalFormatting sqref="R122:S122">
    <cfRule type="cellIs" dxfId="1812" priority="1" stopIfTrue="1" operator="between">
      <formula>$D$122</formula>
      <formula>$E$122</formula>
    </cfRule>
    <cfRule type="cellIs" dxfId="1811" priority="10" stopIfTrue="1" operator="lessThanOrEqual">
      <formula>$D$122</formula>
    </cfRule>
    <cfRule type="cellIs" dxfId="1810" priority="11" stopIfTrue="1" operator="greaterThan">
      <formula>$E$122</formula>
    </cfRule>
  </conditionalFormatting>
  <conditionalFormatting sqref="R142:S142">
    <cfRule type="cellIs" dxfId="1809" priority="8" stopIfTrue="1" operator="greaterThan">
      <formula>$E$142</formula>
    </cfRule>
    <cfRule type="cellIs" dxfId="1808" priority="9" stopIfTrue="1" operator="lessThanOrEqual">
      <formula>$E$142</formula>
    </cfRule>
  </conditionalFormatting>
  <conditionalFormatting sqref="R130:S130">
    <cfRule type="cellIs" dxfId="1807" priority="6" stopIfTrue="1" operator="greaterThan">
      <formula>$E$130</formula>
    </cfRule>
    <cfRule type="cellIs" dxfId="1806" priority="7" stopIfTrue="1" operator="lessThanOrEqual">
      <formula>$E$130</formula>
    </cfRule>
  </conditionalFormatting>
  <conditionalFormatting sqref="R131:S131">
    <cfRule type="cellIs" dxfId="1805" priority="4" stopIfTrue="1" operator="lessThan">
      <formula>$E$131</formula>
    </cfRule>
    <cfRule type="cellIs" dxfId="1804" priority="5" stopIfTrue="1" operator="greaterThanOrEqual">
      <formula>$E$131</formula>
    </cfRule>
  </conditionalFormatting>
  <conditionalFormatting sqref="R114:S114">
    <cfRule type="cellIs" dxfId="1803" priority="24" stopIfTrue="1" operator="lessThan">
      <formula>$D$114</formula>
    </cfRule>
    <cfRule type="cellIs" dxfId="1802" priority="25" stopIfTrue="1" operator="between">
      <formula>$D$114</formula>
      <formula>$E$114</formula>
    </cfRule>
    <cfRule type="cellIs" dxfId="1801" priority="26" stopIfTrue="1" operator="greaterThan">
      <formula>$E$114</formula>
    </cfRule>
  </conditionalFormatting>
  <conditionalFormatting sqref="R138:S138">
    <cfRule type="cellIs" dxfId="1800" priority="27" stopIfTrue="1" operator="lessThan">
      <formula>$E$138</formula>
    </cfRule>
    <cfRule type="cellIs" dxfId="1799" priority="28" stopIfTrue="1" operator="between">
      <formula>$D$138</formula>
      <formula>$E$138</formula>
    </cfRule>
    <cfRule type="cellIs" dxfId="1798" priority="29" stopIfTrue="1" operator="greaterThanOrEqual">
      <formula>$D$138</formula>
    </cfRule>
  </conditionalFormatting>
  <conditionalFormatting sqref="R111:S111">
    <cfRule type="cellIs" dxfId="1797" priority="2" stopIfTrue="1" operator="lessThan">
      <formula>$E$111</formula>
    </cfRule>
    <cfRule type="cellIs" dxfId="1796" priority="3" stopIfTrue="1" operator="greaterThan">
      <formula>$E$111</formula>
    </cfRule>
  </conditionalFormatting>
  <pageMargins left="0.7" right="0.7" top="0.75" bottom="0.75" header="0.3" footer="0.3"/>
  <pageSetup paperSize="9" orientation="portrait" horizontalDpi="4294967292" verticalDpi="429496729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16E98A-D332-4CB4-A6B8-E3A145B42B92}">
  <dimension ref="A1:U202"/>
  <sheetViews>
    <sheetView topLeftCell="C1" workbookViewId="0">
      <selection activeCell="G2" sqref="G2"/>
    </sheetView>
  </sheetViews>
  <sheetFormatPr defaultRowHeight="11.25" outlineLevelCol="1" x14ac:dyDescent="0.2"/>
  <cols>
    <col min="1" max="1" width="6.85546875" style="47" customWidth="1"/>
    <col min="2" max="2" width="8.28515625" style="47" customWidth="1"/>
    <col min="3" max="3" width="9.140625" style="47"/>
    <col min="4" max="4" width="6.7109375" style="47" customWidth="1"/>
    <col min="5" max="5" width="5.140625" style="47" bestFit="1" customWidth="1"/>
    <col min="6" max="6" width="2" style="8" bestFit="1" customWidth="1"/>
    <col min="7" max="7" width="28.42578125" style="47" customWidth="1"/>
    <col min="8" max="12" width="7.85546875" style="47" hidden="1" customWidth="1" outlineLevel="1"/>
    <col min="13" max="13" width="8.7109375" style="47" customWidth="1" collapsed="1"/>
    <col min="14" max="14" width="8.7109375" style="47" customWidth="1"/>
    <col min="15" max="19" width="8.7109375" style="47" bestFit="1" customWidth="1"/>
    <col min="20" max="21" width="3" style="47" customWidth="1"/>
    <col min="22" max="256" width="9.140625" style="47"/>
    <col min="257" max="257" width="6.85546875" style="47" customWidth="1"/>
    <col min="258" max="258" width="8.28515625" style="47" customWidth="1"/>
    <col min="259" max="259" width="9.140625" style="47"/>
    <col min="260" max="260" width="6.7109375" style="47" customWidth="1"/>
    <col min="261" max="261" width="5.140625" style="47" bestFit="1" customWidth="1"/>
    <col min="262" max="262" width="2" style="47" bestFit="1" customWidth="1"/>
    <col min="263" max="263" width="28.42578125" style="47" customWidth="1"/>
    <col min="264" max="268" width="0" style="47" hidden="1" customWidth="1"/>
    <col min="269" max="270" width="8.7109375" style="47" customWidth="1"/>
    <col min="271" max="275" width="8.7109375" style="47" bestFit="1" customWidth="1"/>
    <col min="276" max="277" width="3" style="47" customWidth="1"/>
    <col min="278" max="512" width="9.140625" style="47"/>
    <col min="513" max="513" width="6.85546875" style="47" customWidth="1"/>
    <col min="514" max="514" width="8.28515625" style="47" customWidth="1"/>
    <col min="515" max="515" width="9.140625" style="47"/>
    <col min="516" max="516" width="6.7109375" style="47" customWidth="1"/>
    <col min="517" max="517" width="5.140625" style="47" bestFit="1" customWidth="1"/>
    <col min="518" max="518" width="2" style="47" bestFit="1" customWidth="1"/>
    <col min="519" max="519" width="28.42578125" style="47" customWidth="1"/>
    <col min="520" max="524" width="0" style="47" hidden="1" customWidth="1"/>
    <col min="525" max="526" width="8.7109375" style="47" customWidth="1"/>
    <col min="527" max="531" width="8.7109375" style="47" bestFit="1" customWidth="1"/>
    <col min="532" max="533" width="3" style="47" customWidth="1"/>
    <col min="534" max="768" width="9.140625" style="47"/>
    <col min="769" max="769" width="6.85546875" style="47" customWidth="1"/>
    <col min="770" max="770" width="8.28515625" style="47" customWidth="1"/>
    <col min="771" max="771" width="9.140625" style="47"/>
    <col min="772" max="772" width="6.7109375" style="47" customWidth="1"/>
    <col min="773" max="773" width="5.140625" style="47" bestFit="1" customWidth="1"/>
    <col min="774" max="774" width="2" style="47" bestFit="1" customWidth="1"/>
    <col min="775" max="775" width="28.42578125" style="47" customWidth="1"/>
    <col min="776" max="780" width="0" style="47" hidden="1" customWidth="1"/>
    <col min="781" max="782" width="8.7109375" style="47" customWidth="1"/>
    <col min="783" max="787" width="8.7109375" style="47" bestFit="1" customWidth="1"/>
    <col min="788" max="789" width="3" style="47" customWidth="1"/>
    <col min="790" max="1024" width="9.140625" style="47"/>
    <col min="1025" max="1025" width="6.85546875" style="47" customWidth="1"/>
    <col min="1026" max="1026" width="8.28515625" style="47" customWidth="1"/>
    <col min="1027" max="1027" width="9.140625" style="47"/>
    <col min="1028" max="1028" width="6.7109375" style="47" customWidth="1"/>
    <col min="1029" max="1029" width="5.140625" style="47" bestFit="1" customWidth="1"/>
    <col min="1030" max="1030" width="2" style="47" bestFit="1" customWidth="1"/>
    <col min="1031" max="1031" width="28.42578125" style="47" customWidth="1"/>
    <col min="1032" max="1036" width="0" style="47" hidden="1" customWidth="1"/>
    <col min="1037" max="1038" width="8.7109375" style="47" customWidth="1"/>
    <col min="1039" max="1043" width="8.7109375" style="47" bestFit="1" customWidth="1"/>
    <col min="1044" max="1045" width="3" style="47" customWidth="1"/>
    <col min="1046" max="1280" width="9.140625" style="47"/>
    <col min="1281" max="1281" width="6.85546875" style="47" customWidth="1"/>
    <col min="1282" max="1282" width="8.28515625" style="47" customWidth="1"/>
    <col min="1283" max="1283" width="9.140625" style="47"/>
    <col min="1284" max="1284" width="6.7109375" style="47" customWidth="1"/>
    <col min="1285" max="1285" width="5.140625" style="47" bestFit="1" customWidth="1"/>
    <col min="1286" max="1286" width="2" style="47" bestFit="1" customWidth="1"/>
    <col min="1287" max="1287" width="28.42578125" style="47" customWidth="1"/>
    <col min="1288" max="1292" width="0" style="47" hidden="1" customWidth="1"/>
    <col min="1293" max="1294" width="8.7109375" style="47" customWidth="1"/>
    <col min="1295" max="1299" width="8.7109375" style="47" bestFit="1" customWidth="1"/>
    <col min="1300" max="1301" width="3" style="47" customWidth="1"/>
    <col min="1302" max="1536" width="9.140625" style="47"/>
    <col min="1537" max="1537" width="6.85546875" style="47" customWidth="1"/>
    <col min="1538" max="1538" width="8.28515625" style="47" customWidth="1"/>
    <col min="1539" max="1539" width="9.140625" style="47"/>
    <col min="1540" max="1540" width="6.7109375" style="47" customWidth="1"/>
    <col min="1541" max="1541" width="5.140625" style="47" bestFit="1" customWidth="1"/>
    <col min="1542" max="1542" width="2" style="47" bestFit="1" customWidth="1"/>
    <col min="1543" max="1543" width="28.42578125" style="47" customWidth="1"/>
    <col min="1544" max="1548" width="0" style="47" hidden="1" customWidth="1"/>
    <col min="1549" max="1550" width="8.7109375" style="47" customWidth="1"/>
    <col min="1551" max="1555" width="8.7109375" style="47" bestFit="1" customWidth="1"/>
    <col min="1556" max="1557" width="3" style="47" customWidth="1"/>
    <col min="1558" max="1792" width="9.140625" style="47"/>
    <col min="1793" max="1793" width="6.85546875" style="47" customWidth="1"/>
    <col min="1794" max="1794" width="8.28515625" style="47" customWidth="1"/>
    <col min="1795" max="1795" width="9.140625" style="47"/>
    <col min="1796" max="1796" width="6.7109375" style="47" customWidth="1"/>
    <col min="1797" max="1797" width="5.140625" style="47" bestFit="1" customWidth="1"/>
    <col min="1798" max="1798" width="2" style="47" bestFit="1" customWidth="1"/>
    <col min="1799" max="1799" width="28.42578125" style="47" customWidth="1"/>
    <col min="1800" max="1804" width="0" style="47" hidden="1" customWidth="1"/>
    <col min="1805" max="1806" width="8.7109375" style="47" customWidth="1"/>
    <col min="1807" max="1811" width="8.7109375" style="47" bestFit="1" customWidth="1"/>
    <col min="1812" max="1813" width="3" style="47" customWidth="1"/>
    <col min="1814" max="2048" width="9.140625" style="47"/>
    <col min="2049" max="2049" width="6.85546875" style="47" customWidth="1"/>
    <col min="2050" max="2050" width="8.28515625" style="47" customWidth="1"/>
    <col min="2051" max="2051" width="9.140625" style="47"/>
    <col min="2052" max="2052" width="6.7109375" style="47" customWidth="1"/>
    <col min="2053" max="2053" width="5.140625" style="47" bestFit="1" customWidth="1"/>
    <col min="2054" max="2054" width="2" style="47" bestFit="1" customWidth="1"/>
    <col min="2055" max="2055" width="28.42578125" style="47" customWidth="1"/>
    <col min="2056" max="2060" width="0" style="47" hidden="1" customWidth="1"/>
    <col min="2061" max="2062" width="8.7109375" style="47" customWidth="1"/>
    <col min="2063" max="2067" width="8.7109375" style="47" bestFit="1" customWidth="1"/>
    <col min="2068" max="2069" width="3" style="47" customWidth="1"/>
    <col min="2070" max="2304" width="9.140625" style="47"/>
    <col min="2305" max="2305" width="6.85546875" style="47" customWidth="1"/>
    <col min="2306" max="2306" width="8.28515625" style="47" customWidth="1"/>
    <col min="2307" max="2307" width="9.140625" style="47"/>
    <col min="2308" max="2308" width="6.7109375" style="47" customWidth="1"/>
    <col min="2309" max="2309" width="5.140625" style="47" bestFit="1" customWidth="1"/>
    <col min="2310" max="2310" width="2" style="47" bestFit="1" customWidth="1"/>
    <col min="2311" max="2311" width="28.42578125" style="47" customWidth="1"/>
    <col min="2312" max="2316" width="0" style="47" hidden="1" customWidth="1"/>
    <col min="2317" max="2318" width="8.7109375" style="47" customWidth="1"/>
    <col min="2319" max="2323" width="8.7109375" style="47" bestFit="1" customWidth="1"/>
    <col min="2324" max="2325" width="3" style="47" customWidth="1"/>
    <col min="2326" max="2560" width="9.140625" style="47"/>
    <col min="2561" max="2561" width="6.85546875" style="47" customWidth="1"/>
    <col min="2562" max="2562" width="8.28515625" style="47" customWidth="1"/>
    <col min="2563" max="2563" width="9.140625" style="47"/>
    <col min="2564" max="2564" width="6.7109375" style="47" customWidth="1"/>
    <col min="2565" max="2565" width="5.140625" style="47" bestFit="1" customWidth="1"/>
    <col min="2566" max="2566" width="2" style="47" bestFit="1" customWidth="1"/>
    <col min="2567" max="2567" width="28.42578125" style="47" customWidth="1"/>
    <col min="2568" max="2572" width="0" style="47" hidden="1" customWidth="1"/>
    <col min="2573" max="2574" width="8.7109375" style="47" customWidth="1"/>
    <col min="2575" max="2579" width="8.7109375" style="47" bestFit="1" customWidth="1"/>
    <col min="2580" max="2581" width="3" style="47" customWidth="1"/>
    <col min="2582" max="2816" width="9.140625" style="47"/>
    <col min="2817" max="2817" width="6.85546875" style="47" customWidth="1"/>
    <col min="2818" max="2818" width="8.28515625" style="47" customWidth="1"/>
    <col min="2819" max="2819" width="9.140625" style="47"/>
    <col min="2820" max="2820" width="6.7109375" style="47" customWidth="1"/>
    <col min="2821" max="2821" width="5.140625" style="47" bestFit="1" customWidth="1"/>
    <col min="2822" max="2822" width="2" style="47" bestFit="1" customWidth="1"/>
    <col min="2823" max="2823" width="28.42578125" style="47" customWidth="1"/>
    <col min="2824" max="2828" width="0" style="47" hidden="1" customWidth="1"/>
    <col min="2829" max="2830" width="8.7109375" style="47" customWidth="1"/>
    <col min="2831" max="2835" width="8.7109375" style="47" bestFit="1" customWidth="1"/>
    <col min="2836" max="2837" width="3" style="47" customWidth="1"/>
    <col min="2838" max="3072" width="9.140625" style="47"/>
    <col min="3073" max="3073" width="6.85546875" style="47" customWidth="1"/>
    <col min="3074" max="3074" width="8.28515625" style="47" customWidth="1"/>
    <col min="3075" max="3075" width="9.140625" style="47"/>
    <col min="3076" max="3076" width="6.7109375" style="47" customWidth="1"/>
    <col min="3077" max="3077" width="5.140625" style="47" bestFit="1" customWidth="1"/>
    <col min="3078" max="3078" width="2" style="47" bestFit="1" customWidth="1"/>
    <col min="3079" max="3079" width="28.42578125" style="47" customWidth="1"/>
    <col min="3080" max="3084" width="0" style="47" hidden="1" customWidth="1"/>
    <col min="3085" max="3086" width="8.7109375" style="47" customWidth="1"/>
    <col min="3087" max="3091" width="8.7109375" style="47" bestFit="1" customWidth="1"/>
    <col min="3092" max="3093" width="3" style="47" customWidth="1"/>
    <col min="3094" max="3328" width="9.140625" style="47"/>
    <col min="3329" max="3329" width="6.85546875" style="47" customWidth="1"/>
    <col min="3330" max="3330" width="8.28515625" style="47" customWidth="1"/>
    <col min="3331" max="3331" width="9.140625" style="47"/>
    <col min="3332" max="3332" width="6.7109375" style="47" customWidth="1"/>
    <col min="3333" max="3333" width="5.140625" style="47" bestFit="1" customWidth="1"/>
    <col min="3334" max="3334" width="2" style="47" bestFit="1" customWidth="1"/>
    <col min="3335" max="3335" width="28.42578125" style="47" customWidth="1"/>
    <col min="3336" max="3340" width="0" style="47" hidden="1" customWidth="1"/>
    <col min="3341" max="3342" width="8.7109375" style="47" customWidth="1"/>
    <col min="3343" max="3347" width="8.7109375" style="47" bestFit="1" customWidth="1"/>
    <col min="3348" max="3349" width="3" style="47" customWidth="1"/>
    <col min="3350" max="3584" width="9.140625" style="47"/>
    <col min="3585" max="3585" width="6.85546875" style="47" customWidth="1"/>
    <col min="3586" max="3586" width="8.28515625" style="47" customWidth="1"/>
    <col min="3587" max="3587" width="9.140625" style="47"/>
    <col min="3588" max="3588" width="6.7109375" style="47" customWidth="1"/>
    <col min="3589" max="3589" width="5.140625" style="47" bestFit="1" customWidth="1"/>
    <col min="3590" max="3590" width="2" style="47" bestFit="1" customWidth="1"/>
    <col min="3591" max="3591" width="28.42578125" style="47" customWidth="1"/>
    <col min="3592" max="3596" width="0" style="47" hidden="1" customWidth="1"/>
    <col min="3597" max="3598" width="8.7109375" style="47" customWidth="1"/>
    <col min="3599" max="3603" width="8.7109375" style="47" bestFit="1" customWidth="1"/>
    <col min="3604" max="3605" width="3" style="47" customWidth="1"/>
    <col min="3606" max="3840" width="9.140625" style="47"/>
    <col min="3841" max="3841" width="6.85546875" style="47" customWidth="1"/>
    <col min="3842" max="3842" width="8.28515625" style="47" customWidth="1"/>
    <col min="3843" max="3843" width="9.140625" style="47"/>
    <col min="3844" max="3844" width="6.7109375" style="47" customWidth="1"/>
    <col min="3845" max="3845" width="5.140625" style="47" bestFit="1" customWidth="1"/>
    <col min="3846" max="3846" width="2" style="47" bestFit="1" customWidth="1"/>
    <col min="3847" max="3847" width="28.42578125" style="47" customWidth="1"/>
    <col min="3848" max="3852" width="0" style="47" hidden="1" customWidth="1"/>
    <col min="3853" max="3854" width="8.7109375" style="47" customWidth="1"/>
    <col min="3855" max="3859" width="8.7109375" style="47" bestFit="1" customWidth="1"/>
    <col min="3860" max="3861" width="3" style="47" customWidth="1"/>
    <col min="3862" max="4096" width="9.140625" style="47"/>
    <col min="4097" max="4097" width="6.85546875" style="47" customWidth="1"/>
    <col min="4098" max="4098" width="8.28515625" style="47" customWidth="1"/>
    <col min="4099" max="4099" width="9.140625" style="47"/>
    <col min="4100" max="4100" width="6.7109375" style="47" customWidth="1"/>
    <col min="4101" max="4101" width="5.140625" style="47" bestFit="1" customWidth="1"/>
    <col min="4102" max="4102" width="2" style="47" bestFit="1" customWidth="1"/>
    <col min="4103" max="4103" width="28.42578125" style="47" customWidth="1"/>
    <col min="4104" max="4108" width="0" style="47" hidden="1" customWidth="1"/>
    <col min="4109" max="4110" width="8.7109375" style="47" customWidth="1"/>
    <col min="4111" max="4115" width="8.7109375" style="47" bestFit="1" customWidth="1"/>
    <col min="4116" max="4117" width="3" style="47" customWidth="1"/>
    <col min="4118" max="4352" width="9.140625" style="47"/>
    <col min="4353" max="4353" width="6.85546875" style="47" customWidth="1"/>
    <col min="4354" max="4354" width="8.28515625" style="47" customWidth="1"/>
    <col min="4355" max="4355" width="9.140625" style="47"/>
    <col min="4356" max="4356" width="6.7109375" style="47" customWidth="1"/>
    <col min="4357" max="4357" width="5.140625" style="47" bestFit="1" customWidth="1"/>
    <col min="4358" max="4358" width="2" style="47" bestFit="1" customWidth="1"/>
    <col min="4359" max="4359" width="28.42578125" style="47" customWidth="1"/>
    <col min="4360" max="4364" width="0" style="47" hidden="1" customWidth="1"/>
    <col min="4365" max="4366" width="8.7109375" style="47" customWidth="1"/>
    <col min="4367" max="4371" width="8.7109375" style="47" bestFit="1" customWidth="1"/>
    <col min="4372" max="4373" width="3" style="47" customWidth="1"/>
    <col min="4374" max="4608" width="9.140625" style="47"/>
    <col min="4609" max="4609" width="6.85546875" style="47" customWidth="1"/>
    <col min="4610" max="4610" width="8.28515625" style="47" customWidth="1"/>
    <col min="4611" max="4611" width="9.140625" style="47"/>
    <col min="4612" max="4612" width="6.7109375" style="47" customWidth="1"/>
    <col min="4613" max="4613" width="5.140625" style="47" bestFit="1" customWidth="1"/>
    <col min="4614" max="4614" width="2" style="47" bestFit="1" customWidth="1"/>
    <col min="4615" max="4615" width="28.42578125" style="47" customWidth="1"/>
    <col min="4616" max="4620" width="0" style="47" hidden="1" customWidth="1"/>
    <col min="4621" max="4622" width="8.7109375" style="47" customWidth="1"/>
    <col min="4623" max="4627" width="8.7109375" style="47" bestFit="1" customWidth="1"/>
    <col min="4628" max="4629" width="3" style="47" customWidth="1"/>
    <col min="4630" max="4864" width="9.140625" style="47"/>
    <col min="4865" max="4865" width="6.85546875" style="47" customWidth="1"/>
    <col min="4866" max="4866" width="8.28515625" style="47" customWidth="1"/>
    <col min="4867" max="4867" width="9.140625" style="47"/>
    <col min="4868" max="4868" width="6.7109375" style="47" customWidth="1"/>
    <col min="4869" max="4869" width="5.140625" style="47" bestFit="1" customWidth="1"/>
    <col min="4870" max="4870" width="2" style="47" bestFit="1" customWidth="1"/>
    <col min="4871" max="4871" width="28.42578125" style="47" customWidth="1"/>
    <col min="4872" max="4876" width="0" style="47" hidden="1" customWidth="1"/>
    <col min="4877" max="4878" width="8.7109375" style="47" customWidth="1"/>
    <col min="4879" max="4883" width="8.7109375" style="47" bestFit="1" customWidth="1"/>
    <col min="4884" max="4885" width="3" style="47" customWidth="1"/>
    <col min="4886" max="5120" width="9.140625" style="47"/>
    <col min="5121" max="5121" width="6.85546875" style="47" customWidth="1"/>
    <col min="5122" max="5122" width="8.28515625" style="47" customWidth="1"/>
    <col min="5123" max="5123" width="9.140625" style="47"/>
    <col min="5124" max="5124" width="6.7109375" style="47" customWidth="1"/>
    <col min="5125" max="5125" width="5.140625" style="47" bestFit="1" customWidth="1"/>
    <col min="5126" max="5126" width="2" style="47" bestFit="1" customWidth="1"/>
    <col min="5127" max="5127" width="28.42578125" style="47" customWidth="1"/>
    <col min="5128" max="5132" width="0" style="47" hidden="1" customWidth="1"/>
    <col min="5133" max="5134" width="8.7109375" style="47" customWidth="1"/>
    <col min="5135" max="5139" width="8.7109375" style="47" bestFit="1" customWidth="1"/>
    <col min="5140" max="5141" width="3" style="47" customWidth="1"/>
    <col min="5142" max="5376" width="9.140625" style="47"/>
    <col min="5377" max="5377" width="6.85546875" style="47" customWidth="1"/>
    <col min="5378" max="5378" width="8.28515625" style="47" customWidth="1"/>
    <col min="5379" max="5379" width="9.140625" style="47"/>
    <col min="5380" max="5380" width="6.7109375" style="47" customWidth="1"/>
    <col min="5381" max="5381" width="5.140625" style="47" bestFit="1" customWidth="1"/>
    <col min="5382" max="5382" width="2" style="47" bestFit="1" customWidth="1"/>
    <col min="5383" max="5383" width="28.42578125" style="47" customWidth="1"/>
    <col min="5384" max="5388" width="0" style="47" hidden="1" customWidth="1"/>
    <col min="5389" max="5390" width="8.7109375" style="47" customWidth="1"/>
    <col min="5391" max="5395" width="8.7109375" style="47" bestFit="1" customWidth="1"/>
    <col min="5396" max="5397" width="3" style="47" customWidth="1"/>
    <col min="5398" max="5632" width="9.140625" style="47"/>
    <col min="5633" max="5633" width="6.85546875" style="47" customWidth="1"/>
    <col min="5634" max="5634" width="8.28515625" style="47" customWidth="1"/>
    <col min="5635" max="5635" width="9.140625" style="47"/>
    <col min="5636" max="5636" width="6.7109375" style="47" customWidth="1"/>
    <col min="5637" max="5637" width="5.140625" style="47" bestFit="1" customWidth="1"/>
    <col min="5638" max="5638" width="2" style="47" bestFit="1" customWidth="1"/>
    <col min="5639" max="5639" width="28.42578125" style="47" customWidth="1"/>
    <col min="5640" max="5644" width="0" style="47" hidden="1" customWidth="1"/>
    <col min="5645" max="5646" width="8.7109375" style="47" customWidth="1"/>
    <col min="5647" max="5651" width="8.7109375" style="47" bestFit="1" customWidth="1"/>
    <col min="5652" max="5653" width="3" style="47" customWidth="1"/>
    <col min="5654" max="5888" width="9.140625" style="47"/>
    <col min="5889" max="5889" width="6.85546875" style="47" customWidth="1"/>
    <col min="5890" max="5890" width="8.28515625" style="47" customWidth="1"/>
    <col min="5891" max="5891" width="9.140625" style="47"/>
    <col min="5892" max="5892" width="6.7109375" style="47" customWidth="1"/>
    <col min="5893" max="5893" width="5.140625" style="47" bestFit="1" customWidth="1"/>
    <col min="5894" max="5894" width="2" style="47" bestFit="1" customWidth="1"/>
    <col min="5895" max="5895" width="28.42578125" style="47" customWidth="1"/>
    <col min="5896" max="5900" width="0" style="47" hidden="1" customWidth="1"/>
    <col min="5901" max="5902" width="8.7109375" style="47" customWidth="1"/>
    <col min="5903" max="5907" width="8.7109375" style="47" bestFit="1" customWidth="1"/>
    <col min="5908" max="5909" width="3" style="47" customWidth="1"/>
    <col min="5910" max="6144" width="9.140625" style="47"/>
    <col min="6145" max="6145" width="6.85546875" style="47" customWidth="1"/>
    <col min="6146" max="6146" width="8.28515625" style="47" customWidth="1"/>
    <col min="6147" max="6147" width="9.140625" style="47"/>
    <col min="6148" max="6148" width="6.7109375" style="47" customWidth="1"/>
    <col min="6149" max="6149" width="5.140625" style="47" bestFit="1" customWidth="1"/>
    <col min="6150" max="6150" width="2" style="47" bestFit="1" customWidth="1"/>
    <col min="6151" max="6151" width="28.42578125" style="47" customWidth="1"/>
    <col min="6152" max="6156" width="0" style="47" hidden="1" customWidth="1"/>
    <col min="6157" max="6158" width="8.7109375" style="47" customWidth="1"/>
    <col min="6159" max="6163" width="8.7109375" style="47" bestFit="1" customWidth="1"/>
    <col min="6164" max="6165" width="3" style="47" customWidth="1"/>
    <col min="6166" max="6400" width="9.140625" style="47"/>
    <col min="6401" max="6401" width="6.85546875" style="47" customWidth="1"/>
    <col min="6402" max="6402" width="8.28515625" style="47" customWidth="1"/>
    <col min="6403" max="6403" width="9.140625" style="47"/>
    <col min="6404" max="6404" width="6.7109375" style="47" customWidth="1"/>
    <col min="6405" max="6405" width="5.140625" style="47" bestFit="1" customWidth="1"/>
    <col min="6406" max="6406" width="2" style="47" bestFit="1" customWidth="1"/>
    <col min="6407" max="6407" width="28.42578125" style="47" customWidth="1"/>
    <col min="6408" max="6412" width="0" style="47" hidden="1" customWidth="1"/>
    <col min="6413" max="6414" width="8.7109375" style="47" customWidth="1"/>
    <col min="6415" max="6419" width="8.7109375" style="47" bestFit="1" customWidth="1"/>
    <col min="6420" max="6421" width="3" style="47" customWidth="1"/>
    <col min="6422" max="6656" width="9.140625" style="47"/>
    <col min="6657" max="6657" width="6.85546875" style="47" customWidth="1"/>
    <col min="6658" max="6658" width="8.28515625" style="47" customWidth="1"/>
    <col min="6659" max="6659" width="9.140625" style="47"/>
    <col min="6660" max="6660" width="6.7109375" style="47" customWidth="1"/>
    <col min="6661" max="6661" width="5.140625" style="47" bestFit="1" customWidth="1"/>
    <col min="6662" max="6662" width="2" style="47" bestFit="1" customWidth="1"/>
    <col min="6663" max="6663" width="28.42578125" style="47" customWidth="1"/>
    <col min="6664" max="6668" width="0" style="47" hidden="1" customWidth="1"/>
    <col min="6669" max="6670" width="8.7109375" style="47" customWidth="1"/>
    <col min="6671" max="6675" width="8.7109375" style="47" bestFit="1" customWidth="1"/>
    <col min="6676" max="6677" width="3" style="47" customWidth="1"/>
    <col min="6678" max="6912" width="9.140625" style="47"/>
    <col min="6913" max="6913" width="6.85546875" style="47" customWidth="1"/>
    <col min="6914" max="6914" width="8.28515625" style="47" customWidth="1"/>
    <col min="6915" max="6915" width="9.140625" style="47"/>
    <col min="6916" max="6916" width="6.7109375" style="47" customWidth="1"/>
    <col min="6917" max="6917" width="5.140625" style="47" bestFit="1" customWidth="1"/>
    <col min="6918" max="6918" width="2" style="47" bestFit="1" customWidth="1"/>
    <col min="6919" max="6919" width="28.42578125" style="47" customWidth="1"/>
    <col min="6920" max="6924" width="0" style="47" hidden="1" customWidth="1"/>
    <col min="6925" max="6926" width="8.7109375" style="47" customWidth="1"/>
    <col min="6927" max="6931" width="8.7109375" style="47" bestFit="1" customWidth="1"/>
    <col min="6932" max="6933" width="3" style="47" customWidth="1"/>
    <col min="6934" max="7168" width="9.140625" style="47"/>
    <col min="7169" max="7169" width="6.85546875" style="47" customWidth="1"/>
    <col min="7170" max="7170" width="8.28515625" style="47" customWidth="1"/>
    <col min="7171" max="7171" width="9.140625" style="47"/>
    <col min="7172" max="7172" width="6.7109375" style="47" customWidth="1"/>
    <col min="7173" max="7173" width="5.140625" style="47" bestFit="1" customWidth="1"/>
    <col min="7174" max="7174" width="2" style="47" bestFit="1" customWidth="1"/>
    <col min="7175" max="7175" width="28.42578125" style="47" customWidth="1"/>
    <col min="7176" max="7180" width="0" style="47" hidden="1" customWidth="1"/>
    <col min="7181" max="7182" width="8.7109375" style="47" customWidth="1"/>
    <col min="7183" max="7187" width="8.7109375" style="47" bestFit="1" customWidth="1"/>
    <col min="7188" max="7189" width="3" style="47" customWidth="1"/>
    <col min="7190" max="7424" width="9.140625" style="47"/>
    <col min="7425" max="7425" width="6.85546875" style="47" customWidth="1"/>
    <col min="7426" max="7426" width="8.28515625" style="47" customWidth="1"/>
    <col min="7427" max="7427" width="9.140625" style="47"/>
    <col min="7428" max="7428" width="6.7109375" style="47" customWidth="1"/>
    <col min="7429" max="7429" width="5.140625" style="47" bestFit="1" customWidth="1"/>
    <col min="7430" max="7430" width="2" style="47" bestFit="1" customWidth="1"/>
    <col min="7431" max="7431" width="28.42578125" style="47" customWidth="1"/>
    <col min="7432" max="7436" width="0" style="47" hidden="1" customWidth="1"/>
    <col min="7437" max="7438" width="8.7109375" style="47" customWidth="1"/>
    <col min="7439" max="7443" width="8.7109375" style="47" bestFit="1" customWidth="1"/>
    <col min="7444" max="7445" width="3" style="47" customWidth="1"/>
    <col min="7446" max="7680" width="9.140625" style="47"/>
    <col min="7681" max="7681" width="6.85546875" style="47" customWidth="1"/>
    <col min="7682" max="7682" width="8.28515625" style="47" customWidth="1"/>
    <col min="7683" max="7683" width="9.140625" style="47"/>
    <col min="7684" max="7684" width="6.7109375" style="47" customWidth="1"/>
    <col min="7685" max="7685" width="5.140625" style="47" bestFit="1" customWidth="1"/>
    <col min="7686" max="7686" width="2" style="47" bestFit="1" customWidth="1"/>
    <col min="7687" max="7687" width="28.42578125" style="47" customWidth="1"/>
    <col min="7688" max="7692" width="0" style="47" hidden="1" customWidth="1"/>
    <col min="7693" max="7694" width="8.7109375" style="47" customWidth="1"/>
    <col min="7695" max="7699" width="8.7109375" style="47" bestFit="1" customWidth="1"/>
    <col min="7700" max="7701" width="3" style="47" customWidth="1"/>
    <col min="7702" max="7936" width="9.140625" style="47"/>
    <col min="7937" max="7937" width="6.85546875" style="47" customWidth="1"/>
    <col min="7938" max="7938" width="8.28515625" style="47" customWidth="1"/>
    <col min="7939" max="7939" width="9.140625" style="47"/>
    <col min="7940" max="7940" width="6.7109375" style="47" customWidth="1"/>
    <col min="7941" max="7941" width="5.140625" style="47" bestFit="1" customWidth="1"/>
    <col min="7942" max="7942" width="2" style="47" bestFit="1" customWidth="1"/>
    <col min="7943" max="7943" width="28.42578125" style="47" customWidth="1"/>
    <col min="7944" max="7948" width="0" style="47" hidden="1" customWidth="1"/>
    <col min="7949" max="7950" width="8.7109375" style="47" customWidth="1"/>
    <col min="7951" max="7955" width="8.7109375" style="47" bestFit="1" customWidth="1"/>
    <col min="7956" max="7957" width="3" style="47" customWidth="1"/>
    <col min="7958" max="8192" width="9.140625" style="47"/>
    <col min="8193" max="8193" width="6.85546875" style="47" customWidth="1"/>
    <col min="8194" max="8194" width="8.28515625" style="47" customWidth="1"/>
    <col min="8195" max="8195" width="9.140625" style="47"/>
    <col min="8196" max="8196" width="6.7109375" style="47" customWidth="1"/>
    <col min="8197" max="8197" width="5.140625" style="47" bestFit="1" customWidth="1"/>
    <col min="8198" max="8198" width="2" style="47" bestFit="1" customWidth="1"/>
    <col min="8199" max="8199" width="28.42578125" style="47" customWidth="1"/>
    <col min="8200" max="8204" width="0" style="47" hidden="1" customWidth="1"/>
    <col min="8205" max="8206" width="8.7109375" style="47" customWidth="1"/>
    <col min="8207" max="8211" width="8.7109375" style="47" bestFit="1" customWidth="1"/>
    <col min="8212" max="8213" width="3" style="47" customWidth="1"/>
    <col min="8214" max="8448" width="9.140625" style="47"/>
    <col min="8449" max="8449" width="6.85546875" style="47" customWidth="1"/>
    <col min="8450" max="8450" width="8.28515625" style="47" customWidth="1"/>
    <col min="8451" max="8451" width="9.140625" style="47"/>
    <col min="8452" max="8452" width="6.7109375" style="47" customWidth="1"/>
    <col min="8453" max="8453" width="5.140625" style="47" bestFit="1" customWidth="1"/>
    <col min="8454" max="8454" width="2" style="47" bestFit="1" customWidth="1"/>
    <col min="8455" max="8455" width="28.42578125" style="47" customWidth="1"/>
    <col min="8456" max="8460" width="0" style="47" hidden="1" customWidth="1"/>
    <col min="8461" max="8462" width="8.7109375" style="47" customWidth="1"/>
    <col min="8463" max="8467" width="8.7109375" style="47" bestFit="1" customWidth="1"/>
    <col min="8468" max="8469" width="3" style="47" customWidth="1"/>
    <col min="8470" max="8704" width="9.140625" style="47"/>
    <col min="8705" max="8705" width="6.85546875" style="47" customWidth="1"/>
    <col min="8706" max="8706" width="8.28515625" style="47" customWidth="1"/>
    <col min="8707" max="8707" width="9.140625" style="47"/>
    <col min="8708" max="8708" width="6.7109375" style="47" customWidth="1"/>
    <col min="8709" max="8709" width="5.140625" style="47" bestFit="1" customWidth="1"/>
    <col min="8710" max="8710" width="2" style="47" bestFit="1" customWidth="1"/>
    <col min="8711" max="8711" width="28.42578125" style="47" customWidth="1"/>
    <col min="8712" max="8716" width="0" style="47" hidden="1" customWidth="1"/>
    <col min="8717" max="8718" width="8.7109375" style="47" customWidth="1"/>
    <col min="8719" max="8723" width="8.7109375" style="47" bestFit="1" customWidth="1"/>
    <col min="8724" max="8725" width="3" style="47" customWidth="1"/>
    <col min="8726" max="8960" width="9.140625" style="47"/>
    <col min="8961" max="8961" width="6.85546875" style="47" customWidth="1"/>
    <col min="8962" max="8962" width="8.28515625" style="47" customWidth="1"/>
    <col min="8963" max="8963" width="9.140625" style="47"/>
    <col min="8964" max="8964" width="6.7109375" style="47" customWidth="1"/>
    <col min="8965" max="8965" width="5.140625" style="47" bestFit="1" customWidth="1"/>
    <col min="8966" max="8966" width="2" style="47" bestFit="1" customWidth="1"/>
    <col min="8967" max="8967" width="28.42578125" style="47" customWidth="1"/>
    <col min="8968" max="8972" width="0" style="47" hidden="1" customWidth="1"/>
    <col min="8973" max="8974" width="8.7109375" style="47" customWidth="1"/>
    <col min="8975" max="8979" width="8.7109375" style="47" bestFit="1" customWidth="1"/>
    <col min="8980" max="8981" width="3" style="47" customWidth="1"/>
    <col min="8982" max="9216" width="9.140625" style="47"/>
    <col min="9217" max="9217" width="6.85546875" style="47" customWidth="1"/>
    <col min="9218" max="9218" width="8.28515625" style="47" customWidth="1"/>
    <col min="9219" max="9219" width="9.140625" style="47"/>
    <col min="9220" max="9220" width="6.7109375" style="47" customWidth="1"/>
    <col min="9221" max="9221" width="5.140625" style="47" bestFit="1" customWidth="1"/>
    <col min="9222" max="9222" width="2" style="47" bestFit="1" customWidth="1"/>
    <col min="9223" max="9223" width="28.42578125" style="47" customWidth="1"/>
    <col min="9224" max="9228" width="0" style="47" hidden="1" customWidth="1"/>
    <col min="9229" max="9230" width="8.7109375" style="47" customWidth="1"/>
    <col min="9231" max="9235" width="8.7109375" style="47" bestFit="1" customWidth="1"/>
    <col min="9236" max="9237" width="3" style="47" customWidth="1"/>
    <col min="9238" max="9472" width="9.140625" style="47"/>
    <col min="9473" max="9473" width="6.85546875" style="47" customWidth="1"/>
    <col min="9474" max="9474" width="8.28515625" style="47" customWidth="1"/>
    <col min="9475" max="9475" width="9.140625" style="47"/>
    <col min="9476" max="9476" width="6.7109375" style="47" customWidth="1"/>
    <col min="9477" max="9477" width="5.140625" style="47" bestFit="1" customWidth="1"/>
    <col min="9478" max="9478" width="2" style="47" bestFit="1" customWidth="1"/>
    <col min="9479" max="9479" width="28.42578125" style="47" customWidth="1"/>
    <col min="9480" max="9484" width="0" style="47" hidden="1" customWidth="1"/>
    <col min="9485" max="9486" width="8.7109375" style="47" customWidth="1"/>
    <col min="9487" max="9491" width="8.7109375" style="47" bestFit="1" customWidth="1"/>
    <col min="9492" max="9493" width="3" style="47" customWidth="1"/>
    <col min="9494" max="9728" width="9.140625" style="47"/>
    <col min="9729" max="9729" width="6.85546875" style="47" customWidth="1"/>
    <col min="9730" max="9730" width="8.28515625" style="47" customWidth="1"/>
    <col min="9731" max="9731" width="9.140625" style="47"/>
    <col min="9732" max="9732" width="6.7109375" style="47" customWidth="1"/>
    <col min="9733" max="9733" width="5.140625" style="47" bestFit="1" customWidth="1"/>
    <col min="9734" max="9734" width="2" style="47" bestFit="1" customWidth="1"/>
    <col min="9735" max="9735" width="28.42578125" style="47" customWidth="1"/>
    <col min="9736" max="9740" width="0" style="47" hidden="1" customWidth="1"/>
    <col min="9741" max="9742" width="8.7109375" style="47" customWidth="1"/>
    <col min="9743" max="9747" width="8.7109375" style="47" bestFit="1" customWidth="1"/>
    <col min="9748" max="9749" width="3" style="47" customWidth="1"/>
    <col min="9750" max="9984" width="9.140625" style="47"/>
    <col min="9985" max="9985" width="6.85546875" style="47" customWidth="1"/>
    <col min="9986" max="9986" width="8.28515625" style="47" customWidth="1"/>
    <col min="9987" max="9987" width="9.140625" style="47"/>
    <col min="9988" max="9988" width="6.7109375" style="47" customWidth="1"/>
    <col min="9989" max="9989" width="5.140625" style="47" bestFit="1" customWidth="1"/>
    <col min="9990" max="9990" width="2" style="47" bestFit="1" customWidth="1"/>
    <col min="9991" max="9991" width="28.42578125" style="47" customWidth="1"/>
    <col min="9992" max="9996" width="0" style="47" hidden="1" customWidth="1"/>
    <col min="9997" max="9998" width="8.7109375" style="47" customWidth="1"/>
    <col min="9999" max="10003" width="8.7109375" style="47" bestFit="1" customWidth="1"/>
    <col min="10004" max="10005" width="3" style="47" customWidth="1"/>
    <col min="10006" max="10240" width="9.140625" style="47"/>
    <col min="10241" max="10241" width="6.85546875" style="47" customWidth="1"/>
    <col min="10242" max="10242" width="8.28515625" style="47" customWidth="1"/>
    <col min="10243" max="10243" width="9.140625" style="47"/>
    <col min="10244" max="10244" width="6.7109375" style="47" customWidth="1"/>
    <col min="10245" max="10245" width="5.140625" style="47" bestFit="1" customWidth="1"/>
    <col min="10246" max="10246" width="2" style="47" bestFit="1" customWidth="1"/>
    <col min="10247" max="10247" width="28.42578125" style="47" customWidth="1"/>
    <col min="10248" max="10252" width="0" style="47" hidden="1" customWidth="1"/>
    <col min="10253" max="10254" width="8.7109375" style="47" customWidth="1"/>
    <col min="10255" max="10259" width="8.7109375" style="47" bestFit="1" customWidth="1"/>
    <col min="10260" max="10261" width="3" style="47" customWidth="1"/>
    <col min="10262" max="10496" width="9.140625" style="47"/>
    <col min="10497" max="10497" width="6.85546875" style="47" customWidth="1"/>
    <col min="10498" max="10498" width="8.28515625" style="47" customWidth="1"/>
    <col min="10499" max="10499" width="9.140625" style="47"/>
    <col min="10500" max="10500" width="6.7109375" style="47" customWidth="1"/>
    <col min="10501" max="10501" width="5.140625" style="47" bestFit="1" customWidth="1"/>
    <col min="10502" max="10502" width="2" style="47" bestFit="1" customWidth="1"/>
    <col min="10503" max="10503" width="28.42578125" style="47" customWidth="1"/>
    <col min="10504" max="10508" width="0" style="47" hidden="1" customWidth="1"/>
    <col min="10509" max="10510" width="8.7109375" style="47" customWidth="1"/>
    <col min="10511" max="10515" width="8.7109375" style="47" bestFit="1" customWidth="1"/>
    <col min="10516" max="10517" width="3" style="47" customWidth="1"/>
    <col min="10518" max="10752" width="9.140625" style="47"/>
    <col min="10753" max="10753" width="6.85546875" style="47" customWidth="1"/>
    <col min="10754" max="10754" width="8.28515625" style="47" customWidth="1"/>
    <col min="10755" max="10755" width="9.140625" style="47"/>
    <col min="10756" max="10756" width="6.7109375" style="47" customWidth="1"/>
    <col min="10757" max="10757" width="5.140625" style="47" bestFit="1" customWidth="1"/>
    <col min="10758" max="10758" width="2" style="47" bestFit="1" customWidth="1"/>
    <col min="10759" max="10759" width="28.42578125" style="47" customWidth="1"/>
    <col min="10760" max="10764" width="0" style="47" hidden="1" customWidth="1"/>
    <col min="10765" max="10766" width="8.7109375" style="47" customWidth="1"/>
    <col min="10767" max="10771" width="8.7109375" style="47" bestFit="1" customWidth="1"/>
    <col min="10772" max="10773" width="3" style="47" customWidth="1"/>
    <col min="10774" max="11008" width="9.140625" style="47"/>
    <col min="11009" max="11009" width="6.85546875" style="47" customWidth="1"/>
    <col min="11010" max="11010" width="8.28515625" style="47" customWidth="1"/>
    <col min="11011" max="11011" width="9.140625" style="47"/>
    <col min="11012" max="11012" width="6.7109375" style="47" customWidth="1"/>
    <col min="11013" max="11013" width="5.140625" style="47" bestFit="1" customWidth="1"/>
    <col min="11014" max="11014" width="2" style="47" bestFit="1" customWidth="1"/>
    <col min="11015" max="11015" width="28.42578125" style="47" customWidth="1"/>
    <col min="11016" max="11020" width="0" style="47" hidden="1" customWidth="1"/>
    <col min="11021" max="11022" width="8.7109375" style="47" customWidth="1"/>
    <col min="11023" max="11027" width="8.7109375" style="47" bestFit="1" customWidth="1"/>
    <col min="11028" max="11029" width="3" style="47" customWidth="1"/>
    <col min="11030" max="11264" width="9.140625" style="47"/>
    <col min="11265" max="11265" width="6.85546875" style="47" customWidth="1"/>
    <col min="11266" max="11266" width="8.28515625" style="47" customWidth="1"/>
    <col min="11267" max="11267" width="9.140625" style="47"/>
    <col min="11268" max="11268" width="6.7109375" style="47" customWidth="1"/>
    <col min="11269" max="11269" width="5.140625" style="47" bestFit="1" customWidth="1"/>
    <col min="11270" max="11270" width="2" style="47" bestFit="1" customWidth="1"/>
    <col min="11271" max="11271" width="28.42578125" style="47" customWidth="1"/>
    <col min="11272" max="11276" width="0" style="47" hidden="1" customWidth="1"/>
    <col min="11277" max="11278" width="8.7109375" style="47" customWidth="1"/>
    <col min="11279" max="11283" width="8.7109375" style="47" bestFit="1" customWidth="1"/>
    <col min="11284" max="11285" width="3" style="47" customWidth="1"/>
    <col min="11286" max="11520" width="9.140625" style="47"/>
    <col min="11521" max="11521" width="6.85546875" style="47" customWidth="1"/>
    <col min="11522" max="11522" width="8.28515625" style="47" customWidth="1"/>
    <col min="11523" max="11523" width="9.140625" style="47"/>
    <col min="11524" max="11524" width="6.7109375" style="47" customWidth="1"/>
    <col min="11525" max="11525" width="5.140625" style="47" bestFit="1" customWidth="1"/>
    <col min="11526" max="11526" width="2" style="47" bestFit="1" customWidth="1"/>
    <col min="11527" max="11527" width="28.42578125" style="47" customWidth="1"/>
    <col min="11528" max="11532" width="0" style="47" hidden="1" customWidth="1"/>
    <col min="11533" max="11534" width="8.7109375" style="47" customWidth="1"/>
    <col min="11535" max="11539" width="8.7109375" style="47" bestFit="1" customWidth="1"/>
    <col min="11540" max="11541" width="3" style="47" customWidth="1"/>
    <col min="11542" max="11776" width="9.140625" style="47"/>
    <col min="11777" max="11777" width="6.85546875" style="47" customWidth="1"/>
    <col min="11778" max="11778" width="8.28515625" style="47" customWidth="1"/>
    <col min="11779" max="11779" width="9.140625" style="47"/>
    <col min="11780" max="11780" width="6.7109375" style="47" customWidth="1"/>
    <col min="11781" max="11781" width="5.140625" style="47" bestFit="1" customWidth="1"/>
    <col min="11782" max="11782" width="2" style="47" bestFit="1" customWidth="1"/>
    <col min="11783" max="11783" width="28.42578125" style="47" customWidth="1"/>
    <col min="11784" max="11788" width="0" style="47" hidden="1" customWidth="1"/>
    <col min="11789" max="11790" width="8.7109375" style="47" customWidth="1"/>
    <col min="11791" max="11795" width="8.7109375" style="47" bestFit="1" customWidth="1"/>
    <col min="11796" max="11797" width="3" style="47" customWidth="1"/>
    <col min="11798" max="12032" width="9.140625" style="47"/>
    <col min="12033" max="12033" width="6.85546875" style="47" customWidth="1"/>
    <col min="12034" max="12034" width="8.28515625" style="47" customWidth="1"/>
    <col min="12035" max="12035" width="9.140625" style="47"/>
    <col min="12036" max="12036" width="6.7109375" style="47" customWidth="1"/>
    <col min="12037" max="12037" width="5.140625" style="47" bestFit="1" customWidth="1"/>
    <col min="12038" max="12038" width="2" style="47" bestFit="1" customWidth="1"/>
    <col min="12039" max="12039" width="28.42578125" style="47" customWidth="1"/>
    <col min="12040" max="12044" width="0" style="47" hidden="1" customWidth="1"/>
    <col min="12045" max="12046" width="8.7109375" style="47" customWidth="1"/>
    <col min="12047" max="12051" width="8.7109375" style="47" bestFit="1" customWidth="1"/>
    <col min="12052" max="12053" width="3" style="47" customWidth="1"/>
    <col min="12054" max="12288" width="9.140625" style="47"/>
    <col min="12289" max="12289" width="6.85546875" style="47" customWidth="1"/>
    <col min="12290" max="12290" width="8.28515625" style="47" customWidth="1"/>
    <col min="12291" max="12291" width="9.140625" style="47"/>
    <col min="12292" max="12292" width="6.7109375" style="47" customWidth="1"/>
    <col min="12293" max="12293" width="5.140625" style="47" bestFit="1" customWidth="1"/>
    <col min="12294" max="12294" width="2" style="47" bestFit="1" customWidth="1"/>
    <col min="12295" max="12295" width="28.42578125" style="47" customWidth="1"/>
    <col min="12296" max="12300" width="0" style="47" hidden="1" customWidth="1"/>
    <col min="12301" max="12302" width="8.7109375" style="47" customWidth="1"/>
    <col min="12303" max="12307" width="8.7109375" style="47" bestFit="1" customWidth="1"/>
    <col min="12308" max="12309" width="3" style="47" customWidth="1"/>
    <col min="12310" max="12544" width="9.140625" style="47"/>
    <col min="12545" max="12545" width="6.85546875" style="47" customWidth="1"/>
    <col min="12546" max="12546" width="8.28515625" style="47" customWidth="1"/>
    <col min="12547" max="12547" width="9.140625" style="47"/>
    <col min="12548" max="12548" width="6.7109375" style="47" customWidth="1"/>
    <col min="12549" max="12549" width="5.140625" style="47" bestFit="1" customWidth="1"/>
    <col min="12550" max="12550" width="2" style="47" bestFit="1" customWidth="1"/>
    <col min="12551" max="12551" width="28.42578125" style="47" customWidth="1"/>
    <col min="12552" max="12556" width="0" style="47" hidden="1" customWidth="1"/>
    <col min="12557" max="12558" width="8.7109375" style="47" customWidth="1"/>
    <col min="12559" max="12563" width="8.7109375" style="47" bestFit="1" customWidth="1"/>
    <col min="12564" max="12565" width="3" style="47" customWidth="1"/>
    <col min="12566" max="12800" width="9.140625" style="47"/>
    <col min="12801" max="12801" width="6.85546875" style="47" customWidth="1"/>
    <col min="12802" max="12802" width="8.28515625" style="47" customWidth="1"/>
    <col min="12803" max="12803" width="9.140625" style="47"/>
    <col min="12804" max="12804" width="6.7109375" style="47" customWidth="1"/>
    <col min="12805" max="12805" width="5.140625" style="47" bestFit="1" customWidth="1"/>
    <col min="12806" max="12806" width="2" style="47" bestFit="1" customWidth="1"/>
    <col min="12807" max="12807" width="28.42578125" style="47" customWidth="1"/>
    <col min="12808" max="12812" width="0" style="47" hidden="1" customWidth="1"/>
    <col min="12813" max="12814" width="8.7109375" style="47" customWidth="1"/>
    <col min="12815" max="12819" width="8.7109375" style="47" bestFit="1" customWidth="1"/>
    <col min="12820" max="12821" width="3" style="47" customWidth="1"/>
    <col min="12822" max="13056" width="9.140625" style="47"/>
    <col min="13057" max="13057" width="6.85546875" style="47" customWidth="1"/>
    <col min="13058" max="13058" width="8.28515625" style="47" customWidth="1"/>
    <col min="13059" max="13059" width="9.140625" style="47"/>
    <col min="13060" max="13060" width="6.7109375" style="47" customWidth="1"/>
    <col min="13061" max="13061" width="5.140625" style="47" bestFit="1" customWidth="1"/>
    <col min="13062" max="13062" width="2" style="47" bestFit="1" customWidth="1"/>
    <col min="13063" max="13063" width="28.42578125" style="47" customWidth="1"/>
    <col min="13064" max="13068" width="0" style="47" hidden="1" customWidth="1"/>
    <col min="13069" max="13070" width="8.7109375" style="47" customWidth="1"/>
    <col min="13071" max="13075" width="8.7109375" style="47" bestFit="1" customWidth="1"/>
    <col min="13076" max="13077" width="3" style="47" customWidth="1"/>
    <col min="13078" max="13312" width="9.140625" style="47"/>
    <col min="13313" max="13313" width="6.85546875" style="47" customWidth="1"/>
    <col min="13314" max="13314" width="8.28515625" style="47" customWidth="1"/>
    <col min="13315" max="13315" width="9.140625" style="47"/>
    <col min="13316" max="13316" width="6.7109375" style="47" customWidth="1"/>
    <col min="13317" max="13317" width="5.140625" style="47" bestFit="1" customWidth="1"/>
    <col min="13318" max="13318" width="2" style="47" bestFit="1" customWidth="1"/>
    <col min="13319" max="13319" width="28.42578125" style="47" customWidth="1"/>
    <col min="13320" max="13324" width="0" style="47" hidden="1" customWidth="1"/>
    <col min="13325" max="13326" width="8.7109375" style="47" customWidth="1"/>
    <col min="13327" max="13331" width="8.7109375" style="47" bestFit="1" customWidth="1"/>
    <col min="13332" max="13333" width="3" style="47" customWidth="1"/>
    <col min="13334" max="13568" width="9.140625" style="47"/>
    <col min="13569" max="13569" width="6.85546875" style="47" customWidth="1"/>
    <col min="13570" max="13570" width="8.28515625" style="47" customWidth="1"/>
    <col min="13571" max="13571" width="9.140625" style="47"/>
    <col min="13572" max="13572" width="6.7109375" style="47" customWidth="1"/>
    <col min="13573" max="13573" width="5.140625" style="47" bestFit="1" customWidth="1"/>
    <col min="13574" max="13574" width="2" style="47" bestFit="1" customWidth="1"/>
    <col min="13575" max="13575" width="28.42578125" style="47" customWidth="1"/>
    <col min="13576" max="13580" width="0" style="47" hidden="1" customWidth="1"/>
    <col min="13581" max="13582" width="8.7109375" style="47" customWidth="1"/>
    <col min="13583" max="13587" width="8.7109375" style="47" bestFit="1" customWidth="1"/>
    <col min="13588" max="13589" width="3" style="47" customWidth="1"/>
    <col min="13590" max="13824" width="9.140625" style="47"/>
    <col min="13825" max="13825" width="6.85546875" style="47" customWidth="1"/>
    <col min="13826" max="13826" width="8.28515625" style="47" customWidth="1"/>
    <col min="13827" max="13827" width="9.140625" style="47"/>
    <col min="13828" max="13828" width="6.7109375" style="47" customWidth="1"/>
    <col min="13829" max="13829" width="5.140625" style="47" bestFit="1" customWidth="1"/>
    <col min="13830" max="13830" width="2" style="47" bestFit="1" customWidth="1"/>
    <col min="13831" max="13831" width="28.42578125" style="47" customWidth="1"/>
    <col min="13832" max="13836" width="0" style="47" hidden="1" customWidth="1"/>
    <col min="13837" max="13838" width="8.7109375" style="47" customWidth="1"/>
    <col min="13839" max="13843" width="8.7109375" style="47" bestFit="1" customWidth="1"/>
    <col min="13844" max="13845" width="3" style="47" customWidth="1"/>
    <col min="13846" max="14080" width="9.140625" style="47"/>
    <col min="14081" max="14081" width="6.85546875" style="47" customWidth="1"/>
    <col min="14082" max="14082" width="8.28515625" style="47" customWidth="1"/>
    <col min="14083" max="14083" width="9.140625" style="47"/>
    <col min="14084" max="14084" width="6.7109375" style="47" customWidth="1"/>
    <col min="14085" max="14085" width="5.140625" style="47" bestFit="1" customWidth="1"/>
    <col min="14086" max="14086" width="2" style="47" bestFit="1" customWidth="1"/>
    <col min="14087" max="14087" width="28.42578125" style="47" customWidth="1"/>
    <col min="14088" max="14092" width="0" style="47" hidden="1" customWidth="1"/>
    <col min="14093" max="14094" width="8.7109375" style="47" customWidth="1"/>
    <col min="14095" max="14099" width="8.7109375" style="47" bestFit="1" customWidth="1"/>
    <col min="14100" max="14101" width="3" style="47" customWidth="1"/>
    <col min="14102" max="14336" width="9.140625" style="47"/>
    <col min="14337" max="14337" width="6.85546875" style="47" customWidth="1"/>
    <col min="14338" max="14338" width="8.28515625" style="47" customWidth="1"/>
    <col min="14339" max="14339" width="9.140625" style="47"/>
    <col min="14340" max="14340" width="6.7109375" style="47" customWidth="1"/>
    <col min="14341" max="14341" width="5.140625" style="47" bestFit="1" customWidth="1"/>
    <col min="14342" max="14342" width="2" style="47" bestFit="1" customWidth="1"/>
    <col min="14343" max="14343" width="28.42578125" style="47" customWidth="1"/>
    <col min="14344" max="14348" width="0" style="47" hidden="1" customWidth="1"/>
    <col min="14349" max="14350" width="8.7109375" style="47" customWidth="1"/>
    <col min="14351" max="14355" width="8.7109375" style="47" bestFit="1" customWidth="1"/>
    <col min="14356" max="14357" width="3" style="47" customWidth="1"/>
    <col min="14358" max="14592" width="9.140625" style="47"/>
    <col min="14593" max="14593" width="6.85546875" style="47" customWidth="1"/>
    <col min="14594" max="14594" width="8.28515625" style="47" customWidth="1"/>
    <col min="14595" max="14595" width="9.140625" style="47"/>
    <col min="14596" max="14596" width="6.7109375" style="47" customWidth="1"/>
    <col min="14597" max="14597" width="5.140625" style="47" bestFit="1" customWidth="1"/>
    <col min="14598" max="14598" width="2" style="47" bestFit="1" customWidth="1"/>
    <col min="14599" max="14599" width="28.42578125" style="47" customWidth="1"/>
    <col min="14600" max="14604" width="0" style="47" hidden="1" customWidth="1"/>
    <col min="14605" max="14606" width="8.7109375" style="47" customWidth="1"/>
    <col min="14607" max="14611" width="8.7109375" style="47" bestFit="1" customWidth="1"/>
    <col min="14612" max="14613" width="3" style="47" customWidth="1"/>
    <col min="14614" max="14848" width="9.140625" style="47"/>
    <col min="14849" max="14849" width="6.85546875" style="47" customWidth="1"/>
    <col min="14850" max="14850" width="8.28515625" style="47" customWidth="1"/>
    <col min="14851" max="14851" width="9.140625" style="47"/>
    <col min="14852" max="14852" width="6.7109375" style="47" customWidth="1"/>
    <col min="14853" max="14853" width="5.140625" style="47" bestFit="1" customWidth="1"/>
    <col min="14854" max="14854" width="2" style="47" bestFit="1" customWidth="1"/>
    <col min="14855" max="14855" width="28.42578125" style="47" customWidth="1"/>
    <col min="14856" max="14860" width="0" style="47" hidden="1" customWidth="1"/>
    <col min="14861" max="14862" width="8.7109375" style="47" customWidth="1"/>
    <col min="14863" max="14867" width="8.7109375" style="47" bestFit="1" customWidth="1"/>
    <col min="14868" max="14869" width="3" style="47" customWidth="1"/>
    <col min="14870" max="15104" width="9.140625" style="47"/>
    <col min="15105" max="15105" width="6.85546875" style="47" customWidth="1"/>
    <col min="15106" max="15106" width="8.28515625" style="47" customWidth="1"/>
    <col min="15107" max="15107" width="9.140625" style="47"/>
    <col min="15108" max="15108" width="6.7109375" style="47" customWidth="1"/>
    <col min="15109" max="15109" width="5.140625" style="47" bestFit="1" customWidth="1"/>
    <col min="15110" max="15110" width="2" style="47" bestFit="1" customWidth="1"/>
    <col min="15111" max="15111" width="28.42578125" style="47" customWidth="1"/>
    <col min="15112" max="15116" width="0" style="47" hidden="1" customWidth="1"/>
    <col min="15117" max="15118" width="8.7109375" style="47" customWidth="1"/>
    <col min="15119" max="15123" width="8.7109375" style="47" bestFit="1" customWidth="1"/>
    <col min="15124" max="15125" width="3" style="47" customWidth="1"/>
    <col min="15126" max="15360" width="9.140625" style="47"/>
    <col min="15361" max="15361" width="6.85546875" style="47" customWidth="1"/>
    <col min="15362" max="15362" width="8.28515625" style="47" customWidth="1"/>
    <col min="15363" max="15363" width="9.140625" style="47"/>
    <col min="15364" max="15364" width="6.7109375" style="47" customWidth="1"/>
    <col min="15365" max="15365" width="5.140625" style="47" bestFit="1" customWidth="1"/>
    <col min="15366" max="15366" width="2" style="47" bestFit="1" customWidth="1"/>
    <col min="15367" max="15367" width="28.42578125" style="47" customWidth="1"/>
    <col min="15368" max="15372" width="0" style="47" hidden="1" customWidth="1"/>
    <col min="15373" max="15374" width="8.7109375" style="47" customWidth="1"/>
    <col min="15375" max="15379" width="8.7109375" style="47" bestFit="1" customWidth="1"/>
    <col min="15380" max="15381" width="3" style="47" customWidth="1"/>
    <col min="15382" max="15616" width="9.140625" style="47"/>
    <col min="15617" max="15617" width="6.85546875" style="47" customWidth="1"/>
    <col min="15618" max="15618" width="8.28515625" style="47" customWidth="1"/>
    <col min="15619" max="15619" width="9.140625" style="47"/>
    <col min="15620" max="15620" width="6.7109375" style="47" customWidth="1"/>
    <col min="15621" max="15621" width="5.140625" style="47" bestFit="1" customWidth="1"/>
    <col min="15622" max="15622" width="2" style="47" bestFit="1" customWidth="1"/>
    <col min="15623" max="15623" width="28.42578125" style="47" customWidth="1"/>
    <col min="15624" max="15628" width="0" style="47" hidden="1" customWidth="1"/>
    <col min="15629" max="15630" width="8.7109375" style="47" customWidth="1"/>
    <col min="15631" max="15635" width="8.7109375" style="47" bestFit="1" customWidth="1"/>
    <col min="15636" max="15637" width="3" style="47" customWidth="1"/>
    <col min="15638" max="15872" width="9.140625" style="47"/>
    <col min="15873" max="15873" width="6.85546875" style="47" customWidth="1"/>
    <col min="15874" max="15874" width="8.28515625" style="47" customWidth="1"/>
    <col min="15875" max="15875" width="9.140625" style="47"/>
    <col min="15876" max="15876" width="6.7109375" style="47" customWidth="1"/>
    <col min="15877" max="15877" width="5.140625" style="47" bestFit="1" customWidth="1"/>
    <col min="15878" max="15878" width="2" style="47" bestFit="1" customWidth="1"/>
    <col min="15879" max="15879" width="28.42578125" style="47" customWidth="1"/>
    <col min="15880" max="15884" width="0" style="47" hidden="1" customWidth="1"/>
    <col min="15885" max="15886" width="8.7109375" style="47" customWidth="1"/>
    <col min="15887" max="15891" width="8.7109375" style="47" bestFit="1" customWidth="1"/>
    <col min="15892" max="15893" width="3" style="47" customWidth="1"/>
    <col min="15894" max="16128" width="9.140625" style="47"/>
    <col min="16129" max="16129" width="6.85546875" style="47" customWidth="1"/>
    <col min="16130" max="16130" width="8.28515625" style="47" customWidth="1"/>
    <col min="16131" max="16131" width="9.140625" style="47"/>
    <col min="16132" max="16132" width="6.7109375" style="47" customWidth="1"/>
    <col min="16133" max="16133" width="5.140625" style="47" bestFit="1" customWidth="1"/>
    <col min="16134" max="16134" width="2" style="47" bestFit="1" customWidth="1"/>
    <col min="16135" max="16135" width="28.42578125" style="47" customWidth="1"/>
    <col min="16136" max="16140" width="0" style="47" hidden="1" customWidth="1"/>
    <col min="16141" max="16142" width="8.7109375" style="47" customWidth="1"/>
    <col min="16143" max="16147" width="8.7109375" style="47" bestFit="1" customWidth="1"/>
    <col min="16148" max="16149" width="3" style="47" customWidth="1"/>
    <col min="16150" max="16384" width="9.140625" style="47"/>
  </cols>
  <sheetData>
    <row r="1" spans="1:19" x14ac:dyDescent="0.2">
      <c r="A1" s="1"/>
      <c r="B1" s="2"/>
      <c r="C1" s="3"/>
      <c r="D1" s="3"/>
      <c r="E1" s="1"/>
      <c r="F1" s="1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</row>
    <row r="2" spans="1:19" x14ac:dyDescent="0.2">
      <c r="A2" s="3" t="s">
        <v>0</v>
      </c>
      <c r="B2" s="5" t="s">
        <v>1</v>
      </c>
      <c r="C2" s="3" t="s">
        <v>2</v>
      </c>
      <c r="D2" s="3"/>
      <c r="E2" s="1" t="s">
        <v>3</v>
      </c>
      <c r="F2" s="1"/>
      <c r="G2" s="49" t="s">
        <v>612</v>
      </c>
      <c r="H2" s="50"/>
      <c r="I2" s="51"/>
      <c r="J2" s="52"/>
      <c r="K2" s="50"/>
      <c r="L2" s="52"/>
      <c r="M2" s="71" t="s">
        <v>366</v>
      </c>
      <c r="N2" s="122" t="s">
        <v>580</v>
      </c>
      <c r="O2" s="72"/>
      <c r="P2" s="72"/>
      <c r="Q2" s="72"/>
      <c r="R2" s="73"/>
    </row>
    <row r="3" spans="1:19" x14ac:dyDescent="0.2">
      <c r="A3" s="1"/>
      <c r="B3" s="6"/>
      <c r="C3" s="3"/>
      <c r="D3" s="3"/>
      <c r="E3" s="1"/>
      <c r="F3" s="1"/>
      <c r="G3" s="53" t="s">
        <v>4</v>
      </c>
      <c r="H3" s="54">
        <v>40908</v>
      </c>
      <c r="I3" s="54">
        <v>41274</v>
      </c>
      <c r="J3" s="54">
        <v>41639</v>
      </c>
      <c r="K3" s="54">
        <v>42004</v>
      </c>
      <c r="L3" s="54">
        <v>42369</v>
      </c>
      <c r="M3" s="54">
        <v>42735</v>
      </c>
      <c r="N3" s="54">
        <v>43100</v>
      </c>
      <c r="O3" s="54">
        <v>43465</v>
      </c>
      <c r="P3" s="54">
        <v>43830</v>
      </c>
      <c r="Q3" s="54">
        <v>44196</v>
      </c>
      <c r="R3" s="54">
        <v>44561</v>
      </c>
      <c r="S3" s="54">
        <v>44926</v>
      </c>
    </row>
    <row r="4" spans="1:19" x14ac:dyDescent="0.2">
      <c r="A4" s="7"/>
      <c r="B4" s="2" t="s">
        <v>5</v>
      </c>
      <c r="C4" s="3">
        <v>1</v>
      </c>
      <c r="D4" s="3"/>
      <c r="E4" s="5"/>
      <c r="F4" s="7"/>
      <c r="G4" s="55" t="s">
        <v>6</v>
      </c>
      <c r="H4" s="56">
        <f t="shared" ref="H4:S4" si="0">H5+H10</f>
        <v>843.46099999999979</v>
      </c>
      <c r="I4" s="56">
        <f t="shared" si="0"/>
        <v>714.72700000000009</v>
      </c>
      <c r="J4" s="56">
        <f t="shared" si="0"/>
        <v>1309.7240000000002</v>
      </c>
      <c r="K4" s="56">
        <f t="shared" si="0"/>
        <v>1148.7839999999999</v>
      </c>
      <c r="L4" s="56">
        <f t="shared" si="0"/>
        <v>1564.9829999999999</v>
      </c>
      <c r="M4" s="56">
        <f t="shared" si="0"/>
        <v>1344.4559999999999</v>
      </c>
      <c r="N4" s="56">
        <f t="shared" si="0"/>
        <v>2528.7389999999996</v>
      </c>
      <c r="O4" s="56">
        <f t="shared" si="0"/>
        <v>1424</v>
      </c>
      <c r="P4" s="56">
        <f t="shared" si="0"/>
        <v>1234</v>
      </c>
      <c r="Q4" s="56">
        <f t="shared" si="0"/>
        <v>1214</v>
      </c>
      <c r="R4" s="56">
        <f t="shared" si="0"/>
        <v>1194</v>
      </c>
      <c r="S4" s="56">
        <f t="shared" si="0"/>
        <v>1174</v>
      </c>
    </row>
    <row r="5" spans="1:19" x14ac:dyDescent="0.2">
      <c r="A5" s="8"/>
      <c r="B5" s="2" t="s">
        <v>7</v>
      </c>
      <c r="C5" s="3">
        <v>10</v>
      </c>
      <c r="D5" s="3"/>
      <c r="E5" s="9"/>
      <c r="G5" s="57" t="s">
        <v>8</v>
      </c>
      <c r="H5" s="56">
        <f t="shared" ref="H5:R5" si="1">SUM(H6:H9)</f>
        <v>575.50099999999986</v>
      </c>
      <c r="I5" s="56">
        <f t="shared" si="1"/>
        <v>499.90700000000004</v>
      </c>
      <c r="J5" s="56">
        <f t="shared" si="1"/>
        <v>1022.8430000000001</v>
      </c>
      <c r="K5" s="56">
        <f t="shared" si="1"/>
        <v>919.68399999999997</v>
      </c>
      <c r="L5" s="56">
        <f t="shared" si="1"/>
        <v>1381.425</v>
      </c>
      <c r="M5" s="56">
        <f t="shared" si="1"/>
        <v>1212.5039999999999</v>
      </c>
      <c r="N5" s="56">
        <f t="shared" si="1"/>
        <v>2389.8149999999996</v>
      </c>
      <c r="O5" s="56">
        <f t="shared" si="1"/>
        <v>1304</v>
      </c>
      <c r="P5" s="56">
        <f>SUM(P6:P9)</f>
        <v>1129</v>
      </c>
      <c r="Q5" s="56">
        <f t="shared" si="1"/>
        <v>1134</v>
      </c>
      <c r="R5" s="56">
        <f t="shared" si="1"/>
        <v>1134</v>
      </c>
      <c r="S5" s="56">
        <f>SUM(S6:S9)</f>
        <v>1134</v>
      </c>
    </row>
    <row r="6" spans="1:19" ht="12" x14ac:dyDescent="0.2">
      <c r="A6" s="8"/>
      <c r="B6" s="2" t="s">
        <v>9</v>
      </c>
      <c r="C6" s="10" t="s">
        <v>10</v>
      </c>
      <c r="D6" s="10"/>
      <c r="E6" s="11" t="s">
        <v>11</v>
      </c>
      <c r="G6" s="57" t="s">
        <v>12</v>
      </c>
      <c r="H6" s="58">
        <v>372.50599999999997</v>
      </c>
      <c r="I6" s="58">
        <v>346.21699999999998</v>
      </c>
      <c r="J6" s="58">
        <v>600.69799999999998</v>
      </c>
      <c r="K6" s="58">
        <v>854.04100000000005</v>
      </c>
      <c r="L6" s="58">
        <v>809.52300000000002</v>
      </c>
      <c r="M6" s="58">
        <v>1063.5509999999999</v>
      </c>
      <c r="N6" s="76">
        <v>1929.627</v>
      </c>
      <c r="O6" s="76">
        <v>1197</v>
      </c>
      <c r="P6" s="76">
        <v>1002</v>
      </c>
      <c r="Q6" s="76">
        <v>1007</v>
      </c>
      <c r="R6" s="76">
        <v>1007</v>
      </c>
      <c r="S6" s="76">
        <v>1007</v>
      </c>
    </row>
    <row r="7" spans="1:19" ht="12" x14ac:dyDescent="0.2">
      <c r="A7" s="8"/>
      <c r="B7" s="2" t="s">
        <v>13</v>
      </c>
      <c r="C7" s="10" t="s">
        <v>14</v>
      </c>
      <c r="D7" s="10"/>
      <c r="E7" s="11" t="s">
        <v>11</v>
      </c>
      <c r="G7" s="57" t="s">
        <v>15</v>
      </c>
      <c r="H7" s="58">
        <v>144.21899999999999</v>
      </c>
      <c r="I7" s="58">
        <v>133.34</v>
      </c>
      <c r="J7" s="58">
        <v>403.17500000000001</v>
      </c>
      <c r="K7" s="58">
        <v>48.814999999999998</v>
      </c>
      <c r="L7" s="58">
        <v>558.69100000000003</v>
      </c>
      <c r="M7" s="58">
        <v>136.637</v>
      </c>
      <c r="N7" s="76">
        <v>453.613</v>
      </c>
      <c r="O7" s="76">
        <v>100</v>
      </c>
      <c r="P7" s="76">
        <v>120</v>
      </c>
      <c r="Q7" s="76">
        <v>120</v>
      </c>
      <c r="R7" s="76">
        <v>120</v>
      </c>
      <c r="S7" s="76">
        <v>120</v>
      </c>
    </row>
    <row r="8" spans="1:19" ht="12" x14ac:dyDescent="0.2">
      <c r="A8" s="8"/>
      <c r="B8" s="2" t="s">
        <v>16</v>
      </c>
      <c r="C8" s="10" t="s">
        <v>17</v>
      </c>
      <c r="D8" s="10"/>
      <c r="E8" s="11" t="s">
        <v>11</v>
      </c>
      <c r="G8" s="57" t="s">
        <v>18</v>
      </c>
      <c r="H8" s="58">
        <v>0</v>
      </c>
      <c r="I8" s="58">
        <v>0</v>
      </c>
      <c r="J8" s="58">
        <v>0</v>
      </c>
      <c r="K8" s="58">
        <v>0</v>
      </c>
      <c r="L8" s="58">
        <v>0</v>
      </c>
      <c r="M8" s="58">
        <v>0</v>
      </c>
      <c r="N8" s="76">
        <v>0</v>
      </c>
      <c r="O8" s="76">
        <v>0</v>
      </c>
      <c r="P8" s="76">
        <v>0</v>
      </c>
      <c r="Q8" s="76">
        <v>0</v>
      </c>
      <c r="R8" s="76">
        <v>0</v>
      </c>
      <c r="S8" s="76">
        <v>0</v>
      </c>
    </row>
    <row r="9" spans="1:19" x14ac:dyDescent="0.2">
      <c r="A9" s="8"/>
      <c r="B9" s="2" t="s">
        <v>19</v>
      </c>
      <c r="C9" s="10">
        <v>108</v>
      </c>
      <c r="D9" s="10"/>
      <c r="E9" s="12"/>
      <c r="G9" s="57" t="s">
        <v>20</v>
      </c>
      <c r="H9" s="58">
        <v>58.776000000000003</v>
      </c>
      <c r="I9" s="58">
        <v>20.350000000000001</v>
      </c>
      <c r="J9" s="58">
        <v>18.97</v>
      </c>
      <c r="K9" s="58">
        <v>16.827999999999999</v>
      </c>
      <c r="L9" s="58">
        <v>13.211</v>
      </c>
      <c r="M9" s="58">
        <v>12.316000000000001</v>
      </c>
      <c r="N9" s="76">
        <v>6.5750000000000002</v>
      </c>
      <c r="O9" s="76">
        <v>7</v>
      </c>
      <c r="P9" s="76">
        <v>7</v>
      </c>
      <c r="Q9" s="76">
        <v>7</v>
      </c>
      <c r="R9" s="76">
        <v>7</v>
      </c>
      <c r="S9" s="76">
        <v>7</v>
      </c>
    </row>
    <row r="10" spans="1:19" x14ac:dyDescent="0.2">
      <c r="A10" s="13"/>
      <c r="B10" s="2" t="s">
        <v>21</v>
      </c>
      <c r="C10" s="14">
        <v>15</v>
      </c>
      <c r="D10" s="14"/>
      <c r="E10" s="12"/>
      <c r="F10" s="13"/>
      <c r="G10" s="57" t="s">
        <v>22</v>
      </c>
      <c r="H10" s="56">
        <f t="shared" ref="H10:S10" si="2">SUM(H11:H16)</f>
        <v>267.95999999999998</v>
      </c>
      <c r="I10" s="56">
        <f t="shared" si="2"/>
        <v>214.82</v>
      </c>
      <c r="J10" s="56">
        <f t="shared" si="2"/>
        <v>286.88099999999997</v>
      </c>
      <c r="K10" s="56">
        <f t="shared" si="2"/>
        <v>229.1</v>
      </c>
      <c r="L10" s="56">
        <f t="shared" si="2"/>
        <v>183.55799999999999</v>
      </c>
      <c r="M10" s="56">
        <f t="shared" si="2"/>
        <v>131.952</v>
      </c>
      <c r="N10" s="77">
        <f t="shared" si="2"/>
        <v>138.92400000000001</v>
      </c>
      <c r="O10" s="77">
        <f t="shared" si="2"/>
        <v>120</v>
      </c>
      <c r="P10" s="77">
        <f t="shared" si="2"/>
        <v>105</v>
      </c>
      <c r="Q10" s="77">
        <f>SUM(Q11:Q16)</f>
        <v>80</v>
      </c>
      <c r="R10" s="77">
        <f t="shared" si="2"/>
        <v>60</v>
      </c>
      <c r="S10" s="56">
        <f t="shared" si="2"/>
        <v>40</v>
      </c>
    </row>
    <row r="11" spans="1:19" ht="12" x14ac:dyDescent="0.2">
      <c r="A11" s="13"/>
      <c r="B11" s="2" t="s">
        <v>23</v>
      </c>
      <c r="C11" s="14">
        <v>150</v>
      </c>
      <c r="D11" s="14"/>
      <c r="E11" s="11" t="s">
        <v>11</v>
      </c>
      <c r="F11" s="13"/>
      <c r="G11" s="57" t="s">
        <v>24</v>
      </c>
      <c r="H11" s="58">
        <v>0</v>
      </c>
      <c r="I11" s="58">
        <v>0</v>
      </c>
      <c r="J11" s="58">
        <v>0</v>
      </c>
      <c r="K11" s="58">
        <v>0</v>
      </c>
      <c r="L11" s="58">
        <v>0</v>
      </c>
      <c r="M11" s="58">
        <v>0</v>
      </c>
      <c r="N11" s="76">
        <v>0</v>
      </c>
      <c r="O11" s="76">
        <v>0</v>
      </c>
      <c r="P11" s="76">
        <v>0</v>
      </c>
      <c r="Q11" s="76">
        <v>0</v>
      </c>
      <c r="R11" s="76">
        <v>0</v>
      </c>
      <c r="S11" s="76">
        <v>0</v>
      </c>
    </row>
    <row r="12" spans="1:19" ht="12" x14ac:dyDescent="0.2">
      <c r="A12" s="13"/>
      <c r="B12" s="2" t="s">
        <v>25</v>
      </c>
      <c r="C12" s="14">
        <v>151</v>
      </c>
      <c r="D12" s="14"/>
      <c r="E12" s="11" t="s">
        <v>11</v>
      </c>
      <c r="F12" s="13"/>
      <c r="G12" s="57" t="s">
        <v>26</v>
      </c>
      <c r="H12" s="58">
        <v>0</v>
      </c>
      <c r="I12" s="58">
        <v>0</v>
      </c>
      <c r="J12" s="58">
        <v>0</v>
      </c>
      <c r="K12" s="58">
        <v>0</v>
      </c>
      <c r="L12" s="58">
        <v>0</v>
      </c>
      <c r="M12" s="58">
        <v>0</v>
      </c>
      <c r="N12" s="76">
        <v>0</v>
      </c>
      <c r="O12" s="76">
        <v>0</v>
      </c>
      <c r="P12" s="76">
        <v>0</v>
      </c>
      <c r="Q12" s="76">
        <v>0</v>
      </c>
      <c r="R12" s="76">
        <v>0</v>
      </c>
      <c r="S12" s="76">
        <v>0</v>
      </c>
    </row>
    <row r="13" spans="1:19" ht="12" x14ac:dyDescent="0.2">
      <c r="A13" s="8"/>
      <c r="B13" s="2" t="s">
        <v>27</v>
      </c>
      <c r="C13" s="10" t="s">
        <v>28</v>
      </c>
      <c r="D13" s="10"/>
      <c r="E13" s="11" t="s">
        <v>11</v>
      </c>
      <c r="G13" s="57" t="s">
        <v>29</v>
      </c>
      <c r="H13" s="58">
        <v>0</v>
      </c>
      <c r="I13" s="58">
        <v>0</v>
      </c>
      <c r="J13" s="58">
        <v>0</v>
      </c>
      <c r="K13" s="58">
        <v>0</v>
      </c>
      <c r="L13" s="58">
        <v>0</v>
      </c>
      <c r="M13" s="58">
        <v>0</v>
      </c>
      <c r="N13" s="76">
        <v>0</v>
      </c>
      <c r="O13" s="76">
        <v>0</v>
      </c>
      <c r="P13" s="76">
        <v>0</v>
      </c>
      <c r="Q13" s="76">
        <v>0</v>
      </c>
      <c r="R13" s="76">
        <v>0</v>
      </c>
      <c r="S13" s="76">
        <v>0</v>
      </c>
    </row>
    <row r="14" spans="1:19" ht="12" x14ac:dyDescent="0.2">
      <c r="A14" s="8"/>
      <c r="B14" s="2" t="s">
        <v>30</v>
      </c>
      <c r="C14" s="10">
        <v>154</v>
      </c>
      <c r="D14" s="10"/>
      <c r="E14" s="11" t="s">
        <v>11</v>
      </c>
      <c r="G14" s="57" t="s">
        <v>31</v>
      </c>
      <c r="H14" s="58">
        <v>0</v>
      </c>
      <c r="I14" s="58">
        <v>0</v>
      </c>
      <c r="J14" s="58">
        <v>0</v>
      </c>
      <c r="K14" s="58">
        <v>0</v>
      </c>
      <c r="L14" s="58">
        <v>0</v>
      </c>
      <c r="M14" s="58">
        <v>0</v>
      </c>
      <c r="N14" s="76">
        <v>0</v>
      </c>
      <c r="O14" s="76">
        <v>0</v>
      </c>
      <c r="P14" s="76">
        <v>0</v>
      </c>
      <c r="Q14" s="76">
        <v>0</v>
      </c>
      <c r="R14" s="76">
        <v>0</v>
      </c>
      <c r="S14" s="76">
        <v>0</v>
      </c>
    </row>
    <row r="15" spans="1:19" ht="12" x14ac:dyDescent="0.2">
      <c r="A15" s="8"/>
      <c r="B15" s="2" t="s">
        <v>32</v>
      </c>
      <c r="C15" s="10" t="s">
        <v>33</v>
      </c>
      <c r="D15" s="10"/>
      <c r="E15" s="11" t="s">
        <v>11</v>
      </c>
      <c r="G15" s="57" t="s">
        <v>34</v>
      </c>
      <c r="H15" s="58">
        <v>267.95999999999998</v>
      </c>
      <c r="I15" s="58">
        <v>214.82</v>
      </c>
      <c r="J15" s="58">
        <v>286.88099999999997</v>
      </c>
      <c r="K15" s="58">
        <v>229.1</v>
      </c>
      <c r="L15" s="58">
        <v>183.55799999999999</v>
      </c>
      <c r="M15" s="58">
        <v>131.952</v>
      </c>
      <c r="N15" s="76">
        <v>138.92400000000001</v>
      </c>
      <c r="O15" s="76">
        <v>120</v>
      </c>
      <c r="P15" s="76">
        <v>105</v>
      </c>
      <c r="Q15" s="76">
        <v>80</v>
      </c>
      <c r="R15" s="76">
        <v>60</v>
      </c>
      <c r="S15" s="76">
        <v>40</v>
      </c>
    </row>
    <row r="16" spans="1:19" ht="12" x14ac:dyDescent="0.2">
      <c r="A16" s="8"/>
      <c r="B16" s="2" t="s">
        <v>35</v>
      </c>
      <c r="C16" s="10">
        <v>157</v>
      </c>
      <c r="D16" s="10"/>
      <c r="E16" s="11" t="s">
        <v>11</v>
      </c>
      <c r="G16" s="57" t="s">
        <v>36</v>
      </c>
      <c r="H16" s="58">
        <v>0</v>
      </c>
      <c r="I16" s="58">
        <v>0</v>
      </c>
      <c r="J16" s="58">
        <v>0</v>
      </c>
      <c r="K16" s="58">
        <v>0</v>
      </c>
      <c r="L16" s="58">
        <v>0</v>
      </c>
      <c r="M16" s="58">
        <v>0</v>
      </c>
      <c r="N16" s="76">
        <v>0</v>
      </c>
      <c r="O16" s="76">
        <v>0</v>
      </c>
      <c r="P16" s="76">
        <v>0</v>
      </c>
      <c r="Q16" s="76">
        <v>0</v>
      </c>
      <c r="R16" s="76">
        <v>0</v>
      </c>
      <c r="S16" s="76">
        <v>0</v>
      </c>
    </row>
    <row r="17" spans="1:19" ht="12" x14ac:dyDescent="0.2">
      <c r="A17" s="15"/>
      <c r="B17" s="2" t="s">
        <v>37</v>
      </c>
      <c r="C17" s="78" t="s">
        <v>38</v>
      </c>
      <c r="D17" s="15"/>
      <c r="E17" s="11" t="s">
        <v>11</v>
      </c>
      <c r="F17" s="16"/>
      <c r="G17" s="59" t="s">
        <v>39</v>
      </c>
      <c r="H17" s="60">
        <v>0</v>
      </c>
      <c r="I17" s="60">
        <v>0</v>
      </c>
      <c r="J17" s="60">
        <v>0</v>
      </c>
      <c r="K17" s="60">
        <v>0</v>
      </c>
      <c r="L17" s="60">
        <v>0</v>
      </c>
      <c r="M17" s="60">
        <v>0</v>
      </c>
      <c r="N17" s="80">
        <v>0</v>
      </c>
      <c r="O17" s="80">
        <v>0</v>
      </c>
      <c r="P17" s="80">
        <v>0</v>
      </c>
      <c r="Q17" s="80">
        <v>0</v>
      </c>
      <c r="R17" s="80">
        <v>0</v>
      </c>
      <c r="S17" s="80">
        <v>0</v>
      </c>
    </row>
    <row r="18" spans="1:19" x14ac:dyDescent="0.2">
      <c r="A18" s="8"/>
      <c r="B18" s="2" t="s">
        <v>40</v>
      </c>
      <c r="C18" s="10">
        <v>2</v>
      </c>
      <c r="D18" s="10"/>
      <c r="E18" s="12"/>
      <c r="G18" s="57" t="s">
        <v>41</v>
      </c>
      <c r="H18" s="56">
        <f t="shared" ref="H18:S18" si="3">H19+H27</f>
        <v>843.46100000000001</v>
      </c>
      <c r="I18" s="56">
        <f t="shared" si="3"/>
        <v>714.72700000000009</v>
      </c>
      <c r="J18" s="56">
        <f t="shared" si="3"/>
        <v>1309.7239999999999</v>
      </c>
      <c r="K18" s="56">
        <f t="shared" si="3"/>
        <v>1148.7829999999999</v>
      </c>
      <c r="L18" s="56">
        <f t="shared" si="3"/>
        <v>1564.982</v>
      </c>
      <c r="M18" s="56">
        <f t="shared" si="3"/>
        <v>1344.4570000000001</v>
      </c>
      <c r="N18" s="77">
        <f t="shared" si="3"/>
        <v>2528.6709999999998</v>
      </c>
      <c r="O18" s="77">
        <f t="shared" si="3"/>
        <v>1423.8809999999999</v>
      </c>
      <c r="P18" s="77">
        <f t="shared" si="3"/>
        <v>1233.8630000000001</v>
      </c>
      <c r="Q18" s="77">
        <f t="shared" si="3"/>
        <v>1213.8630000000001</v>
      </c>
      <c r="R18" s="77">
        <f t="shared" si="3"/>
        <v>1193.8630000000001</v>
      </c>
      <c r="S18" s="56">
        <f t="shared" si="3"/>
        <v>1173.8630000000001</v>
      </c>
    </row>
    <row r="19" spans="1:19" x14ac:dyDescent="0.2">
      <c r="A19" s="8"/>
      <c r="B19" s="2" t="s">
        <v>42</v>
      </c>
      <c r="C19" s="10" t="s">
        <v>43</v>
      </c>
      <c r="D19" s="10"/>
      <c r="E19" s="12"/>
      <c r="G19" s="57" t="s">
        <v>44</v>
      </c>
      <c r="H19" s="56">
        <f t="shared" ref="H19:S19" si="4">SUM(H21:H26)</f>
        <v>632.86800000000005</v>
      </c>
      <c r="I19" s="56">
        <f t="shared" si="4"/>
        <v>398.495</v>
      </c>
      <c r="J19" s="56">
        <f t="shared" si="4"/>
        <v>899.13599999999997</v>
      </c>
      <c r="K19" s="56">
        <f t="shared" si="4"/>
        <v>719.26700000000005</v>
      </c>
      <c r="L19" s="56">
        <f t="shared" si="4"/>
        <v>1137.8969999999999</v>
      </c>
      <c r="M19" s="56">
        <f>SUM(M21:M26)</f>
        <v>998.58</v>
      </c>
      <c r="N19" s="77">
        <f>SUM(N21:N26)</f>
        <v>2134.79</v>
      </c>
      <c r="O19" s="77">
        <f t="shared" si="4"/>
        <v>1030</v>
      </c>
      <c r="P19" s="77">
        <f t="shared" si="4"/>
        <v>840</v>
      </c>
      <c r="Q19" s="77">
        <f t="shared" si="4"/>
        <v>820</v>
      </c>
      <c r="R19" s="77">
        <f t="shared" si="4"/>
        <v>800</v>
      </c>
      <c r="S19" s="56">
        <f t="shared" si="4"/>
        <v>780</v>
      </c>
    </row>
    <row r="20" spans="1:19" ht="12" x14ac:dyDescent="0.2">
      <c r="A20" s="17"/>
      <c r="B20" s="2" t="s">
        <v>45</v>
      </c>
      <c r="C20" s="78" t="s">
        <v>46</v>
      </c>
      <c r="D20" s="15"/>
      <c r="E20" s="11" t="s">
        <v>11</v>
      </c>
      <c r="F20" s="17"/>
      <c r="G20" s="59" t="s">
        <v>47</v>
      </c>
      <c r="H20" s="61">
        <v>561.697</v>
      </c>
      <c r="I20" s="61">
        <v>398.495</v>
      </c>
      <c r="J20" s="61">
        <v>899.13599999999997</v>
      </c>
      <c r="K20" s="61">
        <v>719.26700000000005</v>
      </c>
      <c r="L20" s="61">
        <v>1137.8969999999999</v>
      </c>
      <c r="M20" s="61">
        <v>998.58</v>
      </c>
      <c r="N20" s="82">
        <f>41.724+5.761+21.62+1.139+760.499+0.4+1303.647</f>
        <v>2134.79</v>
      </c>
      <c r="O20" s="82">
        <v>1030</v>
      </c>
      <c r="P20" s="82">
        <v>840</v>
      </c>
      <c r="Q20" s="82">
        <v>820</v>
      </c>
      <c r="R20" s="82">
        <v>800</v>
      </c>
      <c r="S20" s="82">
        <v>780</v>
      </c>
    </row>
    <row r="21" spans="1:19" ht="12" x14ac:dyDescent="0.2">
      <c r="A21" s="8"/>
      <c r="B21" s="2" t="s">
        <v>48</v>
      </c>
      <c r="C21" s="18" t="s">
        <v>49</v>
      </c>
      <c r="D21" s="18"/>
      <c r="E21" s="11" t="s">
        <v>11</v>
      </c>
      <c r="G21" s="57" t="s">
        <v>50</v>
      </c>
      <c r="H21" s="58">
        <v>561.697</v>
      </c>
      <c r="I21" s="58">
        <v>398.495</v>
      </c>
      <c r="J21" s="58">
        <v>899.13599999999997</v>
      </c>
      <c r="K21" s="58">
        <v>719.26700000000005</v>
      </c>
      <c r="L21" s="58">
        <v>1137.8969999999999</v>
      </c>
      <c r="M21" s="58">
        <v>998.58</v>
      </c>
      <c r="N21" s="625">
        <f>41.724+5.761+21.62+1.139+760.499+0.4+1303.647</f>
        <v>2134.79</v>
      </c>
      <c r="O21" s="76">
        <v>1030</v>
      </c>
      <c r="P21" s="76">
        <v>840</v>
      </c>
      <c r="Q21" s="76">
        <v>820</v>
      </c>
      <c r="R21" s="76">
        <v>800</v>
      </c>
      <c r="S21" s="76">
        <v>780</v>
      </c>
    </row>
    <row r="22" spans="1:19" ht="12" x14ac:dyDescent="0.2">
      <c r="A22" s="8"/>
      <c r="B22" s="2" t="s">
        <v>51</v>
      </c>
      <c r="C22" s="10" t="s">
        <v>52</v>
      </c>
      <c r="D22" s="10"/>
      <c r="E22" s="11" t="s">
        <v>11</v>
      </c>
      <c r="G22" s="57" t="s">
        <v>53</v>
      </c>
      <c r="H22" s="58">
        <v>0</v>
      </c>
      <c r="I22" s="58">
        <v>0</v>
      </c>
      <c r="J22" s="58">
        <v>0</v>
      </c>
      <c r="K22" s="58">
        <v>0</v>
      </c>
      <c r="L22" s="58">
        <v>0</v>
      </c>
      <c r="M22" s="58">
        <v>0</v>
      </c>
      <c r="N22" s="76">
        <v>0</v>
      </c>
      <c r="O22" s="76">
        <v>0</v>
      </c>
      <c r="P22" s="76">
        <v>0</v>
      </c>
      <c r="Q22" s="76">
        <v>0</v>
      </c>
      <c r="R22" s="76">
        <v>0</v>
      </c>
      <c r="S22" s="58">
        <v>0</v>
      </c>
    </row>
    <row r="23" spans="1:19" ht="12" x14ac:dyDescent="0.2">
      <c r="A23" s="8"/>
      <c r="B23" s="2" t="s">
        <v>54</v>
      </c>
      <c r="C23" s="10">
        <v>257</v>
      </c>
      <c r="D23" s="10"/>
      <c r="E23" s="11" t="s">
        <v>11</v>
      </c>
      <c r="G23" s="57" t="s">
        <v>55</v>
      </c>
      <c r="H23" s="58">
        <v>0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76">
        <v>0</v>
      </c>
      <c r="O23" s="76">
        <v>0</v>
      </c>
      <c r="P23" s="76">
        <v>0</v>
      </c>
      <c r="Q23" s="76">
        <v>0</v>
      </c>
      <c r="R23" s="76">
        <v>0</v>
      </c>
      <c r="S23" s="58">
        <v>0</v>
      </c>
    </row>
    <row r="24" spans="1:19" ht="12" x14ac:dyDescent="0.2">
      <c r="A24" s="19"/>
      <c r="B24" s="2" t="s">
        <v>56</v>
      </c>
      <c r="C24" s="10" t="s">
        <v>57</v>
      </c>
      <c r="D24" s="10"/>
      <c r="E24" s="11" t="s">
        <v>11</v>
      </c>
      <c r="F24" s="19"/>
      <c r="G24" s="57" t="s">
        <v>58</v>
      </c>
      <c r="H24" s="58">
        <v>71.171000000000006</v>
      </c>
      <c r="I24" s="58">
        <v>0</v>
      </c>
      <c r="J24" s="58">
        <v>0</v>
      </c>
      <c r="K24" s="58">
        <v>0</v>
      </c>
      <c r="L24" s="58">
        <v>0</v>
      </c>
      <c r="M24" s="58">
        <v>0</v>
      </c>
      <c r="N24" s="76">
        <v>0</v>
      </c>
      <c r="O24" s="76">
        <v>0</v>
      </c>
      <c r="P24" s="76">
        <v>0</v>
      </c>
      <c r="Q24" s="76">
        <v>0</v>
      </c>
      <c r="R24" s="76">
        <v>0</v>
      </c>
      <c r="S24" s="58">
        <v>0</v>
      </c>
    </row>
    <row r="25" spans="1:19" ht="12" x14ac:dyDescent="0.2">
      <c r="A25" s="19"/>
      <c r="B25" s="2" t="s">
        <v>59</v>
      </c>
      <c r="C25" s="10" t="s">
        <v>60</v>
      </c>
      <c r="D25" s="10"/>
      <c r="E25" s="11" t="s">
        <v>11</v>
      </c>
      <c r="F25" s="19"/>
      <c r="G25" s="57" t="s">
        <v>61</v>
      </c>
      <c r="H25" s="58">
        <v>0</v>
      </c>
      <c r="I25" s="58">
        <v>0</v>
      </c>
      <c r="J25" s="58">
        <v>0</v>
      </c>
      <c r="K25" s="58">
        <v>0</v>
      </c>
      <c r="L25" s="58">
        <v>0</v>
      </c>
      <c r="M25" s="58">
        <v>0</v>
      </c>
      <c r="N25" s="76">
        <v>0</v>
      </c>
      <c r="O25" s="76">
        <v>0</v>
      </c>
      <c r="P25" s="76">
        <v>0</v>
      </c>
      <c r="Q25" s="76">
        <v>0</v>
      </c>
      <c r="R25" s="76">
        <v>0</v>
      </c>
      <c r="S25" s="58">
        <v>0</v>
      </c>
    </row>
    <row r="26" spans="1:19" ht="12" x14ac:dyDescent="0.2">
      <c r="A26" s="8"/>
      <c r="B26" s="2" t="s">
        <v>62</v>
      </c>
      <c r="C26" s="10">
        <v>28</v>
      </c>
      <c r="D26" s="10"/>
      <c r="E26" s="11" t="s">
        <v>11</v>
      </c>
      <c r="G26" s="57" t="s">
        <v>63</v>
      </c>
      <c r="H26" s="58">
        <v>0</v>
      </c>
      <c r="I26" s="58">
        <v>0</v>
      </c>
      <c r="J26" s="58">
        <v>0</v>
      </c>
      <c r="K26" s="58">
        <v>0</v>
      </c>
      <c r="L26" s="58">
        <v>0</v>
      </c>
      <c r="M26" s="58">
        <v>0</v>
      </c>
      <c r="N26" s="76">
        <v>0</v>
      </c>
      <c r="O26" s="76">
        <v>0</v>
      </c>
      <c r="P26" s="76">
        <v>0</v>
      </c>
      <c r="Q26" s="76">
        <v>0</v>
      </c>
      <c r="R26" s="76">
        <v>0</v>
      </c>
      <c r="S26" s="58">
        <v>0</v>
      </c>
    </row>
    <row r="27" spans="1:19" x14ac:dyDescent="0.2">
      <c r="A27" s="8"/>
      <c r="B27" s="2" t="s">
        <v>64</v>
      </c>
      <c r="C27" s="10">
        <v>29</v>
      </c>
      <c r="D27" s="10"/>
      <c r="E27" s="12"/>
      <c r="G27" s="57" t="s">
        <v>65</v>
      </c>
      <c r="H27" s="56">
        <f t="shared" ref="H27:S27" si="5">SUM(H28:H30)</f>
        <v>210.59299999999996</v>
      </c>
      <c r="I27" s="56">
        <f t="shared" si="5"/>
        <v>316.23200000000003</v>
      </c>
      <c r="J27" s="56">
        <f t="shared" si="5"/>
        <v>410.58799999999997</v>
      </c>
      <c r="K27" s="56">
        <f t="shared" si="5"/>
        <v>429.51599999999996</v>
      </c>
      <c r="L27" s="56">
        <f t="shared" si="5"/>
        <v>427.08499999999998</v>
      </c>
      <c r="M27" s="56">
        <f t="shared" si="5"/>
        <v>345.87700000000001</v>
      </c>
      <c r="N27" s="77">
        <f>SUM(N28:N30)</f>
        <v>393.88099999999997</v>
      </c>
      <c r="O27" s="77">
        <f t="shared" si="5"/>
        <v>393.88099999999997</v>
      </c>
      <c r="P27" s="77">
        <f t="shared" si="5"/>
        <v>393.863</v>
      </c>
      <c r="Q27" s="77">
        <f t="shared" si="5"/>
        <v>393.863</v>
      </c>
      <c r="R27" s="77">
        <f t="shared" si="5"/>
        <v>393.863</v>
      </c>
      <c r="S27" s="56">
        <f t="shared" si="5"/>
        <v>393.863</v>
      </c>
    </row>
    <row r="28" spans="1:19" ht="12" x14ac:dyDescent="0.2">
      <c r="A28" s="8"/>
      <c r="B28" s="2" t="s">
        <v>66</v>
      </c>
      <c r="C28" s="8" t="s">
        <v>67</v>
      </c>
      <c r="D28" s="8"/>
      <c r="E28" s="11" t="s">
        <v>11</v>
      </c>
      <c r="G28" s="57" t="s">
        <v>68</v>
      </c>
      <c r="H28" s="58">
        <v>208.863</v>
      </c>
      <c r="I28" s="58">
        <v>208.863</v>
      </c>
      <c r="J28" s="58">
        <v>208.863</v>
      </c>
      <c r="K28" s="58">
        <v>208.863</v>
      </c>
      <c r="L28" s="58">
        <v>208.863</v>
      </c>
      <c r="M28" s="58">
        <v>208.863</v>
      </c>
      <c r="N28" s="76">
        <v>208.863</v>
      </c>
      <c r="O28" s="76">
        <v>208.863</v>
      </c>
      <c r="P28" s="76">
        <v>208.863</v>
      </c>
      <c r="Q28" s="76">
        <v>208.863</v>
      </c>
      <c r="R28" s="76">
        <v>208.863</v>
      </c>
      <c r="S28" s="76">
        <v>208.863</v>
      </c>
    </row>
    <row r="29" spans="1:19" ht="12" x14ac:dyDescent="0.2">
      <c r="A29" s="8"/>
      <c r="B29" s="2" t="s">
        <v>69</v>
      </c>
      <c r="C29" s="10">
        <v>298</v>
      </c>
      <c r="D29" s="10"/>
      <c r="E29" s="11" t="s">
        <v>11</v>
      </c>
      <c r="G29" s="57" t="s">
        <v>70</v>
      </c>
      <c r="H29" s="58">
        <v>109.821</v>
      </c>
      <c r="I29" s="58">
        <v>72.900999999999996</v>
      </c>
      <c r="J29" s="58">
        <v>107.369</v>
      </c>
      <c r="K29" s="58">
        <v>201.72399999999999</v>
      </c>
      <c r="L29" s="58">
        <v>220.65299999999999</v>
      </c>
      <c r="M29" s="58">
        <v>218.22300000000001</v>
      </c>
      <c r="N29" s="76">
        <v>137.01300000000001</v>
      </c>
      <c r="O29" s="76">
        <f>N29+N30</f>
        <v>185.018</v>
      </c>
      <c r="P29" s="76">
        <v>185</v>
      </c>
      <c r="Q29" s="76">
        <v>185</v>
      </c>
      <c r="R29" s="76">
        <v>185</v>
      </c>
      <c r="S29" s="76">
        <v>185</v>
      </c>
    </row>
    <row r="30" spans="1:19" ht="12" x14ac:dyDescent="0.2">
      <c r="A30" s="8"/>
      <c r="B30" s="2" t="s">
        <v>71</v>
      </c>
      <c r="C30" s="10">
        <v>299</v>
      </c>
      <c r="D30" s="10"/>
      <c r="E30" s="11" t="s">
        <v>72</v>
      </c>
      <c r="G30" s="57" t="s">
        <v>73</v>
      </c>
      <c r="H30" s="58">
        <v>-108.09099999999999</v>
      </c>
      <c r="I30" s="58">
        <v>34.468000000000004</v>
      </c>
      <c r="J30" s="58">
        <v>94.355999999999995</v>
      </c>
      <c r="K30" s="58">
        <v>18.928999999999998</v>
      </c>
      <c r="L30" s="58">
        <v>-2.431</v>
      </c>
      <c r="M30" s="58">
        <v>-81.209000000000003</v>
      </c>
      <c r="N30" s="76">
        <v>48.005000000000003</v>
      </c>
      <c r="O30" s="76">
        <v>0</v>
      </c>
      <c r="P30" s="76">
        <v>0</v>
      </c>
      <c r="Q30" s="76">
        <v>0</v>
      </c>
      <c r="R30" s="76">
        <v>0</v>
      </c>
      <c r="S30" s="58">
        <v>0</v>
      </c>
    </row>
    <row r="31" spans="1:19" x14ac:dyDescent="0.2">
      <c r="A31" s="20"/>
      <c r="B31" s="2" t="s">
        <v>368</v>
      </c>
      <c r="C31" s="83" t="s">
        <v>369</v>
      </c>
      <c r="D31" s="21"/>
      <c r="E31" s="22"/>
      <c r="F31" s="20"/>
      <c r="G31" s="62" t="s">
        <v>74</v>
      </c>
      <c r="H31" s="63">
        <f t="shared" ref="H31:S31" si="6">H4-H18</f>
        <v>0</v>
      </c>
      <c r="I31" s="63">
        <f t="shared" si="6"/>
        <v>0</v>
      </c>
      <c r="J31" s="63">
        <f t="shared" si="6"/>
        <v>0</v>
      </c>
      <c r="K31" s="63">
        <f t="shared" si="6"/>
        <v>9.9999999997635314E-4</v>
      </c>
      <c r="L31" s="63">
        <f t="shared" si="6"/>
        <v>9.9999999997635314E-4</v>
      </c>
      <c r="M31" s="63">
        <f t="shared" si="6"/>
        <v>-1.0000000002037268E-3</v>
      </c>
      <c r="N31" s="85">
        <f t="shared" si="6"/>
        <v>6.7999999999756255E-2</v>
      </c>
      <c r="O31" s="85">
        <f>O4-O18</f>
        <v>0.11900000000014188</v>
      </c>
      <c r="P31" s="85">
        <f>P4-P18</f>
        <v>0.13699999999994361</v>
      </c>
      <c r="Q31" s="85">
        <f t="shared" si="6"/>
        <v>0.13699999999994361</v>
      </c>
      <c r="R31" s="85">
        <f t="shared" si="6"/>
        <v>0.13699999999994361</v>
      </c>
      <c r="S31" s="63">
        <f t="shared" si="6"/>
        <v>0.13699999999994361</v>
      </c>
    </row>
    <row r="32" spans="1:19" x14ac:dyDescent="0.2">
      <c r="A32" s="8"/>
      <c r="B32" s="2"/>
      <c r="C32" s="10"/>
      <c r="D32" s="10"/>
      <c r="E32" s="9"/>
      <c r="G32" s="53"/>
      <c r="H32" s="64">
        <v>2011</v>
      </c>
      <c r="I32" s="64">
        <f t="shared" ref="I32:S32" si="7">H32+1</f>
        <v>2012</v>
      </c>
      <c r="J32" s="64">
        <f t="shared" si="7"/>
        <v>2013</v>
      </c>
      <c r="K32" s="64">
        <f t="shared" si="7"/>
        <v>2014</v>
      </c>
      <c r="L32" s="64">
        <f t="shared" si="7"/>
        <v>2015</v>
      </c>
      <c r="M32" s="64">
        <f t="shared" si="7"/>
        <v>2016</v>
      </c>
      <c r="N32" s="87">
        <f t="shared" si="7"/>
        <v>2017</v>
      </c>
      <c r="O32" s="87">
        <f t="shared" si="7"/>
        <v>2018</v>
      </c>
      <c r="P32" s="87">
        <f t="shared" si="7"/>
        <v>2019</v>
      </c>
      <c r="Q32" s="87">
        <f t="shared" si="7"/>
        <v>2020</v>
      </c>
      <c r="R32" s="87">
        <f t="shared" si="7"/>
        <v>2021</v>
      </c>
      <c r="S32" s="64">
        <f t="shared" si="7"/>
        <v>2022</v>
      </c>
    </row>
    <row r="33" spans="1:19" x14ac:dyDescent="0.2">
      <c r="A33" s="8"/>
      <c r="B33" s="2" t="s">
        <v>76</v>
      </c>
      <c r="C33" s="10">
        <v>3</v>
      </c>
      <c r="D33" s="10"/>
      <c r="E33" s="9"/>
      <c r="G33" s="55" t="s">
        <v>77</v>
      </c>
      <c r="H33" s="56">
        <f t="shared" ref="H33:S33" si="8">SUM(H34:H37)</f>
        <v>4486.5829999999996</v>
      </c>
      <c r="I33" s="56">
        <f t="shared" si="8"/>
        <v>4803.4870000000001</v>
      </c>
      <c r="J33" s="626">
        <f t="shared" si="8"/>
        <v>4754.7780000000002</v>
      </c>
      <c r="K33" s="56">
        <f t="shared" si="8"/>
        <v>5893.6329999999998</v>
      </c>
      <c r="L33" s="56">
        <f t="shared" si="8"/>
        <v>5335.1720000000005</v>
      </c>
      <c r="M33" s="56">
        <f t="shared" si="8"/>
        <v>9340.646999999999</v>
      </c>
      <c r="N33" s="77">
        <f t="shared" si="8"/>
        <v>8134.9049999999997</v>
      </c>
      <c r="O33" s="77">
        <f t="shared" si="8"/>
        <v>10350</v>
      </c>
      <c r="P33" s="77">
        <f t="shared" si="8"/>
        <v>10334</v>
      </c>
      <c r="Q33" s="77">
        <f t="shared" si="8"/>
        <v>10334</v>
      </c>
      <c r="R33" s="77">
        <f t="shared" si="8"/>
        <v>10334</v>
      </c>
      <c r="S33" s="56">
        <f t="shared" si="8"/>
        <v>10334</v>
      </c>
    </row>
    <row r="34" spans="1:19" ht="12" x14ac:dyDescent="0.2">
      <c r="A34" s="8"/>
      <c r="B34" s="2" t="s">
        <v>78</v>
      </c>
      <c r="C34" s="10">
        <v>30</v>
      </c>
      <c r="D34" s="10"/>
      <c r="E34" s="11" t="s">
        <v>11</v>
      </c>
      <c r="G34" s="57" t="s">
        <v>79</v>
      </c>
      <c r="H34" s="58">
        <v>0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76">
        <v>0</v>
      </c>
      <c r="O34" s="76">
        <v>0</v>
      </c>
      <c r="P34" s="76">
        <v>0</v>
      </c>
      <c r="Q34" s="76">
        <v>0</v>
      </c>
      <c r="R34" s="76">
        <v>0</v>
      </c>
      <c r="S34" s="76">
        <v>0</v>
      </c>
    </row>
    <row r="35" spans="1:19" ht="12" x14ac:dyDescent="0.2">
      <c r="A35" s="8"/>
      <c r="B35" s="2" t="s">
        <v>80</v>
      </c>
      <c r="C35" s="10">
        <v>32</v>
      </c>
      <c r="D35" s="10"/>
      <c r="E35" s="11" t="s">
        <v>11</v>
      </c>
      <c r="G35" s="57" t="s">
        <v>81</v>
      </c>
      <c r="H35" s="58">
        <v>492.05500000000001</v>
      </c>
      <c r="I35" s="58">
        <v>602.255</v>
      </c>
      <c r="J35" s="58">
        <v>591.63099999999997</v>
      </c>
      <c r="K35" s="58">
        <v>602.42399999999998</v>
      </c>
      <c r="L35" s="58">
        <v>647.21199999999999</v>
      </c>
      <c r="M35" s="58">
        <v>635.96400000000006</v>
      </c>
      <c r="N35" s="76">
        <v>68.855999999999995</v>
      </c>
      <c r="O35" s="76">
        <v>670</v>
      </c>
      <c r="P35" s="76">
        <v>670</v>
      </c>
      <c r="Q35" s="76">
        <v>670</v>
      </c>
      <c r="R35" s="76">
        <v>670</v>
      </c>
      <c r="S35" s="76">
        <v>670</v>
      </c>
    </row>
    <row r="36" spans="1:19" ht="12" x14ac:dyDescent="0.2">
      <c r="A36" s="13"/>
      <c r="B36" s="2" t="s">
        <v>82</v>
      </c>
      <c r="C36" s="10">
        <v>35</v>
      </c>
      <c r="D36" s="10"/>
      <c r="E36" s="11" t="s">
        <v>11</v>
      </c>
      <c r="F36" s="13"/>
      <c r="G36" s="57" t="s">
        <v>83</v>
      </c>
      <c r="H36" s="58">
        <v>3993.2979999999998</v>
      </c>
      <c r="I36" s="58">
        <v>4198.2879999999996</v>
      </c>
      <c r="J36" s="58">
        <v>4162.3019999999997</v>
      </c>
      <c r="K36" s="58">
        <v>5291.2089999999998</v>
      </c>
      <c r="L36" s="58">
        <v>4687.0410000000002</v>
      </c>
      <c r="M36" s="58">
        <v>8675.5959999999995</v>
      </c>
      <c r="N36" s="76">
        <v>8062.8969999999999</v>
      </c>
      <c r="O36" s="76">
        <v>9670</v>
      </c>
      <c r="P36" s="76">
        <v>9654</v>
      </c>
      <c r="Q36" s="76">
        <v>9654</v>
      </c>
      <c r="R36" s="76">
        <v>9654</v>
      </c>
      <c r="S36" s="76">
        <v>9654</v>
      </c>
    </row>
    <row r="37" spans="1:19" ht="12" x14ac:dyDescent="0.2">
      <c r="A37" s="8"/>
      <c r="B37" s="2" t="s">
        <v>84</v>
      </c>
      <c r="C37" s="10">
        <v>38</v>
      </c>
      <c r="D37" s="10"/>
      <c r="E37" s="11" t="s">
        <v>72</v>
      </c>
      <c r="G37" s="57" t="s">
        <v>85</v>
      </c>
      <c r="H37" s="58">
        <v>1.23</v>
      </c>
      <c r="I37" s="58">
        <v>2.944</v>
      </c>
      <c r="J37" s="58">
        <v>0.84499999999999997</v>
      </c>
      <c r="K37" s="58">
        <v>0</v>
      </c>
      <c r="L37" s="58">
        <v>0.91900000000000004</v>
      </c>
      <c r="M37" s="58">
        <v>29.087</v>
      </c>
      <c r="N37" s="76">
        <v>3.1520000000000001</v>
      </c>
      <c r="O37" s="76">
        <v>10</v>
      </c>
      <c r="P37" s="76">
        <v>10</v>
      </c>
      <c r="Q37" s="76">
        <v>10</v>
      </c>
      <c r="R37" s="76">
        <v>10</v>
      </c>
      <c r="S37" s="76">
        <v>10</v>
      </c>
    </row>
    <row r="38" spans="1:19" x14ac:dyDescent="0.2">
      <c r="A38" s="8"/>
      <c r="B38" s="2" t="s">
        <v>86</v>
      </c>
      <c r="C38" s="10">
        <v>4</v>
      </c>
      <c r="D38" s="10"/>
      <c r="E38" s="23"/>
      <c r="G38" s="57" t="s">
        <v>87</v>
      </c>
      <c r="H38" s="56">
        <f t="shared" ref="H38:S38" si="9">H39+H40</f>
        <v>-3064.2939999999999</v>
      </c>
      <c r="I38" s="56">
        <f t="shared" si="9"/>
        <v>-3090.9369999999999</v>
      </c>
      <c r="J38" s="626">
        <f t="shared" si="9"/>
        <v>-3108.8710000000001</v>
      </c>
      <c r="K38" s="56">
        <f t="shared" si="9"/>
        <v>-4220.6769999999997</v>
      </c>
      <c r="L38" s="56">
        <f t="shared" si="9"/>
        <v>-3432.6309999999999</v>
      </c>
      <c r="M38" s="56">
        <f t="shared" si="9"/>
        <v>-7557.0290000000005</v>
      </c>
      <c r="N38" s="77">
        <f t="shared" si="9"/>
        <v>-7120.4120000000003</v>
      </c>
      <c r="O38" s="77">
        <f t="shared" si="9"/>
        <v>-8557</v>
      </c>
      <c r="P38" s="77">
        <f t="shared" si="9"/>
        <v>-8557</v>
      </c>
      <c r="Q38" s="77">
        <f t="shared" si="9"/>
        <v>-8557</v>
      </c>
      <c r="R38" s="77">
        <f t="shared" si="9"/>
        <v>-8557</v>
      </c>
      <c r="S38" s="56">
        <f t="shared" si="9"/>
        <v>-8557</v>
      </c>
    </row>
    <row r="39" spans="1:19" ht="12" x14ac:dyDescent="0.2">
      <c r="A39" s="8"/>
      <c r="B39" s="2" t="s">
        <v>88</v>
      </c>
      <c r="C39" s="10">
        <v>41</v>
      </c>
      <c r="D39" s="10"/>
      <c r="E39" s="11" t="s">
        <v>89</v>
      </c>
      <c r="G39" s="57" t="s">
        <v>90</v>
      </c>
      <c r="H39" s="58">
        <v>0</v>
      </c>
      <c r="I39" s="58">
        <v>0</v>
      </c>
      <c r="J39" s="58">
        <v>0</v>
      </c>
      <c r="K39" s="58">
        <v>0</v>
      </c>
      <c r="L39" s="58">
        <v>0</v>
      </c>
      <c r="M39" s="58">
        <v>0</v>
      </c>
      <c r="N39" s="76">
        <v>0</v>
      </c>
      <c r="O39" s="76">
        <v>0</v>
      </c>
      <c r="P39" s="76">
        <v>0</v>
      </c>
      <c r="Q39" s="76">
        <v>0</v>
      </c>
      <c r="R39" s="76">
        <v>0</v>
      </c>
      <c r="S39" s="76">
        <v>0</v>
      </c>
    </row>
    <row r="40" spans="1:19" ht="12" x14ac:dyDescent="0.2">
      <c r="A40" s="8"/>
      <c r="B40" s="2" t="s">
        <v>91</v>
      </c>
      <c r="C40" s="10">
        <v>45</v>
      </c>
      <c r="D40" s="10"/>
      <c r="E40" s="11" t="s">
        <v>89</v>
      </c>
      <c r="G40" s="57" t="s">
        <v>92</v>
      </c>
      <c r="H40" s="58">
        <v>-3064.2939999999999</v>
      </c>
      <c r="I40" s="58">
        <v>-3090.9369999999999</v>
      </c>
      <c r="J40" s="58">
        <v>-3108.8710000000001</v>
      </c>
      <c r="K40" s="58">
        <v>-4220.6769999999997</v>
      </c>
      <c r="L40" s="58">
        <v>-3432.6309999999999</v>
      </c>
      <c r="M40" s="58">
        <v>-7557.0290000000005</v>
      </c>
      <c r="N40" s="76">
        <v>-7120.4120000000003</v>
      </c>
      <c r="O40" s="76">
        <v>-8557</v>
      </c>
      <c r="P40" s="76">
        <v>-8557</v>
      </c>
      <c r="Q40" s="76">
        <v>-8557</v>
      </c>
      <c r="R40" s="76">
        <v>-8557</v>
      </c>
      <c r="S40" s="76">
        <v>-8557</v>
      </c>
    </row>
    <row r="41" spans="1:19" x14ac:dyDescent="0.2">
      <c r="A41" s="13"/>
      <c r="B41" s="2" t="s">
        <v>93</v>
      </c>
      <c r="C41" s="10" t="s">
        <v>94</v>
      </c>
      <c r="D41" s="10"/>
      <c r="E41" s="23"/>
      <c r="F41" s="13"/>
      <c r="G41" s="57" t="s">
        <v>95</v>
      </c>
      <c r="H41" s="56">
        <f t="shared" ref="H41:S41" si="10">SUM(H42:H45)</f>
        <v>-1531.3530000000001</v>
      </c>
      <c r="I41" s="56">
        <f t="shared" si="10"/>
        <v>-1678.1279999999999</v>
      </c>
      <c r="J41" s="626">
        <f t="shared" si="10"/>
        <v>-1551.566</v>
      </c>
      <c r="K41" s="56">
        <f t="shared" si="10"/>
        <v>-1654.078</v>
      </c>
      <c r="L41" s="56">
        <f t="shared" si="10"/>
        <v>-1907.2890000000002</v>
      </c>
      <c r="M41" s="56">
        <f t="shared" si="10"/>
        <v>-1868.1189999999999</v>
      </c>
      <c r="N41" s="77">
        <f t="shared" si="10"/>
        <v>-966.78800000000001</v>
      </c>
      <c r="O41" s="77">
        <f t="shared" si="10"/>
        <v>-1793</v>
      </c>
      <c r="P41" s="77">
        <f t="shared" si="10"/>
        <v>-1777</v>
      </c>
      <c r="Q41" s="77">
        <f t="shared" si="10"/>
        <v>-1777</v>
      </c>
      <c r="R41" s="77">
        <f t="shared" si="10"/>
        <v>-1777</v>
      </c>
      <c r="S41" s="56">
        <f t="shared" si="10"/>
        <v>-1777</v>
      </c>
    </row>
    <row r="42" spans="1:19" ht="12" x14ac:dyDescent="0.2">
      <c r="A42" s="8"/>
      <c r="B42" s="2" t="s">
        <v>96</v>
      </c>
      <c r="C42" s="10">
        <v>50</v>
      </c>
      <c r="D42" s="10"/>
      <c r="E42" s="11" t="s">
        <v>89</v>
      </c>
      <c r="G42" s="57" t="s">
        <v>97</v>
      </c>
      <c r="H42" s="58">
        <v>-567.96</v>
      </c>
      <c r="I42" s="58">
        <v>-564.54499999999996</v>
      </c>
      <c r="J42" s="58">
        <v>-563.20399999999995</v>
      </c>
      <c r="K42" s="58">
        <v>-605.81899999999996</v>
      </c>
      <c r="L42" s="58">
        <v>-685.71600000000001</v>
      </c>
      <c r="M42" s="58">
        <v>-644.98599999999999</v>
      </c>
      <c r="N42" s="76">
        <f>-1*(285.165+96.826+1.469)</f>
        <v>-383.46</v>
      </c>
      <c r="O42" s="76">
        <v>-667</v>
      </c>
      <c r="P42" s="76">
        <v>-667</v>
      </c>
      <c r="Q42" s="76">
        <v>-667</v>
      </c>
      <c r="R42" s="76">
        <v>-667</v>
      </c>
      <c r="S42" s="76">
        <v>-667</v>
      </c>
    </row>
    <row r="43" spans="1:19" ht="12" x14ac:dyDescent="0.2">
      <c r="A43" s="8"/>
      <c r="B43" s="2" t="s">
        <v>98</v>
      </c>
      <c r="C43" s="10">
        <v>55</v>
      </c>
      <c r="D43" s="10"/>
      <c r="E43" s="11" t="s">
        <v>89</v>
      </c>
      <c r="G43" s="57" t="s">
        <v>99</v>
      </c>
      <c r="H43" s="58">
        <f>-6.371-230.597-666.953</f>
        <v>-903.92100000000005</v>
      </c>
      <c r="I43" s="58">
        <f>-51.208-203.986-800.437</f>
        <v>-1055.6310000000001</v>
      </c>
      <c r="J43" s="58">
        <f>-227.208-714.023</f>
        <v>-941.23099999999999</v>
      </c>
      <c r="K43" s="58">
        <f>-236.508-753.41</f>
        <v>-989.91800000000001</v>
      </c>
      <c r="L43" s="58">
        <f>-256.882-914.374</f>
        <v>-1171.2560000000001</v>
      </c>
      <c r="M43" s="58">
        <f>-245.447-915.489</f>
        <v>-1160.9360000000001</v>
      </c>
      <c r="N43" s="76">
        <v>-528.34500000000003</v>
      </c>
      <c r="O43" s="76">
        <v>-1063</v>
      </c>
      <c r="P43" s="76">
        <v>-1050</v>
      </c>
      <c r="Q43" s="76">
        <v>-1040</v>
      </c>
      <c r="R43" s="76">
        <v>-1040</v>
      </c>
      <c r="S43" s="76">
        <v>-1040</v>
      </c>
    </row>
    <row r="44" spans="1:19" ht="12" x14ac:dyDescent="0.2">
      <c r="A44" s="13"/>
      <c r="B44" s="2" t="s">
        <v>100</v>
      </c>
      <c r="C44" s="10">
        <v>60</v>
      </c>
      <c r="D44" s="10"/>
      <c r="E44" s="11" t="s">
        <v>89</v>
      </c>
      <c r="F44" s="13"/>
      <c r="G44" s="57" t="s">
        <v>101</v>
      </c>
      <c r="H44" s="58">
        <v>-0.35399999999999998</v>
      </c>
      <c r="I44" s="58">
        <v>-0.91700000000000004</v>
      </c>
      <c r="J44" s="58">
        <v>-0.20100000000000001</v>
      </c>
      <c r="K44" s="58">
        <v>-0.56000000000000005</v>
      </c>
      <c r="L44" s="58">
        <v>-9.8000000000000004E-2</v>
      </c>
      <c r="M44" s="58">
        <v>-4.8559999999999999</v>
      </c>
      <c r="N44" s="76">
        <v>-54.982999999999997</v>
      </c>
      <c r="O44" s="76">
        <v>-40</v>
      </c>
      <c r="P44" s="76">
        <v>-40</v>
      </c>
      <c r="Q44" s="76">
        <v>-40</v>
      </c>
      <c r="R44" s="76">
        <v>-40</v>
      </c>
      <c r="S44" s="76">
        <v>-40</v>
      </c>
    </row>
    <row r="45" spans="1:19" ht="12" x14ac:dyDescent="0.2">
      <c r="A45" s="8"/>
      <c r="B45" s="2" t="s">
        <v>102</v>
      </c>
      <c r="C45" s="10">
        <v>61</v>
      </c>
      <c r="D45" s="10"/>
      <c r="E45" s="11" t="s">
        <v>89</v>
      </c>
      <c r="G45" s="57" t="s">
        <v>103</v>
      </c>
      <c r="H45" s="58">
        <v>-59.118000000000002</v>
      </c>
      <c r="I45" s="58">
        <v>-57.034999999999997</v>
      </c>
      <c r="J45" s="58">
        <v>-46.93</v>
      </c>
      <c r="K45" s="58">
        <v>-57.780999999999999</v>
      </c>
      <c r="L45" s="58">
        <v>-50.219000000000001</v>
      </c>
      <c r="M45" s="58">
        <v>-57.341000000000001</v>
      </c>
      <c r="N45" s="76">
        <v>0</v>
      </c>
      <c r="O45" s="76">
        <v>-23</v>
      </c>
      <c r="P45" s="76">
        <v>-20</v>
      </c>
      <c r="Q45" s="76">
        <v>-30</v>
      </c>
      <c r="R45" s="76">
        <v>-30</v>
      </c>
      <c r="S45" s="76">
        <v>-30</v>
      </c>
    </row>
    <row r="46" spans="1:19" x14ac:dyDescent="0.2">
      <c r="A46" s="8"/>
      <c r="B46" s="2" t="s">
        <v>104</v>
      </c>
      <c r="C46" s="10"/>
      <c r="D46" s="10"/>
      <c r="E46" s="9"/>
      <c r="G46" s="57" t="s">
        <v>105</v>
      </c>
      <c r="H46" s="56">
        <f t="shared" ref="H46:S46" si="11">H33+H38+H41</f>
        <v>-109.06400000000031</v>
      </c>
      <c r="I46" s="56">
        <f t="shared" si="11"/>
        <v>34.422000000000253</v>
      </c>
      <c r="J46" s="56">
        <f t="shared" si="11"/>
        <v>94.341000000000122</v>
      </c>
      <c r="K46" s="56">
        <f t="shared" si="11"/>
        <v>18.878000000000156</v>
      </c>
      <c r="L46" s="56">
        <f t="shared" si="11"/>
        <v>-4.7479999999995925</v>
      </c>
      <c r="M46" s="56">
        <f t="shared" si="11"/>
        <v>-84.501000000001341</v>
      </c>
      <c r="N46" s="77">
        <f>N33+N38+N41</f>
        <v>47.704999999999472</v>
      </c>
      <c r="O46" s="77">
        <f t="shared" si="11"/>
        <v>0</v>
      </c>
      <c r="P46" s="77">
        <f>P33+P38+P41</f>
        <v>0</v>
      </c>
      <c r="Q46" s="77">
        <f t="shared" si="11"/>
        <v>0</v>
      </c>
      <c r="R46" s="77">
        <f>R33+R38+R41</f>
        <v>0</v>
      </c>
      <c r="S46" s="56">
        <f t="shared" si="11"/>
        <v>0</v>
      </c>
    </row>
    <row r="47" spans="1:19" ht="12" x14ac:dyDescent="0.2">
      <c r="A47" s="8"/>
      <c r="B47" s="2" t="s">
        <v>106</v>
      </c>
      <c r="C47" s="10">
        <v>65</v>
      </c>
      <c r="D47" s="10"/>
      <c r="E47" s="11" t="s">
        <v>72</v>
      </c>
      <c r="G47" s="57" t="s">
        <v>107</v>
      </c>
      <c r="H47" s="58">
        <v>0.97299999999999998</v>
      </c>
      <c r="I47" s="58">
        <v>4.5999999999999999E-2</v>
      </c>
      <c r="J47" s="58">
        <v>1.4999999999999999E-2</v>
      </c>
      <c r="K47" s="58">
        <v>5.0999999999999997E-2</v>
      </c>
      <c r="L47" s="58">
        <v>2.3170000000000002</v>
      </c>
      <c r="M47" s="58">
        <v>3.2919999999999998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</row>
    <row r="48" spans="1:19" x14ac:dyDescent="0.2">
      <c r="A48" s="8"/>
      <c r="B48" s="2" t="s">
        <v>108</v>
      </c>
      <c r="C48" s="10"/>
      <c r="D48" s="10"/>
      <c r="E48" s="9"/>
      <c r="G48" s="57" t="s">
        <v>109</v>
      </c>
      <c r="H48" s="56">
        <f t="shared" ref="H48:S48" si="12">H46+H47</f>
        <v>-108.09100000000031</v>
      </c>
      <c r="I48" s="56">
        <f t="shared" si="12"/>
        <v>34.468000000000252</v>
      </c>
      <c r="J48" s="56">
        <f t="shared" si="12"/>
        <v>94.356000000000122</v>
      </c>
      <c r="K48" s="56">
        <f t="shared" si="12"/>
        <v>18.929000000000155</v>
      </c>
      <c r="L48" s="56">
        <f t="shared" si="12"/>
        <v>-2.4309999999995924</v>
      </c>
      <c r="M48" s="56">
        <f t="shared" si="12"/>
        <v>-81.209000000001339</v>
      </c>
      <c r="N48" s="77">
        <f>N46+N47</f>
        <v>47.704999999999472</v>
      </c>
      <c r="O48" s="77">
        <f t="shared" si="12"/>
        <v>0</v>
      </c>
      <c r="P48" s="77">
        <f t="shared" si="12"/>
        <v>0</v>
      </c>
      <c r="Q48" s="77">
        <f t="shared" si="12"/>
        <v>0</v>
      </c>
      <c r="R48" s="77">
        <f>R46+R47</f>
        <v>0</v>
      </c>
      <c r="S48" s="56">
        <f t="shared" si="12"/>
        <v>0</v>
      </c>
    </row>
    <row r="49" spans="1:19" ht="12" x14ac:dyDescent="0.2">
      <c r="A49" s="8"/>
      <c r="B49" s="2" t="s">
        <v>110</v>
      </c>
      <c r="C49" s="10">
        <v>68</v>
      </c>
      <c r="D49" s="10"/>
      <c r="E49" s="11" t="s">
        <v>89</v>
      </c>
      <c r="G49" s="57" t="s">
        <v>111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76">
        <v>0</v>
      </c>
      <c r="O49" s="76">
        <v>0</v>
      </c>
      <c r="P49" s="76">
        <v>0</v>
      </c>
      <c r="Q49" s="76">
        <v>0</v>
      </c>
      <c r="R49" s="76">
        <v>0</v>
      </c>
      <c r="S49" s="58">
        <v>0</v>
      </c>
    </row>
    <row r="50" spans="1:19" ht="12" x14ac:dyDescent="0.2">
      <c r="A50" s="8"/>
      <c r="B50" s="2" t="s">
        <v>112</v>
      </c>
      <c r="C50" s="10">
        <v>69</v>
      </c>
      <c r="D50" s="10"/>
      <c r="E50" s="11" t="s">
        <v>11</v>
      </c>
      <c r="G50" s="57" t="s">
        <v>113</v>
      </c>
      <c r="H50" s="58">
        <v>0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76">
        <v>0</v>
      </c>
      <c r="O50" s="76">
        <v>0</v>
      </c>
      <c r="P50" s="76">
        <v>0</v>
      </c>
      <c r="Q50" s="76">
        <v>0</v>
      </c>
      <c r="R50" s="76">
        <v>0</v>
      </c>
      <c r="S50" s="58">
        <v>0</v>
      </c>
    </row>
    <row r="51" spans="1:19" x14ac:dyDescent="0.2">
      <c r="A51" s="8"/>
      <c r="B51" s="2" t="s">
        <v>114</v>
      </c>
      <c r="C51" s="10"/>
      <c r="D51" s="10"/>
      <c r="E51" s="9"/>
      <c r="G51" s="57" t="s">
        <v>115</v>
      </c>
      <c r="H51" s="56">
        <f t="shared" ref="H51:S51" si="13">H48+H49+H50</f>
        <v>-108.09100000000031</v>
      </c>
      <c r="I51" s="56">
        <f t="shared" si="13"/>
        <v>34.468000000000252</v>
      </c>
      <c r="J51" s="56">
        <f t="shared" si="13"/>
        <v>94.356000000000122</v>
      </c>
      <c r="K51" s="56">
        <f t="shared" si="13"/>
        <v>18.929000000000155</v>
      </c>
      <c r="L51" s="56">
        <f t="shared" si="13"/>
        <v>-2.4309999999995924</v>
      </c>
      <c r="M51" s="56">
        <f t="shared" si="13"/>
        <v>-81.209000000001339</v>
      </c>
      <c r="N51" s="77">
        <f>N48+N49+N50</f>
        <v>47.704999999999472</v>
      </c>
      <c r="O51" s="77">
        <f t="shared" si="13"/>
        <v>0</v>
      </c>
      <c r="P51" s="77">
        <f t="shared" si="13"/>
        <v>0</v>
      </c>
      <c r="Q51" s="77">
        <f t="shared" si="13"/>
        <v>0</v>
      </c>
      <c r="R51" s="77">
        <f>R48+R49+R50</f>
        <v>0</v>
      </c>
      <c r="S51" s="56">
        <f t="shared" si="13"/>
        <v>0</v>
      </c>
    </row>
    <row r="52" spans="1:19" x14ac:dyDescent="0.2">
      <c r="A52" s="24"/>
      <c r="B52" s="2" t="s">
        <v>370</v>
      </c>
      <c r="C52" s="83" t="s">
        <v>371</v>
      </c>
      <c r="D52" s="25"/>
      <c r="E52" s="26"/>
      <c r="F52" s="24"/>
      <c r="G52" s="62" t="s">
        <v>116</v>
      </c>
      <c r="H52" s="63">
        <f t="shared" ref="H52:S52" si="14">H30-H51</f>
        <v>3.1263880373444408E-13</v>
      </c>
      <c r="I52" s="63">
        <f t="shared" si="14"/>
        <v>-2.4868995751603507E-13</v>
      </c>
      <c r="J52" s="63">
        <f t="shared" si="14"/>
        <v>-1.2789769243681803E-13</v>
      </c>
      <c r="K52" s="63">
        <f t="shared" si="14"/>
        <v>-1.5631940186722204E-13</v>
      </c>
      <c r="L52" s="63">
        <f t="shared" si="14"/>
        <v>-4.0767389464235748E-13</v>
      </c>
      <c r="M52" s="63">
        <f t="shared" si="14"/>
        <v>1.3358203432289883E-12</v>
      </c>
      <c r="N52" s="85">
        <f t="shared" si="14"/>
        <v>0.30000000000053006</v>
      </c>
      <c r="O52" s="85">
        <f>O30-O51</f>
        <v>0</v>
      </c>
      <c r="P52" s="85">
        <f t="shared" si="14"/>
        <v>0</v>
      </c>
      <c r="Q52" s="85">
        <f t="shared" si="14"/>
        <v>0</v>
      </c>
      <c r="R52" s="85">
        <f>R30-R51</f>
        <v>0</v>
      </c>
      <c r="S52" s="63">
        <f t="shared" si="14"/>
        <v>0</v>
      </c>
    </row>
    <row r="53" spans="1:19" x14ac:dyDescent="0.2">
      <c r="A53" s="8"/>
      <c r="B53" s="2"/>
      <c r="C53" s="10"/>
      <c r="D53" s="10"/>
      <c r="E53" s="9"/>
      <c r="G53" s="65" t="s">
        <v>117</v>
      </c>
      <c r="H53" s="48"/>
      <c r="I53" s="48"/>
      <c r="J53" s="48"/>
      <c r="K53" s="48"/>
      <c r="L53" s="48"/>
      <c r="M53" s="48"/>
      <c r="N53" s="4"/>
      <c r="O53" s="4"/>
      <c r="P53" s="4"/>
      <c r="Q53" s="4"/>
      <c r="R53" s="4"/>
      <c r="S53" s="48"/>
    </row>
    <row r="54" spans="1:19" ht="12" x14ac:dyDescent="0.2">
      <c r="A54" s="8"/>
      <c r="B54" s="2"/>
      <c r="C54" s="10">
        <v>90</v>
      </c>
      <c r="D54" s="10"/>
      <c r="E54" s="11" t="s">
        <v>11</v>
      </c>
      <c r="G54" s="65" t="s">
        <v>118</v>
      </c>
      <c r="H54" s="58">
        <v>27</v>
      </c>
      <c r="I54" s="58">
        <v>27</v>
      </c>
      <c r="J54" s="58">
        <v>29</v>
      </c>
      <c r="K54" s="58">
        <v>30</v>
      </c>
      <c r="L54" s="58">
        <v>30</v>
      </c>
      <c r="M54" s="76">
        <v>11</v>
      </c>
      <c r="N54" s="76">
        <v>12</v>
      </c>
      <c r="O54" s="76">
        <v>12</v>
      </c>
      <c r="P54" s="76">
        <v>12</v>
      </c>
      <c r="Q54" s="76">
        <v>12</v>
      </c>
      <c r="R54" s="76">
        <v>12</v>
      </c>
      <c r="S54" s="58">
        <v>12</v>
      </c>
    </row>
    <row r="55" spans="1:19" ht="12" x14ac:dyDescent="0.2">
      <c r="A55" s="8"/>
      <c r="B55" s="2"/>
      <c r="C55" s="10"/>
      <c r="D55" s="10"/>
      <c r="E55" s="11" t="s">
        <v>11</v>
      </c>
      <c r="G55" s="65" t="s">
        <v>119</v>
      </c>
      <c r="H55" s="58"/>
      <c r="I55" s="58"/>
      <c r="J55" s="58"/>
      <c r="K55" s="58"/>
      <c r="L55" s="66"/>
      <c r="M55" s="66"/>
      <c r="N55" s="88"/>
      <c r="O55" s="88"/>
      <c r="P55" s="88"/>
      <c r="Q55" s="88"/>
      <c r="R55" s="88"/>
      <c r="S55" s="66"/>
    </row>
    <row r="56" spans="1:19" x14ac:dyDescent="0.2">
      <c r="A56" s="8"/>
      <c r="B56" s="2"/>
      <c r="C56" s="10"/>
      <c r="D56" s="10"/>
      <c r="E56" s="9"/>
      <c r="G56" s="67"/>
      <c r="H56" s="48"/>
      <c r="I56" s="48"/>
      <c r="J56" s="48"/>
      <c r="K56" s="48"/>
      <c r="L56" s="48"/>
      <c r="M56" s="48"/>
      <c r="N56" s="4"/>
      <c r="O56" s="4"/>
      <c r="P56" s="4"/>
      <c r="Q56" s="4"/>
      <c r="R56" s="4"/>
      <c r="S56" s="48"/>
    </row>
    <row r="57" spans="1:19" x14ac:dyDescent="0.2">
      <c r="A57" s="8"/>
      <c r="B57" s="2"/>
      <c r="C57" s="10"/>
      <c r="D57" s="29" t="s">
        <v>120</v>
      </c>
      <c r="E57" s="30" t="s">
        <v>3</v>
      </c>
      <c r="F57" s="9"/>
      <c r="G57" s="53" t="s">
        <v>121</v>
      </c>
      <c r="H57" s="64">
        <f t="shared" ref="H57:S57" si="15">H32</f>
        <v>2011</v>
      </c>
      <c r="I57" s="64">
        <f t="shared" si="15"/>
        <v>2012</v>
      </c>
      <c r="J57" s="64">
        <f t="shared" si="15"/>
        <v>2013</v>
      </c>
      <c r="K57" s="64">
        <f t="shared" si="15"/>
        <v>2014</v>
      </c>
      <c r="L57" s="64">
        <f t="shared" si="15"/>
        <v>2015</v>
      </c>
      <c r="M57" s="64">
        <f t="shared" si="15"/>
        <v>2016</v>
      </c>
      <c r="N57" s="87">
        <f t="shared" si="15"/>
        <v>2017</v>
      </c>
      <c r="O57" s="87">
        <f t="shared" si="15"/>
        <v>2018</v>
      </c>
      <c r="P57" s="87">
        <f t="shared" si="15"/>
        <v>2019</v>
      </c>
      <c r="Q57" s="87">
        <f t="shared" si="15"/>
        <v>2020</v>
      </c>
      <c r="R57" s="87">
        <f t="shared" si="15"/>
        <v>2021</v>
      </c>
      <c r="S57" s="64">
        <f t="shared" si="15"/>
        <v>2022</v>
      </c>
    </row>
    <row r="58" spans="1:19" ht="12" x14ac:dyDescent="0.2">
      <c r="A58" s="8"/>
      <c r="B58" s="31" t="s">
        <v>122</v>
      </c>
      <c r="C58" s="8" t="s">
        <v>123</v>
      </c>
      <c r="D58" s="32" t="s">
        <v>124</v>
      </c>
      <c r="E58" s="11" t="s">
        <v>89</v>
      </c>
      <c r="F58" s="12"/>
      <c r="G58" s="55" t="s">
        <v>125</v>
      </c>
      <c r="H58" s="58">
        <v>-11.377000000000001</v>
      </c>
      <c r="I58" s="58">
        <v>-3.895</v>
      </c>
      <c r="J58" s="58">
        <v>-118.99</v>
      </c>
      <c r="K58" s="58">
        <v>0</v>
      </c>
      <c r="L58" s="58">
        <v>-4.6769999999999996</v>
      </c>
      <c r="M58" s="58">
        <v>-5.7350000000000003</v>
      </c>
      <c r="N58" s="76">
        <v>-7</v>
      </c>
      <c r="O58" s="76">
        <v>-4</v>
      </c>
      <c r="P58" s="76">
        <v>-5</v>
      </c>
      <c r="Q58" s="76">
        <v>-5</v>
      </c>
      <c r="R58" s="76">
        <v>-10</v>
      </c>
      <c r="S58" s="58">
        <v>-10</v>
      </c>
    </row>
    <row r="59" spans="1:19" ht="12" x14ac:dyDescent="0.2">
      <c r="A59" s="8"/>
      <c r="B59" s="31" t="s">
        <v>126</v>
      </c>
      <c r="C59" s="33" t="s">
        <v>127</v>
      </c>
      <c r="D59" s="32" t="s">
        <v>128</v>
      </c>
      <c r="E59" s="11" t="s">
        <v>11</v>
      </c>
      <c r="F59" s="12"/>
      <c r="G59" s="68" t="s">
        <v>129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76">
        <v>0</v>
      </c>
      <c r="O59" s="76">
        <v>0</v>
      </c>
      <c r="P59" s="76">
        <v>0</v>
      </c>
      <c r="Q59" s="76">
        <v>0</v>
      </c>
      <c r="R59" s="76">
        <v>0</v>
      </c>
      <c r="S59" s="58">
        <v>0</v>
      </c>
    </row>
    <row r="60" spans="1:19" ht="12" x14ac:dyDescent="0.2">
      <c r="A60" s="8"/>
      <c r="B60" s="31" t="s">
        <v>130</v>
      </c>
      <c r="C60" s="34" t="s">
        <v>372</v>
      </c>
      <c r="D60" s="32" t="s">
        <v>131</v>
      </c>
      <c r="E60" s="11" t="s">
        <v>11</v>
      </c>
      <c r="F60" s="12"/>
      <c r="G60" s="57" t="s">
        <v>132</v>
      </c>
      <c r="H60" s="58">
        <v>0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76">
        <v>0</v>
      </c>
      <c r="O60" s="76">
        <v>0</v>
      </c>
      <c r="P60" s="76">
        <v>0</v>
      </c>
      <c r="Q60" s="76">
        <v>0</v>
      </c>
      <c r="R60" s="76">
        <v>0</v>
      </c>
      <c r="S60" s="58">
        <v>0</v>
      </c>
    </row>
    <row r="61" spans="1:19" ht="12" x14ac:dyDescent="0.2">
      <c r="A61" s="8"/>
      <c r="B61" s="31" t="s">
        <v>133</v>
      </c>
      <c r="C61" s="34" t="s">
        <v>134</v>
      </c>
      <c r="D61" s="34" t="s">
        <v>135</v>
      </c>
      <c r="E61" s="11" t="s">
        <v>89</v>
      </c>
      <c r="F61" s="12"/>
      <c r="G61" s="57" t="s">
        <v>136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76">
        <v>0</v>
      </c>
      <c r="O61" s="76">
        <v>0</v>
      </c>
      <c r="P61" s="76">
        <v>0</v>
      </c>
      <c r="Q61" s="76">
        <v>0</v>
      </c>
      <c r="R61" s="76">
        <v>0</v>
      </c>
      <c r="S61" s="58">
        <v>0</v>
      </c>
    </row>
    <row r="62" spans="1:19" ht="12" x14ac:dyDescent="0.2">
      <c r="A62" s="8"/>
      <c r="B62" s="31" t="s">
        <v>137</v>
      </c>
      <c r="C62" s="10">
        <v>253800</v>
      </c>
      <c r="D62" s="34" t="s">
        <v>131</v>
      </c>
      <c r="E62" s="11" t="s">
        <v>11</v>
      </c>
      <c r="F62" s="12"/>
      <c r="G62" s="57" t="s">
        <v>138</v>
      </c>
      <c r="H62" s="58">
        <v>0</v>
      </c>
      <c r="I62" s="58">
        <v>0</v>
      </c>
      <c r="J62" s="58">
        <v>0</v>
      </c>
      <c r="K62" s="58">
        <v>0</v>
      </c>
      <c r="L62" s="58">
        <v>0</v>
      </c>
      <c r="M62" s="58">
        <v>0</v>
      </c>
      <c r="N62" s="76">
        <v>0</v>
      </c>
      <c r="O62" s="76">
        <v>0</v>
      </c>
      <c r="P62" s="76">
        <v>0</v>
      </c>
      <c r="Q62" s="76">
        <v>0</v>
      </c>
      <c r="R62" s="76">
        <v>0</v>
      </c>
      <c r="S62" s="58">
        <v>0</v>
      </c>
    </row>
    <row r="63" spans="1:19" ht="12" x14ac:dyDescent="0.2">
      <c r="A63" s="8"/>
      <c r="B63" s="31" t="s">
        <v>139</v>
      </c>
      <c r="C63" s="10">
        <v>150</v>
      </c>
      <c r="D63" s="34" t="s">
        <v>135</v>
      </c>
      <c r="E63" s="11" t="s">
        <v>89</v>
      </c>
      <c r="F63" s="12"/>
      <c r="G63" s="57" t="s">
        <v>140</v>
      </c>
      <c r="H63" s="58">
        <v>0</v>
      </c>
      <c r="I63" s="58">
        <v>0</v>
      </c>
      <c r="J63" s="58">
        <v>0</v>
      </c>
      <c r="K63" s="58">
        <v>0</v>
      </c>
      <c r="L63" s="58">
        <v>0</v>
      </c>
      <c r="M63" s="58">
        <v>0</v>
      </c>
      <c r="N63" s="76">
        <v>0</v>
      </c>
      <c r="O63" s="76">
        <v>0</v>
      </c>
      <c r="P63" s="76">
        <v>0</v>
      </c>
      <c r="Q63" s="76">
        <v>0</v>
      </c>
      <c r="R63" s="76">
        <v>0</v>
      </c>
      <c r="S63" s="58">
        <v>0</v>
      </c>
    </row>
    <row r="64" spans="1:19" ht="12" x14ac:dyDescent="0.2">
      <c r="A64" s="8"/>
      <c r="B64" s="31" t="s">
        <v>141</v>
      </c>
      <c r="C64" s="34" t="s">
        <v>142</v>
      </c>
      <c r="D64" s="34" t="s">
        <v>131</v>
      </c>
      <c r="E64" s="11" t="s">
        <v>11</v>
      </c>
      <c r="F64" s="12"/>
      <c r="G64" s="57" t="s">
        <v>143</v>
      </c>
      <c r="H64" s="58">
        <v>0</v>
      </c>
      <c r="I64" s="58">
        <v>0</v>
      </c>
      <c r="J64" s="58">
        <v>0</v>
      </c>
      <c r="K64" s="58">
        <v>0</v>
      </c>
      <c r="L64" s="58">
        <v>0</v>
      </c>
      <c r="M64" s="58">
        <v>0</v>
      </c>
      <c r="N64" s="76">
        <v>0</v>
      </c>
      <c r="O64" s="76">
        <v>0</v>
      </c>
      <c r="P64" s="76">
        <v>0</v>
      </c>
      <c r="Q64" s="76">
        <v>0</v>
      </c>
      <c r="R64" s="76">
        <v>0</v>
      </c>
      <c r="S64" s="58">
        <v>0</v>
      </c>
    </row>
    <row r="65" spans="1:19" ht="12" x14ac:dyDescent="0.2">
      <c r="A65" s="8"/>
      <c r="B65" s="31" t="s">
        <v>144</v>
      </c>
      <c r="C65" s="8" t="s">
        <v>373</v>
      </c>
      <c r="D65" s="34" t="s">
        <v>135</v>
      </c>
      <c r="E65" s="11" t="s">
        <v>89</v>
      </c>
      <c r="F65" s="12"/>
      <c r="G65" s="57" t="s">
        <v>145</v>
      </c>
      <c r="H65" s="58">
        <v>0</v>
      </c>
      <c r="I65" s="58">
        <v>0</v>
      </c>
      <c r="J65" s="58">
        <v>0</v>
      </c>
      <c r="K65" s="58">
        <v>0</v>
      </c>
      <c r="L65" s="58">
        <v>0</v>
      </c>
      <c r="M65" s="58">
        <v>0</v>
      </c>
      <c r="N65" s="76">
        <v>0</v>
      </c>
      <c r="O65" s="76">
        <v>0</v>
      </c>
      <c r="P65" s="76">
        <v>0</v>
      </c>
      <c r="Q65" s="76">
        <v>0</v>
      </c>
      <c r="R65" s="76">
        <v>0</v>
      </c>
      <c r="S65" s="58">
        <v>0</v>
      </c>
    </row>
    <row r="66" spans="1:19" ht="12" x14ac:dyDescent="0.2">
      <c r="A66" s="8"/>
      <c r="B66" s="31" t="s">
        <v>146</v>
      </c>
      <c r="C66" s="8" t="s">
        <v>373</v>
      </c>
      <c r="D66" s="34" t="s">
        <v>131</v>
      </c>
      <c r="E66" s="11" t="s">
        <v>11</v>
      </c>
      <c r="F66" s="12"/>
      <c r="G66" s="57" t="s">
        <v>147</v>
      </c>
      <c r="H66" s="58">
        <v>0</v>
      </c>
      <c r="I66" s="58">
        <v>0</v>
      </c>
      <c r="J66" s="58">
        <v>0</v>
      </c>
      <c r="K66" s="58">
        <v>0</v>
      </c>
      <c r="L66" s="58">
        <v>0</v>
      </c>
      <c r="M66" s="58">
        <v>0</v>
      </c>
      <c r="N66" s="76">
        <v>0</v>
      </c>
      <c r="O66" s="76">
        <v>0</v>
      </c>
      <c r="P66" s="76">
        <v>0</v>
      </c>
      <c r="Q66" s="76">
        <v>0</v>
      </c>
      <c r="R66" s="76">
        <v>0</v>
      </c>
      <c r="S66" s="58">
        <v>0</v>
      </c>
    </row>
    <row r="67" spans="1:19" ht="12" x14ac:dyDescent="0.2">
      <c r="A67" s="8"/>
      <c r="B67" s="31" t="s">
        <v>148</v>
      </c>
      <c r="C67" s="8" t="s">
        <v>149</v>
      </c>
      <c r="D67" s="34" t="s">
        <v>135</v>
      </c>
      <c r="E67" s="11" t="s">
        <v>89</v>
      </c>
      <c r="F67" s="12"/>
      <c r="G67" s="57" t="s">
        <v>150</v>
      </c>
      <c r="H67" s="58">
        <v>0</v>
      </c>
      <c r="I67" s="58">
        <v>0</v>
      </c>
      <c r="J67" s="58">
        <v>0</v>
      </c>
      <c r="K67" s="58">
        <v>0</v>
      </c>
      <c r="L67" s="58">
        <v>0</v>
      </c>
      <c r="M67" s="58">
        <v>0</v>
      </c>
      <c r="N67" s="76">
        <v>0</v>
      </c>
      <c r="O67" s="76">
        <v>0</v>
      </c>
      <c r="P67" s="76">
        <v>0</v>
      </c>
      <c r="Q67" s="76">
        <v>0</v>
      </c>
      <c r="R67" s="76">
        <v>0</v>
      </c>
      <c r="S67" s="58">
        <v>0</v>
      </c>
    </row>
    <row r="68" spans="1:19" ht="12" x14ac:dyDescent="0.2">
      <c r="A68" s="8"/>
      <c r="B68" s="31" t="s">
        <v>151</v>
      </c>
      <c r="C68" s="8" t="s">
        <v>149</v>
      </c>
      <c r="D68" s="34" t="s">
        <v>131</v>
      </c>
      <c r="E68" s="11" t="s">
        <v>11</v>
      </c>
      <c r="F68" s="12"/>
      <c r="G68" s="57" t="s">
        <v>152</v>
      </c>
      <c r="H68" s="58">
        <v>16.661000000000001</v>
      </c>
      <c r="I68" s="58">
        <v>0</v>
      </c>
      <c r="J68" s="58">
        <v>0</v>
      </c>
      <c r="K68" s="58">
        <v>0</v>
      </c>
      <c r="L68" s="58">
        <v>0</v>
      </c>
      <c r="M68" s="58">
        <v>0</v>
      </c>
      <c r="N68" s="76">
        <v>0</v>
      </c>
      <c r="O68" s="76">
        <v>0</v>
      </c>
      <c r="P68" s="76">
        <v>0</v>
      </c>
      <c r="Q68" s="76">
        <v>0</v>
      </c>
      <c r="R68" s="76">
        <v>0</v>
      </c>
      <c r="S68" s="58">
        <v>0</v>
      </c>
    </row>
    <row r="69" spans="1:19" ht="12" x14ac:dyDescent="0.2">
      <c r="A69" s="8"/>
      <c r="B69" s="31" t="s">
        <v>153</v>
      </c>
      <c r="C69" s="34" t="s">
        <v>142</v>
      </c>
      <c r="D69" s="34" t="s">
        <v>131</v>
      </c>
      <c r="E69" s="11" t="s">
        <v>11</v>
      </c>
      <c r="F69" s="12"/>
      <c r="G69" s="57" t="s">
        <v>154</v>
      </c>
      <c r="H69" s="58">
        <v>0</v>
      </c>
      <c r="I69" s="58">
        <v>0</v>
      </c>
      <c r="J69" s="58">
        <v>0</v>
      </c>
      <c r="K69" s="58">
        <v>0</v>
      </c>
      <c r="L69" s="58">
        <v>0</v>
      </c>
      <c r="M69" s="58">
        <v>0</v>
      </c>
      <c r="N69" s="76">
        <v>0</v>
      </c>
      <c r="O69" s="76">
        <v>0</v>
      </c>
      <c r="P69" s="76">
        <v>0</v>
      </c>
      <c r="Q69" s="76">
        <v>0</v>
      </c>
      <c r="R69" s="76">
        <v>0</v>
      </c>
      <c r="S69" s="58">
        <v>0</v>
      </c>
    </row>
    <row r="70" spans="1:19" ht="12" x14ac:dyDescent="0.2">
      <c r="A70" s="8"/>
      <c r="B70" s="31" t="s">
        <v>155</v>
      </c>
      <c r="C70" s="35" t="s">
        <v>156</v>
      </c>
      <c r="D70" s="8"/>
      <c r="E70" s="11" t="s">
        <v>72</v>
      </c>
      <c r="F70" s="12"/>
      <c r="G70" s="57" t="s">
        <v>107</v>
      </c>
      <c r="H70" s="58">
        <v>0.97299999999999998</v>
      </c>
      <c r="I70" s="58">
        <v>4.5999999999999999E-2</v>
      </c>
      <c r="J70" s="58">
        <v>1.4999999999999999E-2</v>
      </c>
      <c r="K70" s="58">
        <v>5.0999999999999997E-2</v>
      </c>
      <c r="L70" s="58">
        <v>2.3170000000000002</v>
      </c>
      <c r="M70" s="58">
        <v>3.2919999999999998</v>
      </c>
      <c r="N70" s="76">
        <v>0</v>
      </c>
      <c r="O70" s="76">
        <v>0</v>
      </c>
      <c r="P70" s="76">
        <v>0</v>
      </c>
      <c r="Q70" s="76">
        <v>0</v>
      </c>
      <c r="R70" s="76">
        <v>0</v>
      </c>
      <c r="S70" s="58">
        <v>0</v>
      </c>
    </row>
    <row r="71" spans="1:19" x14ac:dyDescent="0.2">
      <c r="A71" s="8"/>
      <c r="B71" s="31" t="s">
        <v>157</v>
      </c>
      <c r="C71" s="10"/>
      <c r="D71" s="8"/>
      <c r="E71" s="12"/>
      <c r="F71" s="12"/>
      <c r="G71" s="69" t="s">
        <v>158</v>
      </c>
      <c r="H71" s="56">
        <f t="shared" ref="H71:S71" si="16">SUM(H58:H70)</f>
        <v>6.2570000000000006</v>
      </c>
      <c r="I71" s="56">
        <f t="shared" si="16"/>
        <v>-3.8490000000000002</v>
      </c>
      <c r="J71" s="56">
        <f t="shared" si="16"/>
        <v>-118.97499999999999</v>
      </c>
      <c r="K71" s="56">
        <f t="shared" si="16"/>
        <v>5.0999999999999997E-2</v>
      </c>
      <c r="L71" s="56">
        <f t="shared" si="16"/>
        <v>-2.3599999999999994</v>
      </c>
      <c r="M71" s="56">
        <f t="shared" si="16"/>
        <v>-2.4430000000000005</v>
      </c>
      <c r="N71" s="77">
        <f t="shared" si="16"/>
        <v>-7</v>
      </c>
      <c r="O71" s="77">
        <f t="shared" si="16"/>
        <v>-4</v>
      </c>
      <c r="P71" s="77">
        <f t="shared" si="16"/>
        <v>-5</v>
      </c>
      <c r="Q71" s="77">
        <f t="shared" si="16"/>
        <v>-5</v>
      </c>
      <c r="R71" s="77">
        <f t="shared" si="16"/>
        <v>-10</v>
      </c>
      <c r="S71" s="56">
        <f t="shared" si="16"/>
        <v>-10</v>
      </c>
    </row>
    <row r="72" spans="1:19" x14ac:dyDescent="0.2">
      <c r="A72" s="8"/>
      <c r="B72" s="2"/>
      <c r="C72" s="10"/>
      <c r="D72" s="8"/>
      <c r="E72" s="9"/>
      <c r="G72" s="67"/>
      <c r="H72" s="48"/>
      <c r="I72" s="48"/>
      <c r="J72" s="48"/>
      <c r="K72" s="48"/>
      <c r="L72" s="48"/>
      <c r="M72" s="48"/>
      <c r="N72" s="4"/>
      <c r="O72" s="4"/>
      <c r="P72" s="4"/>
      <c r="Q72" s="4"/>
      <c r="R72" s="4"/>
      <c r="S72" s="48"/>
    </row>
    <row r="73" spans="1:19" x14ac:dyDescent="0.2">
      <c r="A73" s="8"/>
      <c r="B73" s="2"/>
      <c r="C73" s="10"/>
      <c r="D73" s="29" t="s">
        <v>120</v>
      </c>
      <c r="E73" s="30" t="s">
        <v>3</v>
      </c>
      <c r="F73" s="9"/>
      <c r="G73" s="53" t="s">
        <v>159</v>
      </c>
      <c r="H73" s="64">
        <f t="shared" ref="H73:S73" si="17">H57</f>
        <v>2011</v>
      </c>
      <c r="I73" s="64">
        <f t="shared" si="17"/>
        <v>2012</v>
      </c>
      <c r="J73" s="64">
        <f t="shared" si="17"/>
        <v>2013</v>
      </c>
      <c r="K73" s="64">
        <f t="shared" si="17"/>
        <v>2014</v>
      </c>
      <c r="L73" s="64">
        <f t="shared" si="17"/>
        <v>2015</v>
      </c>
      <c r="M73" s="64">
        <f t="shared" si="17"/>
        <v>2016</v>
      </c>
      <c r="N73" s="87">
        <f t="shared" si="17"/>
        <v>2017</v>
      </c>
      <c r="O73" s="87">
        <f t="shared" si="17"/>
        <v>2018</v>
      </c>
      <c r="P73" s="87">
        <f t="shared" si="17"/>
        <v>2019</v>
      </c>
      <c r="Q73" s="87">
        <f t="shared" si="17"/>
        <v>2020</v>
      </c>
      <c r="R73" s="87">
        <f t="shared" si="17"/>
        <v>2021</v>
      </c>
      <c r="S73" s="64">
        <f t="shared" si="17"/>
        <v>2022</v>
      </c>
    </row>
    <row r="74" spans="1:19" ht="12" x14ac:dyDescent="0.2">
      <c r="A74" s="8"/>
      <c r="B74" s="2" t="s">
        <v>160</v>
      </c>
      <c r="C74" s="34" t="s">
        <v>161</v>
      </c>
      <c r="D74" s="34" t="s">
        <v>128</v>
      </c>
      <c r="E74" s="11" t="s">
        <v>11</v>
      </c>
      <c r="G74" s="55" t="s">
        <v>162</v>
      </c>
      <c r="H74" s="58">
        <v>0</v>
      </c>
      <c r="I74" s="58">
        <v>0</v>
      </c>
      <c r="J74" s="58">
        <v>0</v>
      </c>
      <c r="K74" s="58">
        <v>0</v>
      </c>
      <c r="L74" s="58">
        <v>0</v>
      </c>
      <c r="M74" s="58">
        <v>0</v>
      </c>
      <c r="N74" s="76">
        <v>0</v>
      </c>
      <c r="O74" s="76">
        <v>0</v>
      </c>
      <c r="P74" s="76">
        <v>0</v>
      </c>
      <c r="Q74" s="76">
        <v>0</v>
      </c>
      <c r="R74" s="76">
        <v>0</v>
      </c>
      <c r="S74" s="58">
        <v>0</v>
      </c>
    </row>
    <row r="75" spans="1:19" ht="12" x14ac:dyDescent="0.2">
      <c r="A75" s="8"/>
      <c r="B75" s="2" t="s">
        <v>163</v>
      </c>
      <c r="C75" s="34" t="s">
        <v>161</v>
      </c>
      <c r="D75" s="34" t="s">
        <v>124</v>
      </c>
      <c r="E75" s="11" t="s">
        <v>89</v>
      </c>
      <c r="F75" s="12"/>
      <c r="G75" s="57" t="s">
        <v>164</v>
      </c>
      <c r="H75" s="58">
        <v>0</v>
      </c>
      <c r="I75" s="58">
        <v>0</v>
      </c>
      <c r="J75" s="58">
        <v>0</v>
      </c>
      <c r="K75" s="58">
        <v>0</v>
      </c>
      <c r="L75" s="58">
        <v>0</v>
      </c>
      <c r="M75" s="58">
        <v>0</v>
      </c>
      <c r="N75" s="76">
        <v>0</v>
      </c>
      <c r="O75" s="76">
        <v>0</v>
      </c>
      <c r="P75" s="76">
        <v>0</v>
      </c>
      <c r="Q75" s="76">
        <v>0</v>
      </c>
      <c r="R75" s="76">
        <v>0</v>
      </c>
      <c r="S75" s="58">
        <v>0</v>
      </c>
    </row>
    <row r="76" spans="1:19" ht="12" x14ac:dyDescent="0.2">
      <c r="A76" s="8"/>
      <c r="B76" s="2" t="s">
        <v>165</v>
      </c>
      <c r="C76" s="34" t="s">
        <v>166</v>
      </c>
      <c r="D76" s="34" t="s">
        <v>131</v>
      </c>
      <c r="E76" s="11" t="s">
        <v>11</v>
      </c>
      <c r="G76" s="57" t="s">
        <v>167</v>
      </c>
      <c r="H76" s="58">
        <v>0</v>
      </c>
      <c r="I76" s="58">
        <v>0</v>
      </c>
      <c r="J76" s="58">
        <v>0</v>
      </c>
      <c r="K76" s="58">
        <v>0</v>
      </c>
      <c r="L76" s="58">
        <v>0</v>
      </c>
      <c r="M76" s="58">
        <v>0</v>
      </c>
      <c r="N76" s="76">
        <v>0</v>
      </c>
      <c r="O76" s="76">
        <v>0</v>
      </c>
      <c r="P76" s="76">
        <v>0</v>
      </c>
      <c r="Q76" s="76">
        <v>0</v>
      </c>
      <c r="R76" s="76">
        <v>0</v>
      </c>
      <c r="S76" s="58">
        <v>0</v>
      </c>
    </row>
    <row r="77" spans="1:19" ht="12" x14ac:dyDescent="0.2">
      <c r="A77" s="8"/>
      <c r="B77" s="2" t="s">
        <v>168</v>
      </c>
      <c r="C77" s="34" t="s">
        <v>166</v>
      </c>
      <c r="D77" s="34" t="s">
        <v>135</v>
      </c>
      <c r="E77" s="11" t="s">
        <v>89</v>
      </c>
      <c r="F77" s="12"/>
      <c r="G77" s="57" t="s">
        <v>169</v>
      </c>
      <c r="H77" s="58">
        <v>0</v>
      </c>
      <c r="I77" s="58">
        <v>0</v>
      </c>
      <c r="J77" s="58">
        <v>0</v>
      </c>
      <c r="K77" s="58">
        <v>0</v>
      </c>
      <c r="L77" s="58">
        <v>0</v>
      </c>
      <c r="M77" s="58">
        <v>0</v>
      </c>
      <c r="N77" s="76">
        <v>0</v>
      </c>
      <c r="O77" s="76">
        <v>0</v>
      </c>
      <c r="P77" s="76">
        <v>0</v>
      </c>
      <c r="Q77" s="76">
        <v>0</v>
      </c>
      <c r="R77" s="76">
        <v>0</v>
      </c>
      <c r="S77" s="58">
        <v>0</v>
      </c>
    </row>
    <row r="78" spans="1:19" ht="12" x14ac:dyDescent="0.2">
      <c r="A78" s="8"/>
      <c r="B78" s="2" t="s">
        <v>170</v>
      </c>
      <c r="C78" s="34" t="s">
        <v>171</v>
      </c>
      <c r="D78" s="34" t="s">
        <v>135</v>
      </c>
      <c r="E78" s="11" t="s">
        <v>89</v>
      </c>
      <c r="F78" s="12"/>
      <c r="G78" s="57" t="s">
        <v>172</v>
      </c>
      <c r="H78" s="58">
        <v>0</v>
      </c>
      <c r="I78" s="58">
        <v>0</v>
      </c>
      <c r="J78" s="58">
        <v>0</v>
      </c>
      <c r="K78" s="58">
        <v>0</v>
      </c>
      <c r="L78" s="58">
        <v>0</v>
      </c>
      <c r="M78" s="58">
        <v>0</v>
      </c>
      <c r="N78" s="76">
        <v>0</v>
      </c>
      <c r="O78" s="76">
        <v>0</v>
      </c>
      <c r="P78" s="76">
        <v>0</v>
      </c>
      <c r="Q78" s="76">
        <v>0</v>
      </c>
      <c r="R78" s="76">
        <v>0</v>
      </c>
      <c r="S78" s="58">
        <v>0</v>
      </c>
    </row>
    <row r="79" spans="1:19" ht="12" x14ac:dyDescent="0.2">
      <c r="A79" s="8"/>
      <c r="B79" s="2" t="s">
        <v>173</v>
      </c>
      <c r="C79" s="34" t="s">
        <v>174</v>
      </c>
      <c r="D79" s="34" t="s">
        <v>135</v>
      </c>
      <c r="E79" s="11" t="s">
        <v>89</v>
      </c>
      <c r="F79" s="12"/>
      <c r="G79" s="57" t="s">
        <v>175</v>
      </c>
      <c r="H79" s="58">
        <v>0</v>
      </c>
      <c r="I79" s="58">
        <v>-2.5000000000000001E-2</v>
      </c>
      <c r="J79" s="58">
        <v>0</v>
      </c>
      <c r="K79" s="58">
        <v>-5.0000000000000001E-3</v>
      </c>
      <c r="L79" s="58">
        <v>-3.0000000000000001E-3</v>
      </c>
      <c r="M79" s="58">
        <v>0</v>
      </c>
      <c r="N79" s="76">
        <v>0</v>
      </c>
      <c r="O79" s="76">
        <v>0</v>
      </c>
      <c r="P79" s="76">
        <v>0</v>
      </c>
      <c r="Q79" s="76">
        <v>0</v>
      </c>
      <c r="R79" s="76">
        <v>0</v>
      </c>
      <c r="S79" s="58">
        <v>0</v>
      </c>
    </row>
    <row r="80" spans="1:19" ht="12" x14ac:dyDescent="0.2">
      <c r="A80" s="8"/>
      <c r="B80" s="2" t="s">
        <v>176</v>
      </c>
      <c r="C80" s="34" t="s">
        <v>177</v>
      </c>
      <c r="D80" s="34" t="s">
        <v>135</v>
      </c>
      <c r="E80" s="11" t="s">
        <v>89</v>
      </c>
      <c r="F80" s="12"/>
      <c r="G80" s="57" t="s">
        <v>178</v>
      </c>
      <c r="H80" s="58">
        <v>0</v>
      </c>
      <c r="I80" s="58">
        <v>0</v>
      </c>
      <c r="J80" s="58">
        <v>0</v>
      </c>
      <c r="K80" s="58">
        <v>0</v>
      </c>
      <c r="L80" s="58">
        <v>0</v>
      </c>
      <c r="M80" s="58">
        <v>0</v>
      </c>
      <c r="N80" s="76">
        <v>0</v>
      </c>
      <c r="O80" s="76">
        <v>0</v>
      </c>
      <c r="P80" s="76">
        <v>0</v>
      </c>
      <c r="Q80" s="76">
        <v>0</v>
      </c>
      <c r="R80" s="76">
        <v>0</v>
      </c>
      <c r="S80" s="58">
        <v>0</v>
      </c>
    </row>
    <row r="81" spans="1:19" ht="12" x14ac:dyDescent="0.2">
      <c r="A81" s="8"/>
      <c r="B81" s="2" t="s">
        <v>179</v>
      </c>
      <c r="C81" s="34" t="s">
        <v>52</v>
      </c>
      <c r="D81" s="34" t="s">
        <v>135</v>
      </c>
      <c r="E81" s="11" t="s">
        <v>89</v>
      </c>
      <c r="F81" s="12"/>
      <c r="G81" s="57" t="s">
        <v>180</v>
      </c>
      <c r="H81" s="58">
        <v>0</v>
      </c>
      <c r="I81" s="58">
        <v>0</v>
      </c>
      <c r="J81" s="58">
        <v>0</v>
      </c>
      <c r="K81" s="58">
        <v>0</v>
      </c>
      <c r="L81" s="58">
        <v>0</v>
      </c>
      <c r="M81" s="58">
        <v>0</v>
      </c>
      <c r="N81" s="76">
        <v>0</v>
      </c>
      <c r="O81" s="76">
        <v>0</v>
      </c>
      <c r="P81" s="76">
        <v>0</v>
      </c>
      <c r="Q81" s="76">
        <v>0</v>
      </c>
      <c r="R81" s="76">
        <v>0</v>
      </c>
      <c r="S81" s="58">
        <v>0</v>
      </c>
    </row>
    <row r="82" spans="1:19" ht="12" x14ac:dyDescent="0.2">
      <c r="A82" s="8"/>
      <c r="B82" s="2" t="s">
        <v>181</v>
      </c>
      <c r="C82" s="34" t="s">
        <v>182</v>
      </c>
      <c r="D82" s="34" t="s">
        <v>131</v>
      </c>
      <c r="E82" s="11" t="s">
        <v>11</v>
      </c>
      <c r="G82" s="57" t="s">
        <v>183</v>
      </c>
      <c r="H82" s="58">
        <v>0</v>
      </c>
      <c r="I82" s="58">
        <v>0</v>
      </c>
      <c r="J82" s="58">
        <v>0</v>
      </c>
      <c r="K82" s="58">
        <v>0</v>
      </c>
      <c r="L82" s="58">
        <v>0</v>
      </c>
      <c r="M82" s="58">
        <v>0</v>
      </c>
      <c r="N82" s="76">
        <v>0</v>
      </c>
      <c r="O82" s="76">
        <v>0</v>
      </c>
      <c r="P82" s="76">
        <v>0</v>
      </c>
      <c r="Q82" s="76">
        <v>0</v>
      </c>
      <c r="R82" s="76">
        <v>0</v>
      </c>
      <c r="S82" s="58">
        <v>0</v>
      </c>
    </row>
    <row r="83" spans="1:19" ht="12" x14ac:dyDescent="0.2">
      <c r="A83" s="8"/>
      <c r="B83" s="2" t="s">
        <v>184</v>
      </c>
      <c r="C83" s="34" t="s">
        <v>182</v>
      </c>
      <c r="D83" s="34" t="s">
        <v>135</v>
      </c>
      <c r="E83" s="11" t="s">
        <v>89</v>
      </c>
      <c r="F83" s="12"/>
      <c r="G83" s="57" t="s">
        <v>374</v>
      </c>
      <c r="H83" s="58">
        <v>0</v>
      </c>
      <c r="I83" s="58">
        <v>0</v>
      </c>
      <c r="J83" s="58">
        <v>0</v>
      </c>
      <c r="K83" s="58">
        <v>0</v>
      </c>
      <c r="L83" s="58">
        <v>0</v>
      </c>
      <c r="M83" s="58">
        <v>0</v>
      </c>
      <c r="N83" s="76">
        <v>0</v>
      </c>
      <c r="O83" s="76">
        <v>0</v>
      </c>
      <c r="P83" s="76">
        <v>0</v>
      </c>
      <c r="Q83" s="76">
        <v>0</v>
      </c>
      <c r="R83" s="76">
        <v>0</v>
      </c>
      <c r="S83" s="58">
        <v>0</v>
      </c>
    </row>
    <row r="84" spans="1:19" ht="12" x14ac:dyDescent="0.2">
      <c r="A84" s="8"/>
      <c r="B84" s="2" t="s">
        <v>185</v>
      </c>
      <c r="C84" s="34" t="s">
        <v>375</v>
      </c>
      <c r="D84" s="34" t="s">
        <v>135</v>
      </c>
      <c r="E84" s="11" t="s">
        <v>89</v>
      </c>
      <c r="F84" s="12"/>
      <c r="G84" s="57" t="s">
        <v>376</v>
      </c>
      <c r="H84" s="58">
        <v>0</v>
      </c>
      <c r="I84" s="58">
        <v>0</v>
      </c>
      <c r="J84" s="58">
        <v>0</v>
      </c>
      <c r="K84" s="58">
        <v>0</v>
      </c>
      <c r="L84" s="58">
        <v>0</v>
      </c>
      <c r="M84" s="58">
        <v>0</v>
      </c>
      <c r="N84" s="76">
        <v>0</v>
      </c>
      <c r="O84" s="76">
        <v>0</v>
      </c>
      <c r="P84" s="76">
        <v>0</v>
      </c>
      <c r="Q84" s="76">
        <v>0</v>
      </c>
      <c r="R84" s="76">
        <v>0</v>
      </c>
      <c r="S84" s="58">
        <v>0</v>
      </c>
    </row>
    <row r="85" spans="1:19" ht="12" x14ac:dyDescent="0.2">
      <c r="A85" s="8"/>
      <c r="B85" s="2" t="s">
        <v>186</v>
      </c>
      <c r="C85" s="36">
        <v>68</v>
      </c>
      <c r="D85" s="34" t="s">
        <v>135</v>
      </c>
      <c r="E85" s="11" t="s">
        <v>89</v>
      </c>
      <c r="F85" s="12"/>
      <c r="G85" s="70" t="s">
        <v>111</v>
      </c>
      <c r="H85" s="58">
        <v>0</v>
      </c>
      <c r="I85" s="58">
        <v>0</v>
      </c>
      <c r="J85" s="58">
        <v>0</v>
      </c>
      <c r="K85" s="58">
        <v>0</v>
      </c>
      <c r="L85" s="58">
        <v>0</v>
      </c>
      <c r="M85" s="58">
        <v>0</v>
      </c>
      <c r="N85" s="76">
        <v>0</v>
      </c>
      <c r="O85" s="76">
        <v>0</v>
      </c>
      <c r="P85" s="76">
        <v>0</v>
      </c>
      <c r="Q85" s="76">
        <v>0</v>
      </c>
      <c r="R85" s="76">
        <v>0</v>
      </c>
      <c r="S85" s="58">
        <v>0</v>
      </c>
    </row>
    <row r="86" spans="1:19" x14ac:dyDescent="0.2">
      <c r="A86" s="8"/>
      <c r="B86" s="2" t="s">
        <v>377</v>
      </c>
      <c r="C86" s="10"/>
      <c r="D86" s="10"/>
      <c r="E86" s="9"/>
      <c r="G86" s="70" t="s">
        <v>158</v>
      </c>
      <c r="H86" s="56">
        <f t="shared" ref="H86:S86" si="18">SUM(H74:H85)</f>
        <v>0</v>
      </c>
      <c r="I86" s="56">
        <f t="shared" si="18"/>
        <v>-2.5000000000000001E-2</v>
      </c>
      <c r="J86" s="56">
        <f t="shared" si="18"/>
        <v>0</v>
      </c>
      <c r="K86" s="56">
        <f t="shared" si="18"/>
        <v>-5.0000000000000001E-3</v>
      </c>
      <c r="L86" s="56">
        <f t="shared" si="18"/>
        <v>-3.0000000000000001E-3</v>
      </c>
      <c r="M86" s="56">
        <f t="shared" si="18"/>
        <v>0</v>
      </c>
      <c r="N86" s="56">
        <f t="shared" si="18"/>
        <v>0</v>
      </c>
      <c r="O86" s="56">
        <f>SUM(O74:O85)</f>
        <v>0</v>
      </c>
      <c r="P86" s="56">
        <f t="shared" si="18"/>
        <v>0</v>
      </c>
      <c r="Q86" s="56">
        <f t="shared" si="18"/>
        <v>0</v>
      </c>
      <c r="R86" s="56">
        <f t="shared" si="18"/>
        <v>0</v>
      </c>
      <c r="S86" s="56">
        <f t="shared" si="18"/>
        <v>0</v>
      </c>
    </row>
    <row r="87" spans="1:19" s="4" customFormat="1" x14ac:dyDescent="0.2">
      <c r="A87" s="8"/>
      <c r="B87" s="2" t="s">
        <v>378</v>
      </c>
      <c r="C87" s="10"/>
      <c r="D87" s="10"/>
      <c r="E87" s="9"/>
      <c r="F87" s="8"/>
      <c r="G87" s="89" t="s">
        <v>379</v>
      </c>
      <c r="H87" s="98"/>
      <c r="I87" s="85">
        <f t="shared" ref="I87:S87" si="19">(I14+I15)-(H14+H15-I58-I59+I45)</f>
        <v>0</v>
      </c>
      <c r="J87" s="85">
        <f t="shared" si="19"/>
        <v>9.9999999997635314E-4</v>
      </c>
      <c r="K87" s="85">
        <f t="shared" si="19"/>
        <v>0</v>
      </c>
      <c r="L87" s="85">
        <f t="shared" si="19"/>
        <v>0</v>
      </c>
      <c r="M87" s="85">
        <f t="shared" si="19"/>
        <v>0</v>
      </c>
      <c r="N87" s="85">
        <f>(N14+N15)-(M14+M15-N58-N59+N45)</f>
        <v>-2.7999999999991587E-2</v>
      </c>
      <c r="O87" s="85">
        <f>(O14+O15)-(N14+N15-O58-O59+O45)</f>
        <v>7.5999999999993406E-2</v>
      </c>
      <c r="P87" s="85">
        <f>(P14+P15)-(O14+O15-P58-P59+P45)</f>
        <v>0</v>
      </c>
      <c r="Q87" s="85">
        <f>(Q14+Q15)-(P14+P15-Q58-Q59+Q45)</f>
        <v>0</v>
      </c>
      <c r="R87" s="85">
        <f>(R14+R15)-(Q14+Q15-R58-R59+R45)</f>
        <v>0</v>
      </c>
      <c r="S87" s="85">
        <f t="shared" si="19"/>
        <v>0</v>
      </c>
    </row>
    <row r="88" spans="1:19" s="4" customFormat="1" x14ac:dyDescent="0.2">
      <c r="A88" s="8"/>
      <c r="B88" s="2" t="s">
        <v>380</v>
      </c>
      <c r="C88" s="10"/>
      <c r="D88" s="10"/>
      <c r="E88" s="9"/>
      <c r="F88" s="8"/>
      <c r="G88" s="89" t="s">
        <v>381</v>
      </c>
      <c r="H88" s="98"/>
      <c r="I88" s="85">
        <f>I24-(H24+(I74+I76)+(I75+I77)+(I78))</f>
        <v>-71.171000000000006</v>
      </c>
      <c r="J88" s="85">
        <f>J24-(I24+(J74+J76)+(J75+J77)+(J78))</f>
        <v>0</v>
      </c>
      <c r="K88" s="85">
        <f>K24-(J24+(K74+K76)+(K75+K77)+(K78))</f>
        <v>0</v>
      </c>
      <c r="L88" s="85">
        <f>L24-(K24+(L74+L76)+(L75+L77)+(L78))</f>
        <v>0</v>
      </c>
      <c r="M88" s="85">
        <f>M24-(L24+(M74+M76)+(M75+M77)+(M78))</f>
        <v>0</v>
      </c>
      <c r="N88" s="85">
        <f t="shared" ref="N88:S88" si="20">N24-(M24+(N74+N76)+(N75+N77)+(N78))</f>
        <v>0</v>
      </c>
      <c r="O88" s="85">
        <f t="shared" si="20"/>
        <v>0</v>
      </c>
      <c r="P88" s="85">
        <f t="shared" si="20"/>
        <v>0</v>
      </c>
      <c r="Q88" s="85">
        <f>Q24-(P24+(Q74+Q76)+(Q75+Q77)+(Q78))</f>
        <v>0</v>
      </c>
      <c r="R88" s="85">
        <f t="shared" si="20"/>
        <v>0</v>
      </c>
      <c r="S88" s="85">
        <f t="shared" si="20"/>
        <v>0</v>
      </c>
    </row>
    <row r="89" spans="1:19" s="4" customFormat="1" x14ac:dyDescent="0.2">
      <c r="A89" s="8"/>
      <c r="B89" s="2" t="s">
        <v>382</v>
      </c>
      <c r="C89" s="10"/>
      <c r="D89" s="10"/>
      <c r="E89" s="9"/>
      <c r="F89" s="8"/>
      <c r="G89" s="89" t="s">
        <v>383</v>
      </c>
      <c r="H89" s="98"/>
      <c r="I89" s="85">
        <f t="shared" ref="I89:S89" si="21">I28-(H28+(I82+I83))</f>
        <v>0</v>
      </c>
      <c r="J89" s="85">
        <f t="shared" si="21"/>
        <v>0</v>
      </c>
      <c r="K89" s="85">
        <f t="shared" si="21"/>
        <v>0</v>
      </c>
      <c r="L89" s="85">
        <f t="shared" si="21"/>
        <v>0</v>
      </c>
      <c r="M89" s="85">
        <f t="shared" si="21"/>
        <v>0</v>
      </c>
      <c r="N89" s="85">
        <f t="shared" si="21"/>
        <v>0</v>
      </c>
      <c r="O89" s="85">
        <f t="shared" si="21"/>
        <v>0</v>
      </c>
      <c r="P89" s="85">
        <f t="shared" si="21"/>
        <v>0</v>
      </c>
      <c r="Q89" s="85">
        <f t="shared" si="21"/>
        <v>0</v>
      </c>
      <c r="R89" s="85">
        <f t="shared" si="21"/>
        <v>0</v>
      </c>
      <c r="S89" s="85">
        <f t="shared" si="21"/>
        <v>0</v>
      </c>
    </row>
    <row r="90" spans="1:19" s="4" customFormat="1" x14ac:dyDescent="0.2">
      <c r="A90" s="8"/>
      <c r="B90" s="2" t="s">
        <v>384</v>
      </c>
      <c r="C90" s="10"/>
      <c r="D90" s="10"/>
      <c r="E90" s="9"/>
      <c r="F90" s="8"/>
      <c r="G90" s="89" t="s">
        <v>385</v>
      </c>
      <c r="H90" s="98"/>
      <c r="I90" s="85">
        <f t="shared" ref="I90:S90" si="22">I29-(H29+H30)-I84</f>
        <v>71.170999999999992</v>
      </c>
      <c r="J90" s="85">
        <f t="shared" si="22"/>
        <v>0</v>
      </c>
      <c r="K90" s="85">
        <f t="shared" si="22"/>
        <v>-1.0000000000047748E-3</v>
      </c>
      <c r="L90" s="85">
        <f t="shared" si="22"/>
        <v>0</v>
      </c>
      <c r="M90" s="85">
        <f t="shared" si="22"/>
        <v>1.0000000000331966E-3</v>
      </c>
      <c r="N90" s="85">
        <f t="shared" si="22"/>
        <v>-1.0000000000047748E-3</v>
      </c>
      <c r="O90" s="85">
        <f>O29-(N29+N30)-O84</f>
        <v>0</v>
      </c>
      <c r="P90" s="85">
        <f t="shared" si="22"/>
        <v>-1.8000000000000682E-2</v>
      </c>
      <c r="Q90" s="85">
        <f t="shared" si="22"/>
        <v>0</v>
      </c>
      <c r="R90" s="85">
        <f t="shared" si="22"/>
        <v>0</v>
      </c>
      <c r="S90" s="85">
        <f t="shared" si="22"/>
        <v>0</v>
      </c>
    </row>
    <row r="91" spans="1:19" s="4" customFormat="1" x14ac:dyDescent="0.2">
      <c r="A91" s="8"/>
      <c r="B91" s="2"/>
      <c r="C91" s="10"/>
      <c r="D91" s="10"/>
      <c r="E91" s="9"/>
      <c r="F91" s="8"/>
      <c r="G91" s="28"/>
      <c r="L91" s="93">
        <f>L90-L87</f>
        <v>0</v>
      </c>
    </row>
    <row r="92" spans="1:19" s="4" customFormat="1" x14ac:dyDescent="0.2">
      <c r="A92" s="13" t="s">
        <v>0</v>
      </c>
      <c r="B92" s="2"/>
      <c r="C92" s="10"/>
      <c r="D92" s="753" t="s">
        <v>187</v>
      </c>
      <c r="E92" s="754"/>
      <c r="F92" s="8"/>
      <c r="G92" s="94" t="s">
        <v>386</v>
      </c>
      <c r="H92" s="87">
        <f>H73</f>
        <v>2011</v>
      </c>
      <c r="I92" s="87">
        <f t="shared" ref="I92:S92" si="23">I73</f>
        <v>2012</v>
      </c>
      <c r="J92" s="87">
        <f t="shared" si="23"/>
        <v>2013</v>
      </c>
      <c r="K92" s="87">
        <f t="shared" si="23"/>
        <v>2014</v>
      </c>
      <c r="L92" s="87">
        <f t="shared" si="23"/>
        <v>2015</v>
      </c>
      <c r="M92" s="87">
        <f t="shared" si="23"/>
        <v>2016</v>
      </c>
      <c r="N92" s="87">
        <f t="shared" si="23"/>
        <v>2017</v>
      </c>
      <c r="O92" s="87">
        <f t="shared" si="23"/>
        <v>2018</v>
      </c>
      <c r="P92" s="87">
        <f t="shared" si="23"/>
        <v>2019</v>
      </c>
      <c r="Q92" s="87">
        <f t="shared" si="23"/>
        <v>2020</v>
      </c>
      <c r="R92" s="87">
        <f t="shared" si="23"/>
        <v>2021</v>
      </c>
      <c r="S92" s="87">
        <f t="shared" si="23"/>
        <v>2022</v>
      </c>
    </row>
    <row r="93" spans="1:19" s="4" customFormat="1" x14ac:dyDescent="0.2">
      <c r="A93" s="8"/>
      <c r="B93" s="2" t="s">
        <v>387</v>
      </c>
      <c r="C93" s="10" t="s">
        <v>388</v>
      </c>
      <c r="D93" s="10"/>
      <c r="E93" s="9"/>
      <c r="F93" s="8"/>
      <c r="G93" s="95" t="s">
        <v>389</v>
      </c>
      <c r="H93" s="96">
        <f>H5+H11+H12+H13</f>
        <v>575.50099999999986</v>
      </c>
      <c r="I93" s="96">
        <f>I5+I11+I12+I13</f>
        <v>499.90700000000004</v>
      </c>
      <c r="J93" s="96">
        <f t="shared" ref="J93:S93" si="24">J5+J11+J12+J13</f>
        <v>1022.8430000000001</v>
      </c>
      <c r="K93" s="96">
        <f t="shared" si="24"/>
        <v>919.68399999999997</v>
      </c>
      <c r="L93" s="96">
        <f t="shared" si="24"/>
        <v>1381.425</v>
      </c>
      <c r="M93" s="96">
        <f t="shared" si="24"/>
        <v>1212.5039999999999</v>
      </c>
      <c r="N93" s="96">
        <f t="shared" si="24"/>
        <v>2389.8149999999996</v>
      </c>
      <c r="O93" s="96">
        <f t="shared" si="24"/>
        <v>1304</v>
      </c>
      <c r="P93" s="96">
        <f t="shared" si="24"/>
        <v>1129</v>
      </c>
      <c r="Q93" s="96">
        <f t="shared" si="24"/>
        <v>1134</v>
      </c>
      <c r="R93" s="96">
        <f t="shared" si="24"/>
        <v>1134</v>
      </c>
      <c r="S93" s="96">
        <f t="shared" si="24"/>
        <v>1134</v>
      </c>
    </row>
    <row r="94" spans="1:19" s="4" customFormat="1" x14ac:dyDescent="0.2">
      <c r="A94" s="8"/>
      <c r="B94" s="2" t="s">
        <v>390</v>
      </c>
      <c r="C94" s="10"/>
      <c r="D94" s="10"/>
      <c r="E94" s="9"/>
      <c r="F94" s="8"/>
      <c r="G94" s="97" t="s">
        <v>391</v>
      </c>
      <c r="H94" s="98"/>
      <c r="I94" s="96">
        <f>I93-H93</f>
        <v>-75.593999999999824</v>
      </c>
      <c r="J94" s="96">
        <f t="shared" ref="J94:S94" si="25">J93-I93</f>
        <v>522.93600000000004</v>
      </c>
      <c r="K94" s="96">
        <f t="shared" si="25"/>
        <v>-103.15900000000011</v>
      </c>
      <c r="L94" s="96">
        <f t="shared" si="25"/>
        <v>461.74099999999999</v>
      </c>
      <c r="M94" s="96">
        <f t="shared" si="25"/>
        <v>-168.92100000000005</v>
      </c>
      <c r="N94" s="96">
        <f t="shared" si="25"/>
        <v>1177.3109999999997</v>
      </c>
      <c r="O94" s="96">
        <f t="shared" si="25"/>
        <v>-1085.8149999999996</v>
      </c>
      <c r="P94" s="96">
        <f t="shared" si="25"/>
        <v>-175</v>
      </c>
      <c r="Q94" s="96">
        <f t="shared" si="25"/>
        <v>5</v>
      </c>
      <c r="R94" s="96">
        <f t="shared" si="25"/>
        <v>0</v>
      </c>
      <c r="S94" s="96">
        <f t="shared" si="25"/>
        <v>0</v>
      </c>
    </row>
    <row r="95" spans="1:19" s="4" customFormat="1" x14ac:dyDescent="0.2">
      <c r="A95" s="8"/>
      <c r="B95" s="2" t="s">
        <v>392</v>
      </c>
      <c r="C95" s="10" t="s">
        <v>42</v>
      </c>
      <c r="D95" s="10"/>
      <c r="E95" s="9"/>
      <c r="F95" s="8"/>
      <c r="G95" s="95" t="s">
        <v>393</v>
      </c>
      <c r="H95" s="96">
        <f>H19</f>
        <v>632.86800000000005</v>
      </c>
      <c r="I95" s="96">
        <f t="shared" ref="I95:S95" si="26">I19</f>
        <v>398.495</v>
      </c>
      <c r="J95" s="96">
        <f t="shared" si="26"/>
        <v>899.13599999999997</v>
      </c>
      <c r="K95" s="96">
        <f t="shared" si="26"/>
        <v>719.26700000000005</v>
      </c>
      <c r="L95" s="96">
        <f t="shared" si="26"/>
        <v>1137.8969999999999</v>
      </c>
      <c r="M95" s="96">
        <f t="shared" si="26"/>
        <v>998.58</v>
      </c>
      <c r="N95" s="96">
        <f>N19</f>
        <v>2134.79</v>
      </c>
      <c r="O95" s="96">
        <f t="shared" si="26"/>
        <v>1030</v>
      </c>
      <c r="P95" s="96">
        <f t="shared" si="26"/>
        <v>840</v>
      </c>
      <c r="Q95" s="96">
        <f t="shared" si="26"/>
        <v>820</v>
      </c>
      <c r="R95" s="96">
        <f t="shared" si="26"/>
        <v>800</v>
      </c>
      <c r="S95" s="96">
        <f t="shared" si="26"/>
        <v>780</v>
      </c>
    </row>
    <row r="96" spans="1:19" s="4" customFormat="1" x14ac:dyDescent="0.2">
      <c r="A96" s="8"/>
      <c r="B96" s="2" t="s">
        <v>394</v>
      </c>
      <c r="C96" s="10"/>
      <c r="D96" s="10"/>
      <c r="E96" s="9"/>
      <c r="F96" s="8"/>
      <c r="G96" s="97" t="s">
        <v>391</v>
      </c>
      <c r="H96" s="98"/>
      <c r="I96" s="96">
        <f>I95-H95</f>
        <v>-234.37300000000005</v>
      </c>
      <c r="J96" s="96">
        <f t="shared" ref="J96:S96" si="27">J95-I95</f>
        <v>500.64099999999996</v>
      </c>
      <c r="K96" s="96">
        <f t="shared" si="27"/>
        <v>-179.86899999999991</v>
      </c>
      <c r="L96" s="96">
        <f t="shared" si="27"/>
        <v>418.62999999999988</v>
      </c>
      <c r="M96" s="96">
        <f t="shared" si="27"/>
        <v>-139.31699999999989</v>
      </c>
      <c r="N96" s="96">
        <f t="shared" si="27"/>
        <v>1136.21</v>
      </c>
      <c r="O96" s="96">
        <f t="shared" si="27"/>
        <v>-1104.79</v>
      </c>
      <c r="P96" s="96">
        <f>P95-O95</f>
        <v>-190</v>
      </c>
      <c r="Q96" s="96">
        <f>Q95-P95</f>
        <v>-20</v>
      </c>
      <c r="R96" s="96">
        <f t="shared" si="27"/>
        <v>-20</v>
      </c>
      <c r="S96" s="96">
        <f t="shared" si="27"/>
        <v>-20</v>
      </c>
    </row>
    <row r="97" spans="1:20" s="40" customFormat="1" x14ac:dyDescent="0.2">
      <c r="A97" s="29" t="s">
        <v>395</v>
      </c>
      <c r="B97" s="2" t="s">
        <v>188</v>
      </c>
      <c r="C97" s="10" t="s">
        <v>396</v>
      </c>
      <c r="D97" s="99"/>
      <c r="E97" s="30"/>
      <c r="F97" s="29"/>
      <c r="G97" s="100" t="s">
        <v>386</v>
      </c>
      <c r="H97" s="101"/>
      <c r="I97" s="102">
        <f>I94-I96</f>
        <v>158.77900000000022</v>
      </c>
      <c r="J97" s="102">
        <f t="shared" ref="J97:S97" si="28">J94-J96</f>
        <v>22.295000000000073</v>
      </c>
      <c r="K97" s="102">
        <f t="shared" si="28"/>
        <v>76.709999999999809</v>
      </c>
      <c r="L97" s="102">
        <f t="shared" si="28"/>
        <v>43.111000000000104</v>
      </c>
      <c r="M97" s="102">
        <f t="shared" si="28"/>
        <v>-29.604000000000156</v>
      </c>
      <c r="N97" s="102">
        <f t="shared" si="28"/>
        <v>41.100999999999658</v>
      </c>
      <c r="O97" s="102">
        <f t="shared" si="28"/>
        <v>18.975000000000364</v>
      </c>
      <c r="P97" s="102">
        <f>P94-P96</f>
        <v>15</v>
      </c>
      <c r="Q97" s="102">
        <f>Q94-Q96</f>
        <v>25</v>
      </c>
      <c r="R97" s="102">
        <f t="shared" si="28"/>
        <v>20</v>
      </c>
      <c r="S97" s="102">
        <f t="shared" si="28"/>
        <v>20</v>
      </c>
    </row>
    <row r="98" spans="1:20" s="4" customFormat="1" x14ac:dyDescent="0.2">
      <c r="A98" s="8"/>
      <c r="B98" s="2"/>
      <c r="C98" s="10"/>
      <c r="D98" s="10"/>
      <c r="E98" s="9"/>
      <c r="F98" s="8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</row>
    <row r="99" spans="1:20" s="4" customFormat="1" x14ac:dyDescent="0.2">
      <c r="A99" s="8"/>
      <c r="B99" s="2" t="s">
        <v>397</v>
      </c>
      <c r="C99" s="10" t="s">
        <v>398</v>
      </c>
      <c r="D99" s="10"/>
      <c r="E99" s="9"/>
      <c r="F99" s="8"/>
      <c r="G99" s="95" t="s">
        <v>399</v>
      </c>
      <c r="H99" s="96">
        <f>H4-H93</f>
        <v>267.95999999999992</v>
      </c>
      <c r="I99" s="96">
        <f t="shared" ref="I99:S99" si="29">I4-I93</f>
        <v>214.82000000000005</v>
      </c>
      <c r="J99" s="96">
        <f t="shared" si="29"/>
        <v>286.88100000000009</v>
      </c>
      <c r="K99" s="96">
        <f t="shared" si="29"/>
        <v>229.09999999999991</v>
      </c>
      <c r="L99" s="96">
        <f t="shared" si="29"/>
        <v>183.55799999999999</v>
      </c>
      <c r="M99" s="96">
        <f t="shared" si="29"/>
        <v>131.952</v>
      </c>
      <c r="N99" s="96">
        <f t="shared" si="29"/>
        <v>138.92399999999998</v>
      </c>
      <c r="O99" s="96">
        <f t="shared" si="29"/>
        <v>120</v>
      </c>
      <c r="P99" s="96">
        <f t="shared" si="29"/>
        <v>105</v>
      </c>
      <c r="Q99" s="96">
        <f t="shared" si="29"/>
        <v>80</v>
      </c>
      <c r="R99" s="96">
        <f t="shared" si="29"/>
        <v>60</v>
      </c>
      <c r="S99" s="96">
        <f t="shared" si="29"/>
        <v>40</v>
      </c>
    </row>
    <row r="100" spans="1:20" s="4" customFormat="1" x14ac:dyDescent="0.2">
      <c r="A100" s="8"/>
      <c r="B100" s="2" t="s">
        <v>400</v>
      </c>
      <c r="C100" s="10"/>
      <c r="D100" s="10"/>
      <c r="E100" s="9"/>
      <c r="F100" s="8"/>
      <c r="G100" s="97" t="s">
        <v>391</v>
      </c>
      <c r="H100" s="98"/>
      <c r="I100" s="96">
        <f>I99-H99</f>
        <v>-53.139999999999873</v>
      </c>
      <c r="J100" s="96">
        <f t="shared" ref="J100:S100" si="30">J99-I99</f>
        <v>72.061000000000035</v>
      </c>
      <c r="K100" s="96">
        <f t="shared" si="30"/>
        <v>-57.781000000000176</v>
      </c>
      <c r="L100" s="96">
        <f t="shared" si="30"/>
        <v>-45.541999999999916</v>
      </c>
      <c r="M100" s="96">
        <f t="shared" si="30"/>
        <v>-51.605999999999995</v>
      </c>
      <c r="N100" s="96">
        <f t="shared" si="30"/>
        <v>6.97199999999998</v>
      </c>
      <c r="O100" s="96">
        <f t="shared" si="30"/>
        <v>-18.923999999999978</v>
      </c>
      <c r="P100" s="96">
        <f t="shared" si="30"/>
        <v>-15</v>
      </c>
      <c r="Q100" s="96">
        <f t="shared" si="30"/>
        <v>-25</v>
      </c>
      <c r="R100" s="96">
        <f t="shared" si="30"/>
        <v>-20</v>
      </c>
      <c r="S100" s="96">
        <f t="shared" si="30"/>
        <v>-20</v>
      </c>
    </row>
    <row r="101" spans="1:20" s="4" customFormat="1" x14ac:dyDescent="0.2">
      <c r="A101" s="8"/>
      <c r="B101" s="2" t="s">
        <v>401</v>
      </c>
      <c r="C101" s="10" t="s">
        <v>64</v>
      </c>
      <c r="D101" s="10"/>
      <c r="E101" s="9"/>
      <c r="F101" s="8"/>
      <c r="G101" s="95" t="s">
        <v>402</v>
      </c>
      <c r="H101" s="96">
        <f>H27</f>
        <v>210.59299999999996</v>
      </c>
      <c r="I101" s="96">
        <f t="shared" ref="I101:S101" si="31">I27</f>
        <v>316.23200000000003</v>
      </c>
      <c r="J101" s="96">
        <f t="shared" si="31"/>
        <v>410.58799999999997</v>
      </c>
      <c r="K101" s="96">
        <f t="shared" si="31"/>
        <v>429.51599999999996</v>
      </c>
      <c r="L101" s="96">
        <f t="shared" si="31"/>
        <v>427.08499999999998</v>
      </c>
      <c r="M101" s="96">
        <f t="shared" si="31"/>
        <v>345.87700000000001</v>
      </c>
      <c r="N101" s="96">
        <f t="shared" si="31"/>
        <v>393.88099999999997</v>
      </c>
      <c r="O101" s="96">
        <f t="shared" si="31"/>
        <v>393.88099999999997</v>
      </c>
      <c r="P101" s="96">
        <f t="shared" si="31"/>
        <v>393.863</v>
      </c>
      <c r="Q101" s="96">
        <f t="shared" si="31"/>
        <v>393.863</v>
      </c>
      <c r="R101" s="96">
        <f t="shared" si="31"/>
        <v>393.863</v>
      </c>
      <c r="S101" s="96">
        <f t="shared" si="31"/>
        <v>393.863</v>
      </c>
    </row>
    <row r="102" spans="1:20" s="4" customFormat="1" x14ac:dyDescent="0.2">
      <c r="A102" s="8"/>
      <c r="B102" s="2" t="s">
        <v>403</v>
      </c>
      <c r="C102" s="10"/>
      <c r="D102" s="10"/>
      <c r="E102" s="9"/>
      <c r="F102" s="8"/>
      <c r="G102" s="97" t="s">
        <v>391</v>
      </c>
      <c r="H102" s="98"/>
      <c r="I102" s="96">
        <f>I101-H101</f>
        <v>105.63900000000007</v>
      </c>
      <c r="J102" s="96">
        <f t="shared" ref="J102:S102" si="32">J101-I101</f>
        <v>94.355999999999938</v>
      </c>
      <c r="K102" s="96">
        <f t="shared" si="32"/>
        <v>18.927999999999997</v>
      </c>
      <c r="L102" s="96">
        <f t="shared" si="32"/>
        <v>-2.4309999999999832</v>
      </c>
      <c r="M102" s="96">
        <f t="shared" si="32"/>
        <v>-81.20799999999997</v>
      </c>
      <c r="N102" s="96">
        <f t="shared" si="32"/>
        <v>48.003999999999962</v>
      </c>
      <c r="O102" s="96">
        <f t="shared" si="32"/>
        <v>0</v>
      </c>
      <c r="P102" s="96">
        <f t="shared" si="32"/>
        <v>-1.799999999997226E-2</v>
      </c>
      <c r="Q102" s="96">
        <f t="shared" si="32"/>
        <v>0</v>
      </c>
      <c r="R102" s="96">
        <f t="shared" si="32"/>
        <v>0</v>
      </c>
      <c r="S102" s="96">
        <f t="shared" si="32"/>
        <v>0</v>
      </c>
    </row>
    <row r="103" spans="1:20" s="40" customFormat="1" x14ac:dyDescent="0.2">
      <c r="A103" s="29" t="s">
        <v>404</v>
      </c>
      <c r="B103" s="2" t="s">
        <v>189</v>
      </c>
      <c r="C103" s="10" t="s">
        <v>405</v>
      </c>
      <c r="D103" s="10"/>
      <c r="E103" s="9"/>
      <c r="F103" s="8"/>
      <c r="G103" s="100" t="s">
        <v>406</v>
      </c>
      <c r="H103" s="101"/>
      <c r="I103" s="102">
        <f>I102-I100</f>
        <v>158.77899999999994</v>
      </c>
      <c r="J103" s="102">
        <f t="shared" ref="J103:S103" si="33">J102-J100</f>
        <v>22.294999999999902</v>
      </c>
      <c r="K103" s="102">
        <f t="shared" si="33"/>
        <v>76.709000000000174</v>
      </c>
      <c r="L103" s="102">
        <f t="shared" si="33"/>
        <v>43.110999999999933</v>
      </c>
      <c r="M103" s="102">
        <f t="shared" si="33"/>
        <v>-29.601999999999975</v>
      </c>
      <c r="N103" s="102">
        <f t="shared" si="33"/>
        <v>41.031999999999982</v>
      </c>
      <c r="O103" s="102">
        <f t="shared" si="33"/>
        <v>18.923999999999978</v>
      </c>
      <c r="P103" s="102">
        <f t="shared" si="33"/>
        <v>14.982000000000028</v>
      </c>
      <c r="Q103" s="102">
        <f t="shared" si="33"/>
        <v>25</v>
      </c>
      <c r="R103" s="102">
        <f t="shared" si="33"/>
        <v>20</v>
      </c>
      <c r="S103" s="102">
        <f t="shared" si="33"/>
        <v>20</v>
      </c>
    </row>
    <row r="104" spans="1:20" s="4" customFormat="1" x14ac:dyDescent="0.2">
      <c r="A104" s="8"/>
      <c r="B104" s="2"/>
      <c r="C104" s="10"/>
      <c r="D104" s="10"/>
      <c r="E104" s="9"/>
      <c r="F104" s="8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</row>
    <row r="105" spans="1:20" s="4" customFormat="1" x14ac:dyDescent="0.2">
      <c r="A105" s="13"/>
      <c r="B105" s="2"/>
      <c r="C105" s="10"/>
      <c r="D105" s="10"/>
      <c r="E105" s="9"/>
      <c r="F105" s="8"/>
      <c r="G105" s="94" t="s">
        <v>407</v>
      </c>
      <c r="H105" s="87">
        <f t="shared" ref="H105:S105" si="34">H32</f>
        <v>2011</v>
      </c>
      <c r="I105" s="87">
        <f t="shared" si="34"/>
        <v>2012</v>
      </c>
      <c r="J105" s="87">
        <f t="shared" si="34"/>
        <v>2013</v>
      </c>
      <c r="K105" s="87">
        <f t="shared" si="34"/>
        <v>2014</v>
      </c>
      <c r="L105" s="87">
        <f t="shared" si="34"/>
        <v>2015</v>
      </c>
      <c r="M105" s="87">
        <f t="shared" si="34"/>
        <v>2016</v>
      </c>
      <c r="N105" s="87">
        <f t="shared" si="34"/>
        <v>2017</v>
      </c>
      <c r="O105" s="87">
        <f t="shared" si="34"/>
        <v>2018</v>
      </c>
      <c r="P105" s="87">
        <f t="shared" si="34"/>
        <v>2019</v>
      </c>
      <c r="Q105" s="87">
        <f t="shared" si="34"/>
        <v>2020</v>
      </c>
      <c r="R105" s="87">
        <f t="shared" si="34"/>
        <v>2021</v>
      </c>
      <c r="S105" s="87">
        <f t="shared" si="34"/>
        <v>2022</v>
      </c>
    </row>
    <row r="106" spans="1:20" s="40" customFormat="1" x14ac:dyDescent="0.2">
      <c r="A106" s="29" t="s">
        <v>408</v>
      </c>
      <c r="B106" s="2" t="s">
        <v>192</v>
      </c>
      <c r="C106" s="29" t="s">
        <v>409</v>
      </c>
      <c r="D106" s="10"/>
      <c r="E106" s="9"/>
      <c r="F106" s="8"/>
      <c r="G106" s="103" t="s">
        <v>407</v>
      </c>
      <c r="H106" s="101" t="s">
        <v>358</v>
      </c>
      <c r="I106" s="104">
        <f>(I48-I45+I50)+(I58+I59)+(I82+I83+I84+I85)-(I85-I49)</f>
        <v>87.608000000000246</v>
      </c>
      <c r="J106" s="104">
        <f>(J48-J45+J50)+(J58+J59)+(J82+J83+J84+J85)-(J85-J49)</f>
        <v>22.29600000000012</v>
      </c>
      <c r="K106" s="104">
        <f>(K48-K45+K50)+(K58+K59)+(K82+K83+K84+K85)-(K85-K49)</f>
        <v>76.71000000000015</v>
      </c>
      <c r="L106" s="104">
        <f>(L48-L45+L50)+(L58+L59)+(L82+L83+L84+L85)-(L85-L49)</f>
        <v>43.111000000000409</v>
      </c>
      <c r="M106" s="104">
        <f>(M48-M45+M50)+(M58+M59)+(M82+M83+M84+M85)-(M85-M49)</f>
        <v>-29.603000000001337</v>
      </c>
      <c r="N106" s="104">
        <f t="shared" ref="N106:S106" si="35">(N48-N45+N50)+(N58+N59)+(N82+N83+N84+N85)-(N85-N49)</f>
        <v>40.704999999999472</v>
      </c>
      <c r="O106" s="104">
        <f t="shared" si="35"/>
        <v>19</v>
      </c>
      <c r="P106" s="104">
        <f t="shared" si="35"/>
        <v>15</v>
      </c>
      <c r="Q106" s="104">
        <f t="shared" si="35"/>
        <v>25</v>
      </c>
      <c r="R106" s="104">
        <f t="shared" si="35"/>
        <v>20</v>
      </c>
      <c r="S106" s="104">
        <f t="shared" si="35"/>
        <v>20</v>
      </c>
    </row>
    <row r="107" spans="1:20" s="40" customFormat="1" x14ac:dyDescent="0.2">
      <c r="A107" s="29" t="s">
        <v>410</v>
      </c>
      <c r="B107" s="2" t="s">
        <v>194</v>
      </c>
      <c r="C107" s="29" t="s">
        <v>411</v>
      </c>
      <c r="D107" s="10"/>
      <c r="E107" s="9"/>
      <c r="F107" s="8"/>
      <c r="G107" s="89" t="s">
        <v>412</v>
      </c>
      <c r="H107" s="101" t="s">
        <v>358</v>
      </c>
      <c r="I107" s="85">
        <f>I97-I106</f>
        <v>71.170999999999978</v>
      </c>
      <c r="J107" s="85">
        <f t="shared" ref="J107:S107" si="36">J97-J106</f>
        <v>-1.0000000000474074E-3</v>
      </c>
      <c r="K107" s="85">
        <f t="shared" si="36"/>
        <v>-3.4106051316484809E-13</v>
      </c>
      <c r="L107" s="85">
        <f t="shared" si="36"/>
        <v>-3.0553337637684308E-13</v>
      </c>
      <c r="M107" s="85">
        <f t="shared" si="36"/>
        <v>-9.9999999881816848E-4</v>
      </c>
      <c r="N107" s="85">
        <f t="shared" si="36"/>
        <v>0.39600000000018554</v>
      </c>
      <c r="O107" s="85">
        <f>O97-O106</f>
        <v>-2.4999999999636202E-2</v>
      </c>
      <c r="P107" s="85">
        <f>P97-P106</f>
        <v>0</v>
      </c>
      <c r="Q107" s="85">
        <f>Q97-Q106</f>
        <v>0</v>
      </c>
      <c r="R107" s="85">
        <f t="shared" si="36"/>
        <v>0</v>
      </c>
      <c r="S107" s="85">
        <f t="shared" si="36"/>
        <v>0</v>
      </c>
    </row>
    <row r="108" spans="1:20" s="40" customFormat="1" x14ac:dyDescent="0.2">
      <c r="A108" s="29"/>
      <c r="B108" s="2"/>
      <c r="C108" s="29"/>
      <c r="D108" s="10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</row>
    <row r="109" spans="1:20" s="40" customFormat="1" x14ac:dyDescent="0.2">
      <c r="A109" s="29"/>
      <c r="B109" s="2"/>
      <c r="C109" s="29"/>
      <c r="D109" s="10"/>
      <c r="E109" s="9"/>
      <c r="F109" s="8"/>
      <c r="G109" s="94" t="s">
        <v>413</v>
      </c>
      <c r="H109" s="87">
        <f>H105</f>
        <v>2011</v>
      </c>
      <c r="I109" s="87">
        <f t="shared" ref="I109:S109" si="37">I105</f>
        <v>2012</v>
      </c>
      <c r="J109" s="87">
        <f t="shared" si="37"/>
        <v>2013</v>
      </c>
      <c r="K109" s="87">
        <f t="shared" si="37"/>
        <v>2014</v>
      </c>
      <c r="L109" s="87">
        <f t="shared" si="37"/>
        <v>2015</v>
      </c>
      <c r="M109" s="87">
        <f t="shared" si="37"/>
        <v>2016</v>
      </c>
      <c r="N109" s="87">
        <f t="shared" si="37"/>
        <v>2017</v>
      </c>
      <c r="O109" s="87">
        <f t="shared" si="37"/>
        <v>2018</v>
      </c>
      <c r="P109" s="87">
        <f t="shared" si="37"/>
        <v>2019</v>
      </c>
      <c r="Q109" s="87">
        <f t="shared" si="37"/>
        <v>2020</v>
      </c>
      <c r="R109" s="87">
        <f t="shared" si="37"/>
        <v>2021</v>
      </c>
      <c r="S109" s="87">
        <f t="shared" si="37"/>
        <v>2022</v>
      </c>
    </row>
    <row r="110" spans="1:20" s="4" customFormat="1" x14ac:dyDescent="0.2">
      <c r="A110" s="8" t="s">
        <v>414</v>
      </c>
      <c r="B110" s="2" t="s">
        <v>415</v>
      </c>
      <c r="C110" s="34" t="s">
        <v>190</v>
      </c>
      <c r="D110" s="10"/>
      <c r="E110" s="9"/>
      <c r="F110" s="8"/>
      <c r="G110" s="103" t="s">
        <v>191</v>
      </c>
      <c r="H110" s="105">
        <f t="shared" ref="H110:S110" si="38">H33+H38+H41-H45</f>
        <v>-49.946000000000303</v>
      </c>
      <c r="I110" s="77">
        <f t="shared" si="38"/>
        <v>91.457000000000249</v>
      </c>
      <c r="J110" s="77">
        <f t="shared" si="38"/>
        <v>141.27100000000013</v>
      </c>
      <c r="K110" s="77">
        <f t="shared" si="38"/>
        <v>76.659000000000162</v>
      </c>
      <c r="L110" s="77">
        <f t="shared" si="38"/>
        <v>45.471000000000409</v>
      </c>
      <c r="M110" s="77">
        <f t="shared" si="38"/>
        <v>-27.16000000000134</v>
      </c>
      <c r="N110" s="77">
        <f t="shared" si="38"/>
        <v>47.704999999999472</v>
      </c>
      <c r="O110" s="77">
        <f>O33+O38+O41-O45</f>
        <v>23</v>
      </c>
      <c r="P110" s="77">
        <f t="shared" si="38"/>
        <v>20</v>
      </c>
      <c r="Q110" s="77">
        <f t="shared" si="38"/>
        <v>30</v>
      </c>
      <c r="R110" s="77">
        <f t="shared" si="38"/>
        <v>30</v>
      </c>
      <c r="S110" s="77">
        <f t="shared" si="38"/>
        <v>30</v>
      </c>
    </row>
    <row r="111" spans="1:20" s="4" customFormat="1" x14ac:dyDescent="0.2">
      <c r="A111" s="8" t="s">
        <v>416</v>
      </c>
      <c r="B111" s="2" t="s">
        <v>197</v>
      </c>
      <c r="C111" s="8" t="s">
        <v>417</v>
      </c>
      <c r="D111" s="10"/>
      <c r="E111" s="106">
        <v>0</v>
      </c>
      <c r="F111" s="8"/>
      <c r="G111" s="46" t="s">
        <v>193</v>
      </c>
      <c r="H111" s="107">
        <f t="shared" ref="H111:S111" si="39">H110/H33</f>
        <v>-1.1132302690042803E-2</v>
      </c>
      <c r="I111" s="108">
        <f t="shared" si="39"/>
        <v>1.9039710110592627E-2</v>
      </c>
      <c r="J111" s="108">
        <f t="shared" si="39"/>
        <v>2.9711376640507742E-2</v>
      </c>
      <c r="K111" s="108">
        <f t="shared" si="39"/>
        <v>1.3007087478979463E-2</v>
      </c>
      <c r="L111" s="108">
        <f t="shared" si="39"/>
        <v>8.5228742391061443E-3</v>
      </c>
      <c r="M111" s="108">
        <f t="shared" si="39"/>
        <v>-2.9077214886721811E-3</v>
      </c>
      <c r="N111" s="108">
        <f t="shared" si="39"/>
        <v>5.8642356610187178E-3</v>
      </c>
      <c r="O111" s="108">
        <f t="shared" si="39"/>
        <v>2.2222222222222222E-3</v>
      </c>
      <c r="P111" s="108">
        <f t="shared" si="39"/>
        <v>1.9353590090961873E-3</v>
      </c>
      <c r="Q111" s="108">
        <f t="shared" si="39"/>
        <v>2.9030385136442809E-3</v>
      </c>
      <c r="R111" s="108">
        <f t="shared" si="39"/>
        <v>2.9030385136442809E-3</v>
      </c>
      <c r="S111" s="108">
        <f t="shared" si="39"/>
        <v>2.9030385136442809E-3</v>
      </c>
    </row>
    <row r="112" spans="1:20" s="4" customFormat="1" x14ac:dyDescent="0.2">
      <c r="A112" s="8" t="s">
        <v>418</v>
      </c>
      <c r="B112" s="2" t="s">
        <v>200</v>
      </c>
      <c r="C112" s="34" t="s">
        <v>195</v>
      </c>
      <c r="D112" s="10"/>
      <c r="E112" s="109"/>
      <c r="F112" s="8"/>
      <c r="G112" s="110" t="s">
        <v>196</v>
      </c>
      <c r="H112" s="111">
        <f t="shared" ref="H112:S112" si="40">-H33/(H38+H41)</f>
        <v>0.97626797706612356</v>
      </c>
      <c r="I112" s="111">
        <f t="shared" si="40"/>
        <v>1.0072177670046436</v>
      </c>
      <c r="J112" s="111">
        <f t="shared" si="40"/>
        <v>1.0202429514657103</v>
      </c>
      <c r="K112" s="111">
        <f t="shared" si="40"/>
        <v>1.003213410601804</v>
      </c>
      <c r="L112" s="111">
        <f t="shared" si="40"/>
        <v>0.99911084810259332</v>
      </c>
      <c r="M112" s="111">
        <f t="shared" si="40"/>
        <v>0.99103451744206006</v>
      </c>
      <c r="N112" s="111">
        <f t="shared" si="40"/>
        <v>1.0058988277772281</v>
      </c>
      <c r="O112" s="111">
        <f t="shared" si="40"/>
        <v>1</v>
      </c>
      <c r="P112" s="111">
        <f t="shared" si="40"/>
        <v>1</v>
      </c>
      <c r="Q112" s="111">
        <f t="shared" si="40"/>
        <v>1</v>
      </c>
      <c r="R112" s="111">
        <f t="shared" si="40"/>
        <v>1</v>
      </c>
      <c r="S112" s="111">
        <f t="shared" si="40"/>
        <v>1</v>
      </c>
    </row>
    <row r="113" spans="1:20" s="4" customFormat="1" x14ac:dyDescent="0.2">
      <c r="A113" s="8" t="s">
        <v>419</v>
      </c>
      <c r="B113" s="2" t="s">
        <v>420</v>
      </c>
      <c r="C113" s="8" t="s">
        <v>198</v>
      </c>
      <c r="D113" s="10"/>
      <c r="E113" s="109"/>
      <c r="F113" s="8"/>
      <c r="G113" s="103" t="s">
        <v>199</v>
      </c>
      <c r="H113" s="105">
        <f t="shared" ref="H113:S113" si="41">H46</f>
        <v>-109.06400000000031</v>
      </c>
      <c r="I113" s="105">
        <f t="shared" si="41"/>
        <v>34.422000000000253</v>
      </c>
      <c r="J113" s="105">
        <f t="shared" si="41"/>
        <v>94.341000000000122</v>
      </c>
      <c r="K113" s="105">
        <f t="shared" si="41"/>
        <v>18.878000000000156</v>
      </c>
      <c r="L113" s="105">
        <f t="shared" si="41"/>
        <v>-4.7479999999995925</v>
      </c>
      <c r="M113" s="105">
        <f t="shared" si="41"/>
        <v>-84.501000000001341</v>
      </c>
      <c r="N113" s="105">
        <f t="shared" si="41"/>
        <v>47.704999999999472</v>
      </c>
      <c r="O113" s="105">
        <f t="shared" si="41"/>
        <v>0</v>
      </c>
      <c r="P113" s="105">
        <f t="shared" si="41"/>
        <v>0</v>
      </c>
      <c r="Q113" s="105">
        <f t="shared" si="41"/>
        <v>0</v>
      </c>
      <c r="R113" s="105">
        <f t="shared" si="41"/>
        <v>0</v>
      </c>
      <c r="S113" s="105">
        <f t="shared" si="41"/>
        <v>0</v>
      </c>
    </row>
    <row r="114" spans="1:20" s="4" customFormat="1" x14ac:dyDescent="0.2">
      <c r="A114" s="8" t="s">
        <v>421</v>
      </c>
      <c r="B114" s="2" t="s">
        <v>422</v>
      </c>
      <c r="C114" s="8" t="s">
        <v>201</v>
      </c>
      <c r="D114" s="106">
        <v>-0.3</v>
      </c>
      <c r="E114" s="106">
        <v>0</v>
      </c>
      <c r="F114" s="8"/>
      <c r="G114" s="110" t="s">
        <v>202</v>
      </c>
      <c r="H114" s="112">
        <f t="shared" ref="H114:S114" si="42">H46/H33</f>
        <v>-2.4308922848412771E-2</v>
      </c>
      <c r="I114" s="113">
        <f t="shared" si="42"/>
        <v>7.1660441674975392E-3</v>
      </c>
      <c r="J114" s="113">
        <f t="shared" si="42"/>
        <v>1.984130489373008E-2</v>
      </c>
      <c r="K114" s="113">
        <f t="shared" si="42"/>
        <v>3.2031176695257674E-3</v>
      </c>
      <c r="L114" s="113">
        <f t="shared" si="42"/>
        <v>-8.8994319208445243E-4</v>
      </c>
      <c r="M114" s="113">
        <f t="shared" si="42"/>
        <v>-9.0465895992002856E-3</v>
      </c>
      <c r="N114" s="113">
        <f t="shared" si="42"/>
        <v>5.8642356610187178E-3</v>
      </c>
      <c r="O114" s="113">
        <f t="shared" si="42"/>
        <v>0</v>
      </c>
      <c r="P114" s="113">
        <f t="shared" si="42"/>
        <v>0</v>
      </c>
      <c r="Q114" s="113">
        <f t="shared" si="42"/>
        <v>0</v>
      </c>
      <c r="R114" s="113">
        <f t="shared" si="42"/>
        <v>0</v>
      </c>
      <c r="S114" s="113">
        <f t="shared" si="42"/>
        <v>0</v>
      </c>
    </row>
    <row r="115" spans="1:20" s="4" customFormat="1" x14ac:dyDescent="0.2">
      <c r="A115" s="8" t="s">
        <v>423</v>
      </c>
      <c r="B115" s="2" t="s">
        <v>424</v>
      </c>
      <c r="C115" s="8" t="s">
        <v>204</v>
      </c>
      <c r="D115" s="10"/>
      <c r="E115" s="109"/>
      <c r="F115" s="8"/>
      <c r="G115" s="46" t="s">
        <v>205</v>
      </c>
      <c r="H115" s="105">
        <f t="shared" ref="H115:S115" si="43">H29+H30</f>
        <v>1.730000000000004</v>
      </c>
      <c r="I115" s="105">
        <f t="shared" si="43"/>
        <v>107.369</v>
      </c>
      <c r="J115" s="105">
        <f t="shared" si="43"/>
        <v>201.72499999999999</v>
      </c>
      <c r="K115" s="105">
        <f t="shared" si="43"/>
        <v>220.65299999999999</v>
      </c>
      <c r="L115" s="105">
        <f t="shared" si="43"/>
        <v>218.22199999999998</v>
      </c>
      <c r="M115" s="105">
        <f t="shared" si="43"/>
        <v>137.01400000000001</v>
      </c>
      <c r="N115" s="105">
        <f t="shared" si="43"/>
        <v>185.018</v>
      </c>
      <c r="O115" s="105">
        <f t="shared" si="43"/>
        <v>185.018</v>
      </c>
      <c r="P115" s="105">
        <f t="shared" si="43"/>
        <v>185</v>
      </c>
      <c r="Q115" s="105">
        <f t="shared" si="43"/>
        <v>185</v>
      </c>
      <c r="R115" s="105">
        <f t="shared" si="43"/>
        <v>185</v>
      </c>
      <c r="S115" s="105">
        <f t="shared" si="43"/>
        <v>185</v>
      </c>
    </row>
    <row r="116" spans="1:20" s="4" customFormat="1" x14ac:dyDescent="0.2">
      <c r="A116" s="8"/>
      <c r="B116" s="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</row>
    <row r="117" spans="1:20" s="4" customFormat="1" x14ac:dyDescent="0.2">
      <c r="A117" s="8"/>
      <c r="B117" s="2"/>
      <c r="C117" s="10"/>
      <c r="D117" s="10"/>
      <c r="E117" s="8"/>
      <c r="F117" s="8"/>
      <c r="G117" s="94" t="s">
        <v>206</v>
      </c>
      <c r="H117" s="87">
        <f t="shared" ref="H117:S117" si="44">H105</f>
        <v>2011</v>
      </c>
      <c r="I117" s="87">
        <f t="shared" si="44"/>
        <v>2012</v>
      </c>
      <c r="J117" s="87">
        <f t="shared" si="44"/>
        <v>2013</v>
      </c>
      <c r="K117" s="87">
        <f t="shared" si="44"/>
        <v>2014</v>
      </c>
      <c r="L117" s="87">
        <f t="shared" si="44"/>
        <v>2015</v>
      </c>
      <c r="M117" s="87">
        <f t="shared" si="44"/>
        <v>2016</v>
      </c>
      <c r="N117" s="87">
        <f t="shared" si="44"/>
        <v>2017</v>
      </c>
      <c r="O117" s="87">
        <f t="shared" si="44"/>
        <v>2018</v>
      </c>
      <c r="P117" s="87">
        <f t="shared" si="44"/>
        <v>2019</v>
      </c>
      <c r="Q117" s="87">
        <f t="shared" si="44"/>
        <v>2020</v>
      </c>
      <c r="R117" s="87">
        <f t="shared" si="44"/>
        <v>2021</v>
      </c>
      <c r="S117" s="87">
        <f t="shared" si="44"/>
        <v>2022</v>
      </c>
    </row>
    <row r="118" spans="1:20" s="4" customFormat="1" x14ac:dyDescent="0.2">
      <c r="A118" s="34" t="s">
        <v>425</v>
      </c>
      <c r="B118" s="2" t="s">
        <v>426</v>
      </c>
      <c r="C118" s="10" t="s">
        <v>208</v>
      </c>
      <c r="D118" s="10"/>
      <c r="E118" s="109"/>
      <c r="F118" s="37"/>
      <c r="G118" s="103" t="s">
        <v>209</v>
      </c>
      <c r="H118" s="105">
        <f t="shared" ref="H118:S118" si="45">H6+H12</f>
        <v>372.50599999999997</v>
      </c>
      <c r="I118" s="77">
        <f t="shared" si="45"/>
        <v>346.21699999999998</v>
      </c>
      <c r="J118" s="77">
        <f t="shared" si="45"/>
        <v>600.69799999999998</v>
      </c>
      <c r="K118" s="77">
        <f t="shared" si="45"/>
        <v>854.04100000000005</v>
      </c>
      <c r="L118" s="77">
        <f t="shared" si="45"/>
        <v>809.52300000000002</v>
      </c>
      <c r="M118" s="77">
        <f t="shared" si="45"/>
        <v>1063.5509999999999</v>
      </c>
      <c r="N118" s="77">
        <f t="shared" si="45"/>
        <v>1929.627</v>
      </c>
      <c r="O118" s="77">
        <f t="shared" si="45"/>
        <v>1197</v>
      </c>
      <c r="P118" s="77">
        <f t="shared" si="45"/>
        <v>1002</v>
      </c>
      <c r="Q118" s="77">
        <f t="shared" si="45"/>
        <v>1007</v>
      </c>
      <c r="R118" s="77">
        <f t="shared" si="45"/>
        <v>1007</v>
      </c>
      <c r="S118" s="77">
        <f t="shared" si="45"/>
        <v>1007</v>
      </c>
    </row>
    <row r="119" spans="1:20" s="4" customFormat="1" x14ac:dyDescent="0.2">
      <c r="A119" s="8" t="s">
        <v>427</v>
      </c>
      <c r="B119" s="2" t="s">
        <v>428</v>
      </c>
      <c r="C119" s="8" t="s">
        <v>42</v>
      </c>
      <c r="D119" s="10"/>
      <c r="E119" s="109"/>
      <c r="F119" s="37"/>
      <c r="G119" s="110" t="s">
        <v>211</v>
      </c>
      <c r="H119" s="105">
        <f t="shared" ref="H119:S119" si="46">H19</f>
        <v>632.86800000000005</v>
      </c>
      <c r="I119" s="105">
        <f t="shared" si="46"/>
        <v>398.495</v>
      </c>
      <c r="J119" s="105">
        <f t="shared" si="46"/>
        <v>899.13599999999997</v>
      </c>
      <c r="K119" s="105">
        <f t="shared" si="46"/>
        <v>719.26700000000005</v>
      </c>
      <c r="L119" s="105">
        <f t="shared" si="46"/>
        <v>1137.8969999999999</v>
      </c>
      <c r="M119" s="105">
        <f t="shared" si="46"/>
        <v>998.58</v>
      </c>
      <c r="N119" s="105">
        <f t="shared" si="46"/>
        <v>2134.79</v>
      </c>
      <c r="O119" s="105">
        <f t="shared" si="46"/>
        <v>1030</v>
      </c>
      <c r="P119" s="105">
        <f t="shared" si="46"/>
        <v>840</v>
      </c>
      <c r="Q119" s="105">
        <f t="shared" si="46"/>
        <v>820</v>
      </c>
      <c r="R119" s="105">
        <f t="shared" si="46"/>
        <v>800</v>
      </c>
      <c r="S119" s="105">
        <f t="shared" si="46"/>
        <v>780</v>
      </c>
    </row>
    <row r="120" spans="1:20" s="4" customFormat="1" x14ac:dyDescent="0.2">
      <c r="A120" s="8" t="s">
        <v>429</v>
      </c>
      <c r="B120" s="2" t="s">
        <v>203</v>
      </c>
      <c r="C120" s="8" t="s">
        <v>430</v>
      </c>
      <c r="D120" s="10"/>
      <c r="E120" s="109"/>
      <c r="F120" s="37"/>
      <c r="G120" s="110" t="s">
        <v>212</v>
      </c>
      <c r="H120" s="105">
        <f t="shared" ref="H120:S120" si="47">H119-H118</f>
        <v>260.36200000000008</v>
      </c>
      <c r="I120" s="77">
        <f t="shared" si="47"/>
        <v>52.27800000000002</v>
      </c>
      <c r="J120" s="77">
        <f t="shared" si="47"/>
        <v>298.43799999999999</v>
      </c>
      <c r="K120" s="77">
        <f t="shared" si="47"/>
        <v>-134.774</v>
      </c>
      <c r="L120" s="77">
        <f t="shared" si="47"/>
        <v>328.37399999999991</v>
      </c>
      <c r="M120" s="77">
        <f>M119-M118</f>
        <v>-64.97099999999989</v>
      </c>
      <c r="N120" s="77">
        <f>N119-N118</f>
        <v>205.16300000000001</v>
      </c>
      <c r="O120" s="77">
        <f>O119-O118</f>
        <v>-167</v>
      </c>
      <c r="P120" s="77">
        <f>P119-P118</f>
        <v>-162</v>
      </c>
      <c r="Q120" s="77">
        <f t="shared" si="47"/>
        <v>-187</v>
      </c>
      <c r="R120" s="77">
        <f t="shared" si="47"/>
        <v>-207</v>
      </c>
      <c r="S120" s="77">
        <f t="shared" si="47"/>
        <v>-227</v>
      </c>
    </row>
    <row r="121" spans="1:20" s="4" customFormat="1" x14ac:dyDescent="0.2">
      <c r="A121" s="34" t="s">
        <v>431</v>
      </c>
      <c r="B121" s="2" t="s">
        <v>207</v>
      </c>
      <c r="C121" s="8" t="s">
        <v>432</v>
      </c>
      <c r="D121" s="10"/>
      <c r="E121" s="106">
        <v>0.4</v>
      </c>
      <c r="F121" s="114" t="s">
        <v>433</v>
      </c>
      <c r="G121" s="46" t="s">
        <v>213</v>
      </c>
      <c r="H121" s="115">
        <f t="shared" ref="H121:S121" si="48">H120/H33</f>
        <v>5.8031245604951494E-2</v>
      </c>
      <c r="I121" s="108">
        <f t="shared" si="48"/>
        <v>1.0883343704271506E-2</v>
      </c>
      <c r="J121" s="108">
        <f t="shared" si="48"/>
        <v>6.2765916726290893E-2</v>
      </c>
      <c r="K121" s="108">
        <f t="shared" si="48"/>
        <v>-2.2867728614930725E-2</v>
      </c>
      <c r="L121" s="108">
        <f t="shared" si="48"/>
        <v>6.1548906014651426E-2</v>
      </c>
      <c r="M121" s="108">
        <f t="shared" si="48"/>
        <v>-6.9557280132735875E-3</v>
      </c>
      <c r="N121" s="108">
        <f t="shared" si="48"/>
        <v>2.5220085544944901E-2</v>
      </c>
      <c r="O121" s="108">
        <f t="shared" si="48"/>
        <v>-1.6135265700483091E-2</v>
      </c>
      <c r="P121" s="108">
        <f t="shared" si="48"/>
        <v>-1.5676407973679116E-2</v>
      </c>
      <c r="Q121" s="108">
        <f t="shared" si="48"/>
        <v>-1.8095606735049351E-2</v>
      </c>
      <c r="R121" s="108">
        <f t="shared" si="48"/>
        <v>-2.0030965744145538E-2</v>
      </c>
      <c r="S121" s="108">
        <f t="shared" si="48"/>
        <v>-2.1966324753241725E-2</v>
      </c>
    </row>
    <row r="122" spans="1:20" s="4" customFormat="1" x14ac:dyDescent="0.2">
      <c r="A122" s="8" t="s">
        <v>434</v>
      </c>
      <c r="B122" s="2" t="s">
        <v>210</v>
      </c>
      <c r="C122" s="8" t="s">
        <v>435</v>
      </c>
      <c r="D122" s="116">
        <v>0</v>
      </c>
      <c r="E122" s="116">
        <v>5</v>
      </c>
      <c r="F122" s="37"/>
      <c r="G122" s="100" t="s">
        <v>215</v>
      </c>
      <c r="H122" s="111">
        <f t="shared" ref="H122:S122" si="49">H120/H110</f>
        <v>-5.2128698994914204</v>
      </c>
      <c r="I122" s="111">
        <f t="shared" si="49"/>
        <v>0.5716128891172888</v>
      </c>
      <c r="J122" s="111">
        <f t="shared" si="49"/>
        <v>2.1125213242632932</v>
      </c>
      <c r="K122" s="111">
        <f t="shared" si="49"/>
        <v>-1.7580975488853197</v>
      </c>
      <c r="L122" s="111">
        <f t="shared" si="49"/>
        <v>7.2216137758130889</v>
      </c>
      <c r="M122" s="111">
        <f>M120/M110</f>
        <v>2.3921575846832357</v>
      </c>
      <c r="N122" s="111">
        <f>N120/N110</f>
        <v>4.3006603081438479</v>
      </c>
      <c r="O122" s="111">
        <f>O120/O110</f>
        <v>-7.2608695652173916</v>
      </c>
      <c r="P122" s="111">
        <f t="shared" si="49"/>
        <v>-8.1</v>
      </c>
      <c r="Q122" s="111">
        <f t="shared" si="49"/>
        <v>-6.2333333333333334</v>
      </c>
      <c r="R122" s="111">
        <f t="shared" si="49"/>
        <v>-6.9</v>
      </c>
      <c r="S122" s="111">
        <f t="shared" si="49"/>
        <v>-7.5666666666666664</v>
      </c>
    </row>
    <row r="123" spans="1:20" s="4" customFormat="1" x14ac:dyDescent="0.2">
      <c r="A123" s="8" t="s">
        <v>436</v>
      </c>
      <c r="B123" s="2" t="s">
        <v>437</v>
      </c>
      <c r="C123" s="8" t="s">
        <v>217</v>
      </c>
      <c r="D123" s="10"/>
      <c r="E123" s="109"/>
      <c r="F123" s="37"/>
      <c r="G123" s="110" t="s">
        <v>218</v>
      </c>
      <c r="H123" s="105">
        <f t="shared" ref="H123:S123" si="50">-(H75+H77+H78+H79+H80+H81)</f>
        <v>0</v>
      </c>
      <c r="I123" s="105">
        <f t="shared" si="50"/>
        <v>2.5000000000000001E-2</v>
      </c>
      <c r="J123" s="105">
        <f t="shared" si="50"/>
        <v>0</v>
      </c>
      <c r="K123" s="105">
        <f t="shared" si="50"/>
        <v>5.0000000000000001E-3</v>
      </c>
      <c r="L123" s="105">
        <f t="shared" si="50"/>
        <v>3.0000000000000001E-3</v>
      </c>
      <c r="M123" s="105">
        <f t="shared" si="50"/>
        <v>0</v>
      </c>
      <c r="N123" s="105">
        <f t="shared" si="50"/>
        <v>0</v>
      </c>
      <c r="O123" s="105">
        <f t="shared" si="50"/>
        <v>0</v>
      </c>
      <c r="P123" s="105">
        <f t="shared" si="50"/>
        <v>0</v>
      </c>
      <c r="Q123" s="105">
        <f t="shared" si="50"/>
        <v>0</v>
      </c>
      <c r="R123" s="105">
        <f t="shared" si="50"/>
        <v>0</v>
      </c>
      <c r="S123" s="105">
        <f t="shared" si="50"/>
        <v>0</v>
      </c>
    </row>
    <row r="124" spans="1:20" s="4" customFormat="1" x14ac:dyDescent="0.2">
      <c r="A124" s="8" t="s">
        <v>438</v>
      </c>
      <c r="B124" s="2" t="s">
        <v>439</v>
      </c>
      <c r="C124" s="8" t="s">
        <v>440</v>
      </c>
      <c r="D124" s="10"/>
      <c r="E124" s="116">
        <v>1.2</v>
      </c>
      <c r="F124" s="114" t="s">
        <v>433</v>
      </c>
      <c r="G124" s="110" t="s">
        <v>220</v>
      </c>
      <c r="H124" s="117" t="e">
        <f t="shared" ref="H124:S124" si="51">H110/H123</f>
        <v>#DIV/0!</v>
      </c>
      <c r="I124" s="111">
        <f t="shared" si="51"/>
        <v>3658.2800000000097</v>
      </c>
      <c r="J124" s="111" t="e">
        <f t="shared" si="51"/>
        <v>#DIV/0!</v>
      </c>
      <c r="K124" s="111">
        <f t="shared" si="51"/>
        <v>15331.800000000032</v>
      </c>
      <c r="L124" s="111">
        <f t="shared" si="51"/>
        <v>15157.000000000136</v>
      </c>
      <c r="M124" s="111" t="e">
        <f t="shared" si="51"/>
        <v>#DIV/0!</v>
      </c>
      <c r="N124" s="111" t="e">
        <f t="shared" si="51"/>
        <v>#DIV/0!</v>
      </c>
      <c r="O124" s="111" t="e">
        <f t="shared" si="51"/>
        <v>#DIV/0!</v>
      </c>
      <c r="P124" s="111" t="e">
        <f t="shared" si="51"/>
        <v>#DIV/0!</v>
      </c>
      <c r="Q124" s="111" t="e">
        <f t="shared" si="51"/>
        <v>#DIV/0!</v>
      </c>
      <c r="R124" s="111" t="e">
        <f t="shared" si="51"/>
        <v>#DIV/0!</v>
      </c>
      <c r="S124" s="111" t="e">
        <f t="shared" si="51"/>
        <v>#DIV/0!</v>
      </c>
    </row>
    <row r="125" spans="1:20" s="4" customFormat="1" x14ac:dyDescent="0.2">
      <c r="A125" s="38" t="s">
        <v>441</v>
      </c>
      <c r="B125" s="2" t="s">
        <v>442</v>
      </c>
      <c r="C125" s="8" t="s">
        <v>222</v>
      </c>
      <c r="D125" s="10"/>
      <c r="E125" s="116">
        <v>0</v>
      </c>
      <c r="F125" s="37"/>
      <c r="G125" s="103" t="s">
        <v>223</v>
      </c>
      <c r="H125" s="105">
        <f t="shared" ref="H125:S125" si="52">H5-H20</f>
        <v>13.80399999999986</v>
      </c>
      <c r="I125" s="105">
        <f t="shared" si="52"/>
        <v>101.41200000000003</v>
      </c>
      <c r="J125" s="105">
        <f t="shared" si="52"/>
        <v>123.70700000000011</v>
      </c>
      <c r="K125" s="105">
        <f t="shared" si="52"/>
        <v>200.41699999999992</v>
      </c>
      <c r="L125" s="105">
        <f t="shared" si="52"/>
        <v>243.52800000000002</v>
      </c>
      <c r="M125" s="105">
        <f t="shared" si="52"/>
        <v>213.92399999999986</v>
      </c>
      <c r="N125" s="105">
        <f t="shared" si="52"/>
        <v>255.02499999999964</v>
      </c>
      <c r="O125" s="105">
        <f t="shared" si="52"/>
        <v>274</v>
      </c>
      <c r="P125" s="105">
        <f t="shared" si="52"/>
        <v>289</v>
      </c>
      <c r="Q125" s="105">
        <f t="shared" si="52"/>
        <v>314</v>
      </c>
      <c r="R125" s="105">
        <f t="shared" si="52"/>
        <v>334</v>
      </c>
      <c r="S125" s="105">
        <f t="shared" si="52"/>
        <v>354</v>
      </c>
    </row>
    <row r="126" spans="1:20" s="4" customFormat="1" x14ac:dyDescent="0.2">
      <c r="A126" s="34" t="s">
        <v>443</v>
      </c>
      <c r="B126" s="2" t="s">
        <v>444</v>
      </c>
      <c r="C126" s="8" t="s">
        <v>225</v>
      </c>
      <c r="D126" s="10"/>
      <c r="E126" s="116">
        <v>1</v>
      </c>
      <c r="F126" s="114" t="s">
        <v>433</v>
      </c>
      <c r="G126" s="110" t="s">
        <v>226</v>
      </c>
      <c r="H126" s="117">
        <f t="shared" ref="H126:S126" si="53">H5/H20</f>
        <v>1.0245755273750792</v>
      </c>
      <c r="I126" s="117">
        <f t="shared" si="53"/>
        <v>1.2544875092535666</v>
      </c>
      <c r="J126" s="117">
        <f t="shared" si="53"/>
        <v>1.1375843031532495</v>
      </c>
      <c r="K126" s="117">
        <f t="shared" si="53"/>
        <v>1.2786406160716395</v>
      </c>
      <c r="L126" s="117">
        <f t="shared" si="53"/>
        <v>1.2140158555651346</v>
      </c>
      <c r="M126" s="117">
        <f t="shared" si="53"/>
        <v>1.2142282040497505</v>
      </c>
      <c r="N126" s="117">
        <f t="shared" si="53"/>
        <v>1.1194613990134858</v>
      </c>
      <c r="O126" s="117">
        <f t="shared" si="53"/>
        <v>1.2660194174757282</v>
      </c>
      <c r="P126" s="117">
        <f t="shared" si="53"/>
        <v>1.3440476190476192</v>
      </c>
      <c r="Q126" s="117">
        <f t="shared" si="53"/>
        <v>1.3829268292682926</v>
      </c>
      <c r="R126" s="117">
        <f t="shared" si="53"/>
        <v>1.4175</v>
      </c>
      <c r="S126" s="117">
        <f t="shared" si="53"/>
        <v>1.4538461538461538</v>
      </c>
    </row>
    <row r="127" spans="1:20" s="4" customFormat="1" x14ac:dyDescent="0.2">
      <c r="A127" s="34" t="s">
        <v>445</v>
      </c>
      <c r="B127" s="2" t="s">
        <v>214</v>
      </c>
      <c r="C127" s="34" t="s">
        <v>228</v>
      </c>
      <c r="D127" s="10"/>
      <c r="E127" s="116">
        <v>1</v>
      </c>
      <c r="F127" s="37"/>
      <c r="G127" s="46" t="s">
        <v>229</v>
      </c>
      <c r="H127" s="117">
        <f t="shared" ref="H127:S127" si="54">-H6/((H38+H41-H45+H47)/12)</f>
        <v>0.98556207882782176</v>
      </c>
      <c r="I127" s="117">
        <f t="shared" si="54"/>
        <v>0.88171012465237575</v>
      </c>
      <c r="J127" s="117">
        <f t="shared" si="54"/>
        <v>1.5624555109231792</v>
      </c>
      <c r="K127" s="117">
        <f t="shared" si="54"/>
        <v>1.7618407532642264</v>
      </c>
      <c r="L127" s="117">
        <f t="shared" si="54"/>
        <v>1.837255625844463</v>
      </c>
      <c r="M127" s="117">
        <f t="shared" si="54"/>
        <v>1.3628695132636337</v>
      </c>
      <c r="N127" s="117">
        <f t="shared" si="54"/>
        <v>2.8632312790582648</v>
      </c>
      <c r="O127" s="117">
        <f t="shared" si="54"/>
        <v>1.3909170136535296</v>
      </c>
      <c r="P127" s="117">
        <f t="shared" si="54"/>
        <v>1.1657940663176265</v>
      </c>
      <c r="Q127" s="117">
        <f t="shared" si="54"/>
        <v>1.172748447204969</v>
      </c>
      <c r="R127" s="117">
        <f t="shared" si="54"/>
        <v>1.172748447204969</v>
      </c>
      <c r="S127" s="117">
        <f t="shared" si="54"/>
        <v>1.172748447204969</v>
      </c>
    </row>
    <row r="128" spans="1:20" s="4" customFormat="1" x14ac:dyDescent="0.2">
      <c r="A128" s="34"/>
      <c r="B128" s="2"/>
      <c r="C128" s="34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</row>
    <row r="129" spans="1:21" s="4" customFormat="1" x14ac:dyDescent="0.2">
      <c r="A129" s="8"/>
      <c r="B129" s="2"/>
      <c r="C129" s="8"/>
      <c r="D129" s="10"/>
      <c r="E129" s="9"/>
      <c r="F129" s="37"/>
      <c r="G129" s="94" t="s">
        <v>230</v>
      </c>
      <c r="H129" s="87">
        <f t="shared" ref="H129:S129" si="55">H117</f>
        <v>2011</v>
      </c>
      <c r="I129" s="87">
        <f t="shared" si="55"/>
        <v>2012</v>
      </c>
      <c r="J129" s="87">
        <f t="shared" si="55"/>
        <v>2013</v>
      </c>
      <c r="K129" s="87">
        <f t="shared" si="55"/>
        <v>2014</v>
      </c>
      <c r="L129" s="87">
        <f t="shared" si="55"/>
        <v>2015</v>
      </c>
      <c r="M129" s="87">
        <f t="shared" si="55"/>
        <v>2016</v>
      </c>
      <c r="N129" s="87">
        <f t="shared" si="55"/>
        <v>2017</v>
      </c>
      <c r="O129" s="87">
        <f t="shared" si="55"/>
        <v>2018</v>
      </c>
      <c r="P129" s="87">
        <f t="shared" si="55"/>
        <v>2019</v>
      </c>
      <c r="Q129" s="87">
        <f t="shared" si="55"/>
        <v>2020</v>
      </c>
      <c r="R129" s="87">
        <f t="shared" si="55"/>
        <v>2021</v>
      </c>
      <c r="S129" s="87">
        <f t="shared" si="55"/>
        <v>2022</v>
      </c>
    </row>
    <row r="130" spans="1:21" s="4" customFormat="1" x14ac:dyDescent="0.2">
      <c r="A130" s="34" t="s">
        <v>446</v>
      </c>
      <c r="B130" s="2" t="s">
        <v>216</v>
      </c>
      <c r="C130" s="34" t="s">
        <v>232</v>
      </c>
      <c r="D130" s="10"/>
      <c r="E130" s="106">
        <v>0.6</v>
      </c>
      <c r="F130" s="37"/>
      <c r="G130" s="103" t="s">
        <v>233</v>
      </c>
      <c r="H130" s="115">
        <f t="shared" ref="H130:S130" si="56">H17/H4</f>
        <v>0</v>
      </c>
      <c r="I130" s="115">
        <f t="shared" si="56"/>
        <v>0</v>
      </c>
      <c r="J130" s="115">
        <f t="shared" si="56"/>
        <v>0</v>
      </c>
      <c r="K130" s="115">
        <f t="shared" si="56"/>
        <v>0</v>
      </c>
      <c r="L130" s="115">
        <f t="shared" si="56"/>
        <v>0</v>
      </c>
      <c r="M130" s="115">
        <f t="shared" si="56"/>
        <v>0</v>
      </c>
      <c r="N130" s="115">
        <f t="shared" si="56"/>
        <v>0</v>
      </c>
      <c r="O130" s="115">
        <f t="shared" si="56"/>
        <v>0</v>
      </c>
      <c r="P130" s="115">
        <f t="shared" si="56"/>
        <v>0</v>
      </c>
      <c r="Q130" s="115">
        <f t="shared" si="56"/>
        <v>0</v>
      </c>
      <c r="R130" s="115">
        <f t="shared" si="56"/>
        <v>0</v>
      </c>
      <c r="S130" s="115">
        <f t="shared" si="56"/>
        <v>0</v>
      </c>
    </row>
    <row r="131" spans="1:21" s="4" customFormat="1" x14ac:dyDescent="0.2">
      <c r="A131" s="34" t="s">
        <v>447</v>
      </c>
      <c r="B131" s="2" t="s">
        <v>219</v>
      </c>
      <c r="C131" s="34" t="s">
        <v>235</v>
      </c>
      <c r="D131" s="10"/>
      <c r="E131" s="106">
        <v>0.4</v>
      </c>
      <c r="F131" s="37"/>
      <c r="G131" s="46" t="s">
        <v>236</v>
      </c>
      <c r="H131" s="115" t="e">
        <f t="shared" ref="H131:S131" si="57">H27/H17</f>
        <v>#DIV/0!</v>
      </c>
      <c r="I131" s="115" t="e">
        <f t="shared" si="57"/>
        <v>#DIV/0!</v>
      </c>
      <c r="J131" s="115" t="e">
        <f t="shared" si="57"/>
        <v>#DIV/0!</v>
      </c>
      <c r="K131" s="115" t="e">
        <f t="shared" si="57"/>
        <v>#DIV/0!</v>
      </c>
      <c r="L131" s="115" t="e">
        <f t="shared" si="57"/>
        <v>#DIV/0!</v>
      </c>
      <c r="M131" s="115" t="e">
        <f t="shared" si="57"/>
        <v>#DIV/0!</v>
      </c>
      <c r="N131" s="115" t="e">
        <f t="shared" si="57"/>
        <v>#DIV/0!</v>
      </c>
      <c r="O131" s="115" t="e">
        <f t="shared" si="57"/>
        <v>#DIV/0!</v>
      </c>
      <c r="P131" s="115" t="e">
        <f t="shared" si="57"/>
        <v>#DIV/0!</v>
      </c>
      <c r="Q131" s="115" t="e">
        <f t="shared" si="57"/>
        <v>#DIV/0!</v>
      </c>
      <c r="R131" s="115" t="e">
        <f t="shared" si="57"/>
        <v>#DIV/0!</v>
      </c>
      <c r="S131" s="115" t="e">
        <f t="shared" si="57"/>
        <v>#DIV/0!</v>
      </c>
    </row>
    <row r="132" spans="1:21" s="4" customFormat="1" x14ac:dyDescent="0.2">
      <c r="A132" s="34"/>
      <c r="B132" s="2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</row>
    <row r="133" spans="1:21" s="4" customFormat="1" x14ac:dyDescent="0.2">
      <c r="A133" s="8"/>
      <c r="B133" s="2"/>
      <c r="C133" s="8"/>
      <c r="D133" s="10"/>
      <c r="E133" s="9"/>
      <c r="F133" s="37"/>
      <c r="G133" s="94" t="s">
        <v>237</v>
      </c>
      <c r="H133" s="87">
        <f t="shared" ref="H133:S133" si="58">H117</f>
        <v>2011</v>
      </c>
      <c r="I133" s="87">
        <f t="shared" si="58"/>
        <v>2012</v>
      </c>
      <c r="J133" s="87">
        <f t="shared" si="58"/>
        <v>2013</v>
      </c>
      <c r="K133" s="87">
        <f t="shared" si="58"/>
        <v>2014</v>
      </c>
      <c r="L133" s="87">
        <f t="shared" si="58"/>
        <v>2015</v>
      </c>
      <c r="M133" s="87">
        <f t="shared" si="58"/>
        <v>2016</v>
      </c>
      <c r="N133" s="87">
        <f t="shared" si="58"/>
        <v>2017</v>
      </c>
      <c r="O133" s="87">
        <f t="shared" si="58"/>
        <v>2018</v>
      </c>
      <c r="P133" s="87">
        <f t="shared" si="58"/>
        <v>2019</v>
      </c>
      <c r="Q133" s="87">
        <f t="shared" si="58"/>
        <v>2020</v>
      </c>
      <c r="R133" s="87">
        <f t="shared" si="58"/>
        <v>2021</v>
      </c>
      <c r="S133" s="87">
        <f t="shared" si="58"/>
        <v>2022</v>
      </c>
    </row>
    <row r="134" spans="1:21" s="4" customFormat="1" x14ac:dyDescent="0.2">
      <c r="A134" s="34" t="s">
        <v>448</v>
      </c>
      <c r="B134" s="2" t="s">
        <v>221</v>
      </c>
      <c r="C134" s="39" t="s">
        <v>239</v>
      </c>
      <c r="D134" s="10"/>
      <c r="E134" s="109"/>
      <c r="F134" s="37"/>
      <c r="G134" s="110" t="s">
        <v>240</v>
      </c>
      <c r="H134" s="118">
        <f t="shared" ref="H134:S134" si="59">H10/H4</f>
        <v>0.31769103728565995</v>
      </c>
      <c r="I134" s="118">
        <f t="shared" si="59"/>
        <v>0.30056231260327365</v>
      </c>
      <c r="J134" s="118">
        <f t="shared" si="59"/>
        <v>0.21903927850447877</v>
      </c>
      <c r="K134" s="118">
        <f t="shared" si="59"/>
        <v>0.19942826501761865</v>
      </c>
      <c r="L134" s="118">
        <f t="shared" si="59"/>
        <v>0.11729073095362696</v>
      </c>
      <c r="M134" s="118">
        <f t="shared" si="59"/>
        <v>9.8145272139809711E-2</v>
      </c>
      <c r="N134" s="118">
        <f t="shared" si="59"/>
        <v>5.4938054105227951E-2</v>
      </c>
      <c r="O134" s="118">
        <f t="shared" si="59"/>
        <v>8.4269662921348312E-2</v>
      </c>
      <c r="P134" s="118">
        <f t="shared" si="59"/>
        <v>8.5089141004862243E-2</v>
      </c>
      <c r="Q134" s="118">
        <f t="shared" si="59"/>
        <v>6.589785831960461E-2</v>
      </c>
      <c r="R134" s="118">
        <f t="shared" si="59"/>
        <v>5.0251256281407038E-2</v>
      </c>
      <c r="S134" s="118">
        <f t="shared" si="59"/>
        <v>3.4071550255536626E-2</v>
      </c>
    </row>
    <row r="135" spans="1:21" s="4" customFormat="1" x14ac:dyDescent="0.2">
      <c r="A135" s="34" t="s">
        <v>449</v>
      </c>
      <c r="B135" s="2" t="s">
        <v>224</v>
      </c>
      <c r="C135" s="39" t="s">
        <v>242</v>
      </c>
      <c r="D135" s="10"/>
      <c r="E135" s="109"/>
      <c r="F135" s="37"/>
      <c r="G135" s="110" t="s">
        <v>243</v>
      </c>
      <c r="H135" s="118">
        <f t="shared" ref="H135:S135" si="60">-(H58)/H15</f>
        <v>4.2457829526795048E-2</v>
      </c>
      <c r="I135" s="118">
        <f t="shared" si="60"/>
        <v>1.8131458895819758E-2</v>
      </c>
      <c r="J135" s="118">
        <f t="shared" si="60"/>
        <v>0.41477128147210868</v>
      </c>
      <c r="K135" s="118">
        <f t="shared" si="60"/>
        <v>0</v>
      </c>
      <c r="L135" s="118">
        <f t="shared" si="60"/>
        <v>2.547968489523747E-2</v>
      </c>
      <c r="M135" s="118">
        <f t="shared" si="60"/>
        <v>4.346277434218504E-2</v>
      </c>
      <c r="N135" s="118">
        <f t="shared" si="60"/>
        <v>5.0387262100141085E-2</v>
      </c>
      <c r="O135" s="118">
        <f t="shared" si="60"/>
        <v>3.3333333333333333E-2</v>
      </c>
      <c r="P135" s="118">
        <f t="shared" si="60"/>
        <v>4.7619047619047616E-2</v>
      </c>
      <c r="Q135" s="118">
        <f t="shared" si="60"/>
        <v>6.25E-2</v>
      </c>
      <c r="R135" s="118">
        <f t="shared" si="60"/>
        <v>0.16666666666666666</v>
      </c>
      <c r="S135" s="118">
        <f t="shared" si="60"/>
        <v>0.25</v>
      </c>
    </row>
    <row r="136" spans="1:21" s="4" customFormat="1" x14ac:dyDescent="0.2">
      <c r="A136" s="34" t="s">
        <v>450</v>
      </c>
      <c r="B136" s="2" t="s">
        <v>227</v>
      </c>
      <c r="C136" s="8" t="s">
        <v>245</v>
      </c>
      <c r="D136" s="10"/>
      <c r="E136" s="109"/>
      <c r="F136" s="37"/>
      <c r="G136" s="103" t="s">
        <v>246</v>
      </c>
      <c r="H136" s="111">
        <f t="shared" ref="H136:S136" si="61">H33/H4</f>
        <v>5.3192536465823563</v>
      </c>
      <c r="I136" s="111">
        <f t="shared" si="61"/>
        <v>6.7207297331708462</v>
      </c>
      <c r="J136" s="111">
        <f t="shared" si="61"/>
        <v>3.6303663978059495</v>
      </c>
      <c r="K136" s="111">
        <f t="shared" si="61"/>
        <v>5.130323019819218</v>
      </c>
      <c r="L136" s="111">
        <f t="shared" si="61"/>
        <v>3.4090926227313654</v>
      </c>
      <c r="M136" s="111">
        <f t="shared" si="61"/>
        <v>6.9475289633874215</v>
      </c>
      <c r="N136" s="111">
        <f t="shared" si="61"/>
        <v>3.2169808746572901</v>
      </c>
      <c r="O136" s="111">
        <f t="shared" si="61"/>
        <v>7.268258426966292</v>
      </c>
      <c r="P136" s="111">
        <f t="shared" si="61"/>
        <v>8.3743922204213934</v>
      </c>
      <c r="Q136" s="111">
        <f t="shared" si="61"/>
        <v>8.5123558484349253</v>
      </c>
      <c r="R136" s="111">
        <f t="shared" si="61"/>
        <v>8.6549413735343386</v>
      </c>
      <c r="S136" s="111">
        <f t="shared" si="61"/>
        <v>8.8023850085178879</v>
      </c>
    </row>
    <row r="137" spans="1:21" s="4" customFormat="1" x14ac:dyDescent="0.2">
      <c r="A137" s="34" t="s">
        <v>451</v>
      </c>
      <c r="B137" s="2" t="s">
        <v>231</v>
      </c>
      <c r="C137" s="39" t="s">
        <v>248</v>
      </c>
      <c r="D137" s="10"/>
      <c r="E137" s="109"/>
      <c r="F137" s="37"/>
      <c r="G137" s="46" t="s">
        <v>249</v>
      </c>
      <c r="H137" s="111">
        <f t="shared" ref="H137:S137" si="62">H33/H15</f>
        <v>16.743480370204509</v>
      </c>
      <c r="I137" s="111">
        <f t="shared" si="62"/>
        <v>22.360520435713621</v>
      </c>
      <c r="J137" s="111">
        <f t="shared" si="62"/>
        <v>16.574042895834861</v>
      </c>
      <c r="K137" s="111">
        <f t="shared" si="62"/>
        <v>25.725154954168485</v>
      </c>
      <c r="L137" s="111">
        <f t="shared" si="62"/>
        <v>29.065319953366242</v>
      </c>
      <c r="M137" s="111">
        <f t="shared" si="62"/>
        <v>70.788218443070207</v>
      </c>
      <c r="N137" s="111">
        <f t="shared" si="62"/>
        <v>58.556512913535457</v>
      </c>
      <c r="O137" s="111">
        <f t="shared" si="62"/>
        <v>86.25</v>
      </c>
      <c r="P137" s="111">
        <f t="shared" si="62"/>
        <v>98.419047619047618</v>
      </c>
      <c r="Q137" s="111">
        <f t="shared" si="62"/>
        <v>129.17500000000001</v>
      </c>
      <c r="R137" s="111">
        <f t="shared" si="62"/>
        <v>172.23333333333332</v>
      </c>
      <c r="S137" s="111">
        <f t="shared" si="62"/>
        <v>258.35000000000002</v>
      </c>
    </row>
    <row r="138" spans="1:21" s="4" customFormat="1" x14ac:dyDescent="0.2">
      <c r="A138" s="8" t="s">
        <v>452</v>
      </c>
      <c r="B138" s="2" t="s">
        <v>234</v>
      </c>
      <c r="C138" s="39" t="s">
        <v>251</v>
      </c>
      <c r="D138" s="106">
        <v>0.5</v>
      </c>
      <c r="E138" s="106">
        <f>1/3</f>
        <v>0.33333333333333331</v>
      </c>
      <c r="F138" s="114" t="s">
        <v>433</v>
      </c>
      <c r="G138" s="100" t="s">
        <v>252</v>
      </c>
      <c r="H138" s="118">
        <f t="shared" ref="H138:S138" si="63">H27/H4</f>
        <v>0.24967722277615684</v>
      </c>
      <c r="I138" s="118">
        <f t="shared" si="63"/>
        <v>0.44245145349203263</v>
      </c>
      <c r="J138" s="118">
        <f t="shared" si="63"/>
        <v>0.31349200289526641</v>
      </c>
      <c r="K138" s="118">
        <f t="shared" si="63"/>
        <v>0.3738875193247817</v>
      </c>
      <c r="L138" s="118">
        <f t="shared" si="63"/>
        <v>0.27290072799512838</v>
      </c>
      <c r="M138" s="118">
        <f t="shared" si="63"/>
        <v>0.25726167312280956</v>
      </c>
      <c r="N138" s="118">
        <f t="shared" si="63"/>
        <v>0.15576182437175209</v>
      </c>
      <c r="O138" s="118">
        <f t="shared" si="63"/>
        <v>0.2766018258426966</v>
      </c>
      <c r="P138" s="118">
        <f t="shared" si="63"/>
        <v>0.31917585089141004</v>
      </c>
      <c r="Q138" s="118">
        <f t="shared" si="63"/>
        <v>0.32443410214168039</v>
      </c>
      <c r="R138" s="118">
        <f t="shared" si="63"/>
        <v>0.32986850921273031</v>
      </c>
      <c r="S138" s="118">
        <f t="shared" si="63"/>
        <v>0.33548807495741056</v>
      </c>
    </row>
    <row r="139" spans="1:21" s="4" customFormat="1" x14ac:dyDescent="0.2">
      <c r="A139" s="8"/>
      <c r="B139" s="2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</row>
    <row r="140" spans="1:21" s="4" customFormat="1" x14ac:dyDescent="0.2">
      <c r="A140" s="40"/>
      <c r="B140" s="2"/>
      <c r="C140" s="2"/>
      <c r="D140" s="41"/>
      <c r="E140" s="42"/>
      <c r="F140" s="37"/>
      <c r="G140" s="94" t="s">
        <v>253</v>
      </c>
      <c r="H140" s="87">
        <f t="shared" ref="H140:S140" si="64">H133</f>
        <v>2011</v>
      </c>
      <c r="I140" s="87">
        <f t="shared" si="64"/>
        <v>2012</v>
      </c>
      <c r="J140" s="87">
        <f t="shared" si="64"/>
        <v>2013</v>
      </c>
      <c r="K140" s="87">
        <f t="shared" si="64"/>
        <v>2014</v>
      </c>
      <c r="L140" s="87">
        <f t="shared" si="64"/>
        <v>2015</v>
      </c>
      <c r="M140" s="87">
        <f t="shared" si="64"/>
        <v>2016</v>
      </c>
      <c r="N140" s="87">
        <f t="shared" si="64"/>
        <v>2017</v>
      </c>
      <c r="O140" s="87">
        <f t="shared" si="64"/>
        <v>2018</v>
      </c>
      <c r="P140" s="87">
        <f t="shared" si="64"/>
        <v>2019</v>
      </c>
      <c r="Q140" s="87">
        <f t="shared" si="64"/>
        <v>2020</v>
      </c>
      <c r="R140" s="87">
        <f t="shared" si="64"/>
        <v>2021</v>
      </c>
      <c r="S140" s="87">
        <f t="shared" si="64"/>
        <v>2022</v>
      </c>
    </row>
    <row r="141" spans="1:21" s="4" customFormat="1" x14ac:dyDescent="0.2">
      <c r="A141" s="8" t="s">
        <v>453</v>
      </c>
      <c r="B141" s="2" t="s">
        <v>238</v>
      </c>
      <c r="C141" s="8" t="s">
        <v>255</v>
      </c>
      <c r="D141" s="43"/>
      <c r="E141" s="106">
        <v>0.05</v>
      </c>
      <c r="F141" s="8"/>
      <c r="G141" s="103" t="s">
        <v>256</v>
      </c>
      <c r="H141" s="108">
        <f t="shared" ref="H141:S141" si="65">H35/H33</f>
        <v>0.10967255035736552</v>
      </c>
      <c r="I141" s="108">
        <f t="shared" si="65"/>
        <v>0.12537870925850325</v>
      </c>
      <c r="J141" s="108">
        <f t="shared" si="65"/>
        <v>0.12442873252967855</v>
      </c>
      <c r="K141" s="108">
        <f t="shared" si="65"/>
        <v>0.10221606944307526</v>
      </c>
      <c r="L141" s="108">
        <f t="shared" si="65"/>
        <v>0.12131042822986773</v>
      </c>
      <c r="M141" s="108">
        <f t="shared" si="65"/>
        <v>6.8085647600214433E-2</v>
      </c>
      <c r="N141" s="108">
        <f t="shared" si="65"/>
        <v>8.464266024003967E-3</v>
      </c>
      <c r="O141" s="108">
        <f t="shared" si="65"/>
        <v>6.4734299516908206E-2</v>
      </c>
      <c r="P141" s="108">
        <f t="shared" si="65"/>
        <v>6.4834526804722278E-2</v>
      </c>
      <c r="Q141" s="108">
        <f t="shared" si="65"/>
        <v>6.4834526804722278E-2</v>
      </c>
      <c r="R141" s="108">
        <f t="shared" si="65"/>
        <v>6.4834526804722278E-2</v>
      </c>
      <c r="S141" s="108">
        <f t="shared" si="65"/>
        <v>6.4834526804722278E-2</v>
      </c>
    </row>
    <row r="142" spans="1:21" s="4" customFormat="1" x14ac:dyDescent="0.2">
      <c r="A142" s="8" t="s">
        <v>454</v>
      </c>
      <c r="B142" s="2" t="s">
        <v>241</v>
      </c>
      <c r="C142" s="8" t="s">
        <v>258</v>
      </c>
      <c r="D142" s="10"/>
      <c r="E142" s="106">
        <v>0.95</v>
      </c>
      <c r="F142" s="8"/>
      <c r="G142" s="110" t="s">
        <v>259</v>
      </c>
      <c r="H142" s="118">
        <f t="shared" ref="H142:S142" si="66">(H36+H34)/H33</f>
        <v>0.89005329891367224</v>
      </c>
      <c r="I142" s="118">
        <f t="shared" si="66"/>
        <v>0.8740084026458278</v>
      </c>
      <c r="J142" s="118">
        <f t="shared" si="66"/>
        <v>0.87539355149704134</v>
      </c>
      <c r="K142" s="118">
        <f t="shared" si="66"/>
        <v>0.89778393055692474</v>
      </c>
      <c r="L142" s="118">
        <f t="shared" si="66"/>
        <v>0.87851731865439386</v>
      </c>
      <c r="M142" s="118">
        <f t="shared" si="66"/>
        <v>0.92880032828561021</v>
      </c>
      <c r="N142" s="118">
        <f t="shared" si="66"/>
        <v>0.9911482678654514</v>
      </c>
      <c r="O142" s="118">
        <f t="shared" si="66"/>
        <v>0.93429951690821256</v>
      </c>
      <c r="P142" s="118">
        <f t="shared" si="66"/>
        <v>0.93419779369072964</v>
      </c>
      <c r="Q142" s="118">
        <f t="shared" si="66"/>
        <v>0.93419779369072964</v>
      </c>
      <c r="R142" s="118">
        <f t="shared" si="66"/>
        <v>0.93419779369072964</v>
      </c>
      <c r="S142" s="118">
        <f t="shared" si="66"/>
        <v>0.93419779369072964</v>
      </c>
    </row>
    <row r="143" spans="1:21" s="4" customFormat="1" x14ac:dyDescent="0.2">
      <c r="A143" s="8" t="s">
        <v>455</v>
      </c>
      <c r="B143" s="2" t="s">
        <v>244</v>
      </c>
      <c r="C143" s="8" t="s">
        <v>261</v>
      </c>
      <c r="D143" s="10"/>
      <c r="E143" s="106">
        <v>0.95</v>
      </c>
      <c r="F143" s="8"/>
      <c r="G143" s="46" t="s">
        <v>262</v>
      </c>
      <c r="H143" s="108">
        <f t="shared" ref="H143:S143" si="67">H38/(H38+H41)</f>
        <v>0.66678184812715158</v>
      </c>
      <c r="I143" s="108">
        <f t="shared" si="67"/>
        <v>0.64812222102235972</v>
      </c>
      <c r="J143" s="108">
        <f t="shared" si="67"/>
        <v>0.66707714319494071</v>
      </c>
      <c r="K143" s="108">
        <f t="shared" si="67"/>
        <v>0.7184430669874744</v>
      </c>
      <c r="L143" s="108">
        <f t="shared" si="67"/>
        <v>0.64282442433594511</v>
      </c>
      <c r="M143" s="108">
        <f t="shared" si="67"/>
        <v>0.80179419994253665</v>
      </c>
      <c r="N143" s="108">
        <f t="shared" si="67"/>
        <v>0.88045454545454538</v>
      </c>
      <c r="O143" s="108">
        <f t="shared" si="67"/>
        <v>0.82676328502415464</v>
      </c>
      <c r="P143" s="108">
        <f t="shared" si="67"/>
        <v>0.82804335204180379</v>
      </c>
      <c r="Q143" s="108">
        <f t="shared" si="67"/>
        <v>0.82804335204180379</v>
      </c>
      <c r="R143" s="108">
        <f t="shared" si="67"/>
        <v>0.82804335204180379</v>
      </c>
      <c r="S143" s="108">
        <f t="shared" si="67"/>
        <v>0.82804335204180379</v>
      </c>
    </row>
    <row r="144" spans="1:21" s="4" customFormat="1" x14ac:dyDescent="0.2">
      <c r="A144" s="8"/>
      <c r="B144" s="2"/>
      <c r="C144" s="8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</row>
    <row r="145" spans="1:19" s="4" customFormat="1" x14ac:dyDescent="0.2">
      <c r="A145" s="40"/>
      <c r="B145" s="2"/>
      <c r="C145" s="119"/>
      <c r="D145" s="41"/>
      <c r="E145" s="42"/>
      <c r="F145" s="37"/>
      <c r="G145" s="94"/>
      <c r="H145" s="87">
        <f>H140</f>
        <v>2011</v>
      </c>
      <c r="I145" s="87">
        <f t="shared" ref="I145:S145" si="68">I140</f>
        <v>2012</v>
      </c>
      <c r="J145" s="87">
        <f t="shared" si="68"/>
        <v>2013</v>
      </c>
      <c r="K145" s="87">
        <f t="shared" si="68"/>
        <v>2014</v>
      </c>
      <c r="L145" s="87">
        <f t="shared" si="68"/>
        <v>2015</v>
      </c>
      <c r="M145" s="87">
        <f t="shared" si="68"/>
        <v>2016</v>
      </c>
      <c r="N145" s="87">
        <f t="shared" si="68"/>
        <v>2017</v>
      </c>
      <c r="O145" s="87">
        <f t="shared" si="68"/>
        <v>2018</v>
      </c>
      <c r="P145" s="87">
        <f t="shared" si="68"/>
        <v>2019</v>
      </c>
      <c r="Q145" s="87">
        <f t="shared" si="68"/>
        <v>2020</v>
      </c>
      <c r="R145" s="87">
        <f t="shared" si="68"/>
        <v>2021</v>
      </c>
      <c r="S145" s="87">
        <f t="shared" si="68"/>
        <v>2022</v>
      </c>
    </row>
    <row r="146" spans="1:19" s="4" customFormat="1" x14ac:dyDescent="0.2">
      <c r="A146" s="4" t="s">
        <v>456</v>
      </c>
      <c r="B146" s="2" t="s">
        <v>247</v>
      </c>
      <c r="C146" s="8" t="s">
        <v>264</v>
      </c>
      <c r="D146" s="120">
        <v>0.5</v>
      </c>
      <c r="E146" s="121" t="s">
        <v>265</v>
      </c>
      <c r="G146" s="103" t="s">
        <v>266</v>
      </c>
      <c r="H146" s="111" t="str">
        <f t="shared" ref="H146:S146" si="69">IF(H141&lt;$D$146,$E$146,H35/H4)</f>
        <v>N/A</v>
      </c>
      <c r="I146" s="111" t="str">
        <f t="shared" si="69"/>
        <v>N/A</v>
      </c>
      <c r="J146" s="111" t="str">
        <f t="shared" si="69"/>
        <v>N/A</v>
      </c>
      <c r="K146" s="111" t="str">
        <f t="shared" si="69"/>
        <v>N/A</v>
      </c>
      <c r="L146" s="111" t="str">
        <f t="shared" si="69"/>
        <v>N/A</v>
      </c>
      <c r="M146" s="111" t="str">
        <f t="shared" si="69"/>
        <v>N/A</v>
      </c>
      <c r="N146" s="111" t="str">
        <f t="shared" si="69"/>
        <v>N/A</v>
      </c>
      <c r="O146" s="111" t="str">
        <f t="shared" si="69"/>
        <v>N/A</v>
      </c>
      <c r="P146" s="111" t="str">
        <f t="shared" si="69"/>
        <v>N/A</v>
      </c>
      <c r="Q146" s="111" t="str">
        <f t="shared" si="69"/>
        <v>N/A</v>
      </c>
      <c r="R146" s="111" t="str">
        <f t="shared" si="69"/>
        <v>N/A</v>
      </c>
      <c r="S146" s="111" t="str">
        <f t="shared" si="69"/>
        <v>N/A</v>
      </c>
    </row>
    <row r="147" spans="1:19" s="4" customFormat="1" x14ac:dyDescent="0.2">
      <c r="A147" s="4" t="s">
        <v>457</v>
      </c>
      <c r="B147" s="2" t="s">
        <v>250</v>
      </c>
      <c r="C147" s="8" t="s">
        <v>267</v>
      </c>
      <c r="D147" s="120">
        <v>0.5</v>
      </c>
      <c r="E147" s="121" t="s">
        <v>265</v>
      </c>
      <c r="G147" s="110" t="s">
        <v>268</v>
      </c>
      <c r="H147" s="111" t="str">
        <f t="shared" ref="H147:S147" si="70">IF(H141&lt;$D$147,$E$147,H35/H15)</f>
        <v>N/A</v>
      </c>
      <c r="I147" s="111" t="str">
        <f t="shared" si="70"/>
        <v>N/A</v>
      </c>
      <c r="J147" s="111" t="str">
        <f t="shared" si="70"/>
        <v>N/A</v>
      </c>
      <c r="K147" s="111" t="str">
        <f t="shared" si="70"/>
        <v>N/A</v>
      </c>
      <c r="L147" s="111" t="str">
        <f t="shared" si="70"/>
        <v>N/A</v>
      </c>
      <c r="M147" s="111" t="str">
        <f t="shared" si="70"/>
        <v>N/A</v>
      </c>
      <c r="N147" s="111" t="str">
        <f t="shared" si="70"/>
        <v>N/A</v>
      </c>
      <c r="O147" s="111" t="str">
        <f t="shared" si="70"/>
        <v>N/A</v>
      </c>
      <c r="P147" s="111" t="str">
        <f t="shared" si="70"/>
        <v>N/A</v>
      </c>
      <c r="Q147" s="111" t="str">
        <f t="shared" si="70"/>
        <v>N/A</v>
      </c>
      <c r="R147" s="111" t="str">
        <f t="shared" si="70"/>
        <v>N/A</v>
      </c>
      <c r="S147" s="111" t="str">
        <f t="shared" si="70"/>
        <v>N/A</v>
      </c>
    </row>
    <row r="148" spans="1:19" s="4" customFormat="1" x14ac:dyDescent="0.2">
      <c r="A148" s="4" t="s">
        <v>458</v>
      </c>
      <c r="B148" s="2" t="s">
        <v>254</v>
      </c>
      <c r="C148" s="8" t="s">
        <v>201</v>
      </c>
      <c r="D148" s="120">
        <v>0.5</v>
      </c>
      <c r="E148" s="121" t="s">
        <v>265</v>
      </c>
      <c r="G148" s="103" t="s">
        <v>269</v>
      </c>
      <c r="H148" s="118" t="str">
        <f t="shared" ref="H148:S148" si="71">IF(H141&lt;$D$148,$E$148,H46/H33)</f>
        <v>N/A</v>
      </c>
      <c r="I148" s="118" t="str">
        <f t="shared" si="71"/>
        <v>N/A</v>
      </c>
      <c r="J148" s="118" t="str">
        <f t="shared" si="71"/>
        <v>N/A</v>
      </c>
      <c r="K148" s="118" t="str">
        <f t="shared" si="71"/>
        <v>N/A</v>
      </c>
      <c r="L148" s="118" t="str">
        <f t="shared" si="71"/>
        <v>N/A</v>
      </c>
      <c r="M148" s="118" t="str">
        <f t="shared" si="71"/>
        <v>N/A</v>
      </c>
      <c r="N148" s="118" t="str">
        <f t="shared" si="71"/>
        <v>N/A</v>
      </c>
      <c r="O148" s="118" t="str">
        <f t="shared" si="71"/>
        <v>N/A</v>
      </c>
      <c r="P148" s="118" t="str">
        <f t="shared" si="71"/>
        <v>N/A</v>
      </c>
      <c r="Q148" s="118" t="str">
        <f t="shared" si="71"/>
        <v>N/A</v>
      </c>
      <c r="R148" s="118" t="str">
        <f t="shared" si="71"/>
        <v>N/A</v>
      </c>
      <c r="S148" s="118" t="str">
        <f t="shared" si="71"/>
        <v>N/A</v>
      </c>
    </row>
    <row r="149" spans="1:19" s="4" customFormat="1" x14ac:dyDescent="0.2">
      <c r="A149" s="4" t="s">
        <v>459</v>
      </c>
      <c r="B149" s="2" t="s">
        <v>257</v>
      </c>
      <c r="C149" s="8" t="s">
        <v>270</v>
      </c>
      <c r="D149" s="120">
        <v>0.5</v>
      </c>
      <c r="E149" s="121" t="s">
        <v>265</v>
      </c>
      <c r="G149" s="110" t="s">
        <v>271</v>
      </c>
      <c r="H149" s="118" t="str">
        <f t="shared" ref="H149:S149" si="72">IF(H141&lt;$D$148,$E$149,H51/H33)</f>
        <v>N/A</v>
      </c>
      <c r="I149" s="118" t="str">
        <f t="shared" si="72"/>
        <v>N/A</v>
      </c>
      <c r="J149" s="118" t="str">
        <f t="shared" si="72"/>
        <v>N/A</v>
      </c>
      <c r="K149" s="118" t="str">
        <f t="shared" si="72"/>
        <v>N/A</v>
      </c>
      <c r="L149" s="118" t="str">
        <f t="shared" si="72"/>
        <v>N/A</v>
      </c>
      <c r="M149" s="118" t="str">
        <f t="shared" si="72"/>
        <v>N/A</v>
      </c>
      <c r="N149" s="118" t="str">
        <f t="shared" si="72"/>
        <v>N/A</v>
      </c>
      <c r="O149" s="118" t="str">
        <f t="shared" si="72"/>
        <v>N/A</v>
      </c>
      <c r="P149" s="118" t="str">
        <f t="shared" si="72"/>
        <v>N/A</v>
      </c>
      <c r="Q149" s="118" t="str">
        <f t="shared" si="72"/>
        <v>N/A</v>
      </c>
      <c r="R149" s="118" t="str">
        <f t="shared" si="72"/>
        <v>N/A</v>
      </c>
      <c r="S149" s="118" t="str">
        <f t="shared" si="72"/>
        <v>N/A</v>
      </c>
    </row>
    <row r="150" spans="1:19" s="4" customFormat="1" x14ac:dyDescent="0.2">
      <c r="A150" s="4" t="s">
        <v>460</v>
      </c>
      <c r="B150" s="2" t="s">
        <v>260</v>
      </c>
      <c r="C150" s="8" t="s">
        <v>272</v>
      </c>
      <c r="D150" s="120">
        <v>0.5</v>
      </c>
      <c r="E150" s="121" t="s">
        <v>265</v>
      </c>
      <c r="G150" s="110" t="s">
        <v>273</v>
      </c>
      <c r="H150" s="118" t="str">
        <f t="shared" ref="H150:S150" si="73">IF(H141&lt;$D$150,$E$150,H51/H4)</f>
        <v>N/A</v>
      </c>
      <c r="I150" s="118" t="str">
        <f t="shared" si="73"/>
        <v>N/A</v>
      </c>
      <c r="J150" s="118" t="str">
        <f t="shared" si="73"/>
        <v>N/A</v>
      </c>
      <c r="K150" s="118" t="str">
        <f t="shared" si="73"/>
        <v>N/A</v>
      </c>
      <c r="L150" s="118" t="str">
        <f t="shared" si="73"/>
        <v>N/A</v>
      </c>
      <c r="M150" s="118" t="str">
        <f t="shared" si="73"/>
        <v>N/A</v>
      </c>
      <c r="N150" s="118" t="str">
        <f t="shared" si="73"/>
        <v>N/A</v>
      </c>
      <c r="O150" s="118" t="str">
        <f t="shared" si="73"/>
        <v>N/A</v>
      </c>
      <c r="P150" s="118" t="str">
        <f t="shared" si="73"/>
        <v>N/A</v>
      </c>
      <c r="Q150" s="118" t="str">
        <f t="shared" si="73"/>
        <v>N/A</v>
      </c>
      <c r="R150" s="118" t="str">
        <f t="shared" si="73"/>
        <v>N/A</v>
      </c>
      <c r="S150" s="118" t="str">
        <f t="shared" si="73"/>
        <v>N/A</v>
      </c>
    </row>
    <row r="151" spans="1:19" s="4" customFormat="1" x14ac:dyDescent="0.2">
      <c r="A151" s="4" t="s">
        <v>461</v>
      </c>
      <c r="B151" s="2" t="s">
        <v>263</v>
      </c>
      <c r="C151" s="8" t="s">
        <v>274</v>
      </c>
      <c r="D151" s="120">
        <v>0.5</v>
      </c>
      <c r="E151" s="121" t="s">
        <v>265</v>
      </c>
      <c r="G151" s="46" t="s">
        <v>275</v>
      </c>
      <c r="H151" s="118" t="str">
        <f>IF(H141&lt;$D$151,$E$151,H51/H27)</f>
        <v>N/A</v>
      </c>
      <c r="I151" s="118" t="str">
        <f>IF(I141&lt;$D$151,$E$151,I51/((H27+I27)/2))</f>
        <v>N/A</v>
      </c>
      <c r="J151" s="118" t="str">
        <f>IF(J141&lt;$D$151,$E$151,J51/((I27+J27)/2))</f>
        <v>N/A</v>
      </c>
      <c r="K151" s="118" t="str">
        <f>IF(K141&lt;$D$151,$E$151,K51/((J27+K27)/2))</f>
        <v>N/A</v>
      </c>
      <c r="L151" s="118" t="str">
        <f>IF(L141&lt;$D$151,$E$151,L51/((K27+L27)/2))</f>
        <v>N/A</v>
      </c>
      <c r="M151" s="118" t="str">
        <f>IF(M141&lt;$D$151,$E$151,M51/((L27+M27)/2))</f>
        <v>N/A</v>
      </c>
      <c r="N151" s="118" t="str">
        <f t="shared" ref="N151:S151" si="74">IF(N141&lt;$D$151,$E$151,N51/((M27+N27)/2))</f>
        <v>N/A</v>
      </c>
      <c r="O151" s="118" t="str">
        <f t="shared" si="74"/>
        <v>N/A</v>
      </c>
      <c r="P151" s="118" t="str">
        <f t="shared" si="74"/>
        <v>N/A</v>
      </c>
      <c r="Q151" s="118" t="str">
        <f t="shared" si="74"/>
        <v>N/A</v>
      </c>
      <c r="R151" s="118" t="str">
        <f t="shared" si="74"/>
        <v>N/A</v>
      </c>
      <c r="S151" s="118" t="str">
        <f t="shared" si="74"/>
        <v>N/A</v>
      </c>
    </row>
    <row r="152" spans="1:19" s="4" customFormat="1" x14ac:dyDescent="0.2">
      <c r="A152" s="8"/>
      <c r="B152" s="2"/>
      <c r="C152" s="119"/>
      <c r="D152" s="41"/>
      <c r="E152" s="42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</row>
    <row r="153" spans="1:19" s="4" customFormat="1" x14ac:dyDescent="0.2">
      <c r="A153" s="8"/>
      <c r="B153" s="2"/>
      <c r="C153" s="10"/>
      <c r="D153" s="10"/>
      <c r="E153" s="9"/>
      <c r="F153" s="8"/>
      <c r="G153" s="94" t="s">
        <v>462</v>
      </c>
      <c r="H153" s="87">
        <f>H145</f>
        <v>2011</v>
      </c>
      <c r="I153" s="87">
        <f t="shared" ref="I153:S153" si="75">I145</f>
        <v>2012</v>
      </c>
      <c r="J153" s="87">
        <f t="shared" si="75"/>
        <v>2013</v>
      </c>
      <c r="K153" s="87">
        <f t="shared" si="75"/>
        <v>2014</v>
      </c>
      <c r="L153" s="87">
        <f t="shared" si="75"/>
        <v>2015</v>
      </c>
      <c r="M153" s="87">
        <f t="shared" si="75"/>
        <v>2016</v>
      </c>
      <c r="N153" s="87">
        <f t="shared" si="75"/>
        <v>2017</v>
      </c>
      <c r="O153" s="87">
        <f t="shared" si="75"/>
        <v>2018</v>
      </c>
      <c r="P153" s="87">
        <f t="shared" si="75"/>
        <v>2019</v>
      </c>
      <c r="Q153" s="87">
        <f t="shared" si="75"/>
        <v>2020</v>
      </c>
      <c r="R153" s="87">
        <f t="shared" si="75"/>
        <v>2021</v>
      </c>
      <c r="S153" s="87">
        <f t="shared" si="75"/>
        <v>2022</v>
      </c>
    </row>
    <row r="154" spans="1:19" s="4" customFormat="1" x14ac:dyDescent="0.2">
      <c r="A154" s="8"/>
      <c r="B154" s="2"/>
      <c r="C154" s="10"/>
      <c r="D154" s="10"/>
      <c r="E154" s="9"/>
      <c r="F154" s="8"/>
      <c r="G154" s="95" t="s">
        <v>276</v>
      </c>
      <c r="H154" s="96">
        <f t="shared" ref="H154:S154" si="76">H33</f>
        <v>4486.5829999999996</v>
      </c>
      <c r="I154" s="96">
        <f t="shared" si="76"/>
        <v>4803.4870000000001</v>
      </c>
      <c r="J154" s="96">
        <f t="shared" si="76"/>
        <v>4754.7780000000002</v>
      </c>
      <c r="K154" s="96">
        <f t="shared" si="76"/>
        <v>5893.6329999999998</v>
      </c>
      <c r="L154" s="96">
        <f>L33</f>
        <v>5335.1720000000005</v>
      </c>
      <c r="M154" s="96">
        <f t="shared" si="76"/>
        <v>9340.646999999999</v>
      </c>
      <c r="N154" s="96">
        <f t="shared" si="76"/>
        <v>8134.9049999999997</v>
      </c>
      <c r="O154" s="96">
        <f t="shared" si="76"/>
        <v>10350</v>
      </c>
      <c r="P154" s="96">
        <f t="shared" si="76"/>
        <v>10334</v>
      </c>
      <c r="Q154" s="96">
        <f t="shared" si="76"/>
        <v>10334</v>
      </c>
      <c r="R154" s="96">
        <f t="shared" si="76"/>
        <v>10334</v>
      </c>
      <c r="S154" s="96">
        <f t="shared" si="76"/>
        <v>10334</v>
      </c>
    </row>
    <row r="155" spans="1:19" s="4" customFormat="1" x14ac:dyDescent="0.2">
      <c r="A155" s="8"/>
      <c r="B155" s="2"/>
      <c r="C155" s="10"/>
      <c r="D155" s="10"/>
      <c r="E155" s="9"/>
      <c r="F155" s="8"/>
      <c r="G155" s="95" t="s">
        <v>277</v>
      </c>
      <c r="H155" s="96">
        <f t="shared" ref="H155:S156" si="77">H35</f>
        <v>492.05500000000001</v>
      </c>
      <c r="I155" s="96">
        <f t="shared" si="77"/>
        <v>602.255</v>
      </c>
      <c r="J155" s="96">
        <f t="shared" si="77"/>
        <v>591.63099999999997</v>
      </c>
      <c r="K155" s="96">
        <f t="shared" si="77"/>
        <v>602.42399999999998</v>
      </c>
      <c r="L155" s="96">
        <f t="shared" si="77"/>
        <v>647.21199999999999</v>
      </c>
      <c r="M155" s="96">
        <f t="shared" si="77"/>
        <v>635.96400000000006</v>
      </c>
      <c r="N155" s="96">
        <f t="shared" si="77"/>
        <v>68.855999999999995</v>
      </c>
      <c r="O155" s="96">
        <f t="shared" si="77"/>
        <v>670</v>
      </c>
      <c r="P155" s="96">
        <f t="shared" si="77"/>
        <v>670</v>
      </c>
      <c r="Q155" s="96">
        <f t="shared" si="77"/>
        <v>670</v>
      </c>
      <c r="R155" s="96">
        <f t="shared" si="77"/>
        <v>670</v>
      </c>
      <c r="S155" s="96">
        <f t="shared" si="77"/>
        <v>670</v>
      </c>
    </row>
    <row r="156" spans="1:19" s="4" customFormat="1" x14ac:dyDescent="0.2">
      <c r="A156" s="8"/>
      <c r="B156" s="2"/>
      <c r="C156" s="10"/>
      <c r="D156" s="10"/>
      <c r="E156" s="9"/>
      <c r="F156" s="8"/>
      <c r="G156" s="95" t="s">
        <v>278</v>
      </c>
      <c r="H156" s="96">
        <f t="shared" si="77"/>
        <v>3993.2979999999998</v>
      </c>
      <c r="I156" s="96">
        <f t="shared" si="77"/>
        <v>4198.2879999999996</v>
      </c>
      <c r="J156" s="96">
        <f t="shared" si="77"/>
        <v>4162.3019999999997</v>
      </c>
      <c r="K156" s="96">
        <f t="shared" si="77"/>
        <v>5291.2089999999998</v>
      </c>
      <c r="L156" s="96">
        <f t="shared" si="77"/>
        <v>4687.0410000000002</v>
      </c>
      <c r="M156" s="96">
        <f t="shared" si="77"/>
        <v>8675.5959999999995</v>
      </c>
      <c r="N156" s="96">
        <f t="shared" si="77"/>
        <v>8062.8969999999999</v>
      </c>
      <c r="O156" s="96">
        <f t="shared" si="77"/>
        <v>9670</v>
      </c>
      <c r="P156" s="96">
        <f t="shared" si="77"/>
        <v>9654</v>
      </c>
      <c r="Q156" s="96">
        <f t="shared" si="77"/>
        <v>9654</v>
      </c>
      <c r="R156" s="96">
        <f t="shared" si="77"/>
        <v>9654</v>
      </c>
      <c r="S156" s="96">
        <f t="shared" si="77"/>
        <v>9654</v>
      </c>
    </row>
    <row r="157" spans="1:19" s="4" customFormat="1" x14ac:dyDescent="0.2">
      <c r="A157" s="8"/>
      <c r="B157" s="2"/>
      <c r="C157" s="10"/>
      <c r="D157" s="10"/>
      <c r="E157" s="9"/>
      <c r="F157" s="8"/>
      <c r="G157" s="95" t="s">
        <v>279</v>
      </c>
      <c r="H157" s="96">
        <f t="shared" ref="H157:S157" si="78">H38+H41</f>
        <v>-4595.6469999999999</v>
      </c>
      <c r="I157" s="96">
        <f t="shared" si="78"/>
        <v>-4769.0649999999996</v>
      </c>
      <c r="J157" s="96">
        <f t="shared" si="78"/>
        <v>-4660.4369999999999</v>
      </c>
      <c r="K157" s="96">
        <f t="shared" si="78"/>
        <v>-5874.7549999999992</v>
      </c>
      <c r="L157" s="96">
        <f t="shared" si="78"/>
        <v>-5339.92</v>
      </c>
      <c r="M157" s="96">
        <f t="shared" si="78"/>
        <v>-9425.148000000001</v>
      </c>
      <c r="N157" s="96">
        <f t="shared" si="78"/>
        <v>-8087.2000000000007</v>
      </c>
      <c r="O157" s="96">
        <f t="shared" si="78"/>
        <v>-10350</v>
      </c>
      <c r="P157" s="96">
        <f t="shared" si="78"/>
        <v>-10334</v>
      </c>
      <c r="Q157" s="96">
        <f t="shared" si="78"/>
        <v>-10334</v>
      </c>
      <c r="R157" s="96">
        <f t="shared" si="78"/>
        <v>-10334</v>
      </c>
      <c r="S157" s="96">
        <f t="shared" si="78"/>
        <v>-10334</v>
      </c>
    </row>
    <row r="158" spans="1:19" s="4" customFormat="1" x14ac:dyDescent="0.2">
      <c r="A158" s="8"/>
      <c r="B158" s="2"/>
      <c r="C158" s="10"/>
      <c r="D158" s="10"/>
      <c r="E158" s="9"/>
      <c r="F158" s="8"/>
      <c r="G158" s="95" t="s">
        <v>280</v>
      </c>
      <c r="H158" s="96">
        <f t="shared" ref="H158:S158" si="79">H41</f>
        <v>-1531.3530000000001</v>
      </c>
      <c r="I158" s="96">
        <f t="shared" si="79"/>
        <v>-1678.1279999999999</v>
      </c>
      <c r="J158" s="96">
        <f t="shared" si="79"/>
        <v>-1551.566</v>
      </c>
      <c r="K158" s="96">
        <f t="shared" si="79"/>
        <v>-1654.078</v>
      </c>
      <c r="L158" s="96">
        <f t="shared" si="79"/>
        <v>-1907.2890000000002</v>
      </c>
      <c r="M158" s="96">
        <f t="shared" si="79"/>
        <v>-1868.1189999999999</v>
      </c>
      <c r="N158" s="96">
        <f t="shared" si="79"/>
        <v>-966.78800000000001</v>
      </c>
      <c r="O158" s="96">
        <f t="shared" si="79"/>
        <v>-1793</v>
      </c>
      <c r="P158" s="96">
        <f t="shared" si="79"/>
        <v>-1777</v>
      </c>
      <c r="Q158" s="96">
        <f t="shared" si="79"/>
        <v>-1777</v>
      </c>
      <c r="R158" s="96">
        <f t="shared" si="79"/>
        <v>-1777</v>
      </c>
      <c r="S158" s="96">
        <f t="shared" si="79"/>
        <v>-1777</v>
      </c>
    </row>
    <row r="159" spans="1:19" s="4" customFormat="1" x14ac:dyDescent="0.2">
      <c r="A159" s="8"/>
      <c r="B159" s="2"/>
      <c r="C159" s="10"/>
      <c r="D159" s="10"/>
      <c r="E159" s="9"/>
      <c r="F159" s="8"/>
      <c r="G159" s="95" t="s">
        <v>281</v>
      </c>
      <c r="H159" s="96">
        <f t="shared" ref="H159:S159" si="80">H38</f>
        <v>-3064.2939999999999</v>
      </c>
      <c r="I159" s="96">
        <f t="shared" si="80"/>
        <v>-3090.9369999999999</v>
      </c>
      <c r="J159" s="96">
        <f t="shared" si="80"/>
        <v>-3108.8710000000001</v>
      </c>
      <c r="K159" s="96">
        <f t="shared" si="80"/>
        <v>-4220.6769999999997</v>
      </c>
      <c r="L159" s="96">
        <f t="shared" si="80"/>
        <v>-3432.6309999999999</v>
      </c>
      <c r="M159" s="96">
        <f t="shared" si="80"/>
        <v>-7557.0290000000005</v>
      </c>
      <c r="N159" s="96">
        <f t="shared" si="80"/>
        <v>-7120.4120000000003</v>
      </c>
      <c r="O159" s="96">
        <f t="shared" si="80"/>
        <v>-8557</v>
      </c>
      <c r="P159" s="96">
        <f t="shared" si="80"/>
        <v>-8557</v>
      </c>
      <c r="Q159" s="96">
        <f t="shared" si="80"/>
        <v>-8557</v>
      </c>
      <c r="R159" s="96">
        <f t="shared" si="80"/>
        <v>-8557</v>
      </c>
      <c r="S159" s="96">
        <f t="shared" si="80"/>
        <v>-8557</v>
      </c>
    </row>
    <row r="160" spans="1:19" s="4" customFormat="1" x14ac:dyDescent="0.2">
      <c r="A160" s="8"/>
      <c r="B160" s="2"/>
      <c r="C160" s="10"/>
      <c r="D160" s="10"/>
      <c r="E160" s="9"/>
      <c r="F160" s="8"/>
      <c r="G160" s="95" t="s">
        <v>282</v>
      </c>
      <c r="H160" s="96">
        <f t="shared" ref="H160:S160" si="81">H46</f>
        <v>-109.06400000000031</v>
      </c>
      <c r="I160" s="96">
        <f t="shared" si="81"/>
        <v>34.422000000000253</v>
      </c>
      <c r="J160" s="96">
        <f t="shared" si="81"/>
        <v>94.341000000000122</v>
      </c>
      <c r="K160" s="96">
        <f t="shared" si="81"/>
        <v>18.878000000000156</v>
      </c>
      <c r="L160" s="96">
        <f t="shared" si="81"/>
        <v>-4.7479999999995925</v>
      </c>
      <c r="M160" s="96">
        <f t="shared" si="81"/>
        <v>-84.501000000001341</v>
      </c>
      <c r="N160" s="96">
        <f t="shared" si="81"/>
        <v>47.704999999999472</v>
      </c>
      <c r="O160" s="96">
        <f t="shared" si="81"/>
        <v>0</v>
      </c>
      <c r="P160" s="96">
        <f t="shared" si="81"/>
        <v>0</v>
      </c>
      <c r="Q160" s="96">
        <f t="shared" si="81"/>
        <v>0</v>
      </c>
      <c r="R160" s="96">
        <f t="shared" si="81"/>
        <v>0</v>
      </c>
      <c r="S160" s="96">
        <f t="shared" si="81"/>
        <v>0</v>
      </c>
    </row>
    <row r="161" spans="1:19" s="4" customFormat="1" x14ac:dyDescent="0.2">
      <c r="A161" s="8"/>
      <c r="B161" s="2"/>
      <c r="C161" s="10"/>
      <c r="D161" s="10"/>
      <c r="E161" s="9"/>
      <c r="F161" s="8"/>
      <c r="G161" s="95" t="s">
        <v>283</v>
      </c>
      <c r="H161" s="96">
        <f t="shared" ref="H161:S161" si="82">H51</f>
        <v>-108.09100000000031</v>
      </c>
      <c r="I161" s="96">
        <f t="shared" si="82"/>
        <v>34.468000000000252</v>
      </c>
      <c r="J161" s="96">
        <f t="shared" si="82"/>
        <v>94.356000000000122</v>
      </c>
      <c r="K161" s="96">
        <f t="shared" si="82"/>
        <v>18.929000000000155</v>
      </c>
      <c r="L161" s="96">
        <f t="shared" si="82"/>
        <v>-2.4309999999995924</v>
      </c>
      <c r="M161" s="96">
        <f t="shared" si="82"/>
        <v>-81.209000000001339</v>
      </c>
      <c r="N161" s="96">
        <f t="shared" si="82"/>
        <v>47.704999999999472</v>
      </c>
      <c r="O161" s="96">
        <f t="shared" si="82"/>
        <v>0</v>
      </c>
      <c r="P161" s="96">
        <f t="shared" si="82"/>
        <v>0</v>
      </c>
      <c r="Q161" s="96">
        <f t="shared" si="82"/>
        <v>0</v>
      </c>
      <c r="R161" s="96">
        <f t="shared" si="82"/>
        <v>0</v>
      </c>
      <c r="S161" s="96">
        <f t="shared" si="82"/>
        <v>0</v>
      </c>
    </row>
    <row r="162" spans="1:19" s="4" customFormat="1" x14ac:dyDescent="0.2">
      <c r="A162" s="8"/>
      <c r="B162" s="2"/>
      <c r="C162" s="10"/>
      <c r="D162" s="10"/>
      <c r="E162" s="9"/>
      <c r="F162" s="8"/>
      <c r="G162" s="95" t="s">
        <v>284</v>
      </c>
      <c r="H162" s="96">
        <f t="shared" ref="H162:S163" si="83">H4</f>
        <v>843.46099999999979</v>
      </c>
      <c r="I162" s="96">
        <f t="shared" si="83"/>
        <v>714.72700000000009</v>
      </c>
      <c r="J162" s="96">
        <f t="shared" si="83"/>
        <v>1309.7240000000002</v>
      </c>
      <c r="K162" s="96">
        <f t="shared" si="83"/>
        <v>1148.7839999999999</v>
      </c>
      <c r="L162" s="96">
        <f t="shared" si="83"/>
        <v>1564.9829999999999</v>
      </c>
      <c r="M162" s="96">
        <f t="shared" si="83"/>
        <v>1344.4559999999999</v>
      </c>
      <c r="N162" s="96">
        <f t="shared" si="83"/>
        <v>2528.7389999999996</v>
      </c>
      <c r="O162" s="96">
        <f t="shared" si="83"/>
        <v>1424</v>
      </c>
      <c r="P162" s="96">
        <f t="shared" si="83"/>
        <v>1234</v>
      </c>
      <c r="Q162" s="96">
        <f t="shared" si="83"/>
        <v>1214</v>
      </c>
      <c r="R162" s="96">
        <f t="shared" si="83"/>
        <v>1194</v>
      </c>
      <c r="S162" s="96">
        <f t="shared" si="83"/>
        <v>1174</v>
      </c>
    </row>
    <row r="163" spans="1:19" s="4" customFormat="1" x14ac:dyDescent="0.2">
      <c r="A163" s="8"/>
      <c r="B163" s="2"/>
      <c r="C163" s="10"/>
      <c r="D163" s="10"/>
      <c r="E163" s="9"/>
      <c r="F163" s="8"/>
      <c r="G163" s="95" t="s">
        <v>285</v>
      </c>
      <c r="H163" s="96">
        <f t="shared" si="83"/>
        <v>575.50099999999986</v>
      </c>
      <c r="I163" s="96">
        <f t="shared" si="83"/>
        <v>499.90700000000004</v>
      </c>
      <c r="J163" s="96">
        <f t="shared" si="83"/>
        <v>1022.8430000000001</v>
      </c>
      <c r="K163" s="96">
        <f t="shared" si="83"/>
        <v>919.68399999999997</v>
      </c>
      <c r="L163" s="96">
        <f t="shared" si="83"/>
        <v>1381.425</v>
      </c>
      <c r="M163" s="96">
        <f t="shared" si="83"/>
        <v>1212.5039999999999</v>
      </c>
      <c r="N163" s="96">
        <f t="shared" si="83"/>
        <v>2389.8149999999996</v>
      </c>
      <c r="O163" s="96">
        <f t="shared" si="83"/>
        <v>1304</v>
      </c>
      <c r="P163" s="96">
        <f t="shared" si="83"/>
        <v>1129</v>
      </c>
      <c r="Q163" s="96">
        <f t="shared" si="83"/>
        <v>1134</v>
      </c>
      <c r="R163" s="96">
        <f t="shared" si="83"/>
        <v>1134</v>
      </c>
      <c r="S163" s="96">
        <f t="shared" si="83"/>
        <v>1134</v>
      </c>
    </row>
    <row r="164" spans="1:19" s="4" customFormat="1" x14ac:dyDescent="0.2">
      <c r="A164" s="8"/>
      <c r="B164" s="2"/>
      <c r="C164" s="10"/>
      <c r="D164" s="10"/>
      <c r="E164" s="9"/>
      <c r="F164" s="8"/>
      <c r="G164" s="95" t="s">
        <v>286</v>
      </c>
      <c r="H164" s="96">
        <f t="shared" ref="H164:S164" si="84">H10</f>
        <v>267.95999999999998</v>
      </c>
      <c r="I164" s="96">
        <f t="shared" si="84"/>
        <v>214.82</v>
      </c>
      <c r="J164" s="96">
        <f t="shared" si="84"/>
        <v>286.88099999999997</v>
      </c>
      <c r="K164" s="96">
        <f t="shared" si="84"/>
        <v>229.1</v>
      </c>
      <c r="L164" s="96">
        <f t="shared" si="84"/>
        <v>183.55799999999999</v>
      </c>
      <c r="M164" s="96">
        <f t="shared" si="84"/>
        <v>131.952</v>
      </c>
      <c r="N164" s="96">
        <f t="shared" si="84"/>
        <v>138.92400000000001</v>
      </c>
      <c r="O164" s="96">
        <f t="shared" si="84"/>
        <v>120</v>
      </c>
      <c r="P164" s="96">
        <f t="shared" si="84"/>
        <v>105</v>
      </c>
      <c r="Q164" s="96">
        <f t="shared" si="84"/>
        <v>80</v>
      </c>
      <c r="R164" s="96">
        <f t="shared" si="84"/>
        <v>60</v>
      </c>
      <c r="S164" s="96">
        <f t="shared" si="84"/>
        <v>40</v>
      </c>
    </row>
    <row r="165" spans="1:19" s="4" customFormat="1" x14ac:dyDescent="0.2">
      <c r="A165" s="8"/>
      <c r="B165" s="2"/>
      <c r="C165" s="10"/>
      <c r="D165" s="10"/>
      <c r="E165" s="9"/>
      <c r="F165" s="8"/>
      <c r="G165" s="95" t="s">
        <v>287</v>
      </c>
      <c r="H165" s="96">
        <f t="shared" ref="H165:S166" si="85">H19</f>
        <v>632.86800000000005</v>
      </c>
      <c r="I165" s="96">
        <f t="shared" si="85"/>
        <v>398.495</v>
      </c>
      <c r="J165" s="96">
        <f t="shared" si="85"/>
        <v>899.13599999999997</v>
      </c>
      <c r="K165" s="96">
        <f t="shared" si="85"/>
        <v>719.26700000000005</v>
      </c>
      <c r="L165" s="96">
        <f t="shared" si="85"/>
        <v>1137.8969999999999</v>
      </c>
      <c r="M165" s="96">
        <f t="shared" si="85"/>
        <v>998.58</v>
      </c>
      <c r="N165" s="96">
        <f t="shared" si="85"/>
        <v>2134.79</v>
      </c>
      <c r="O165" s="96">
        <f t="shared" si="85"/>
        <v>1030</v>
      </c>
      <c r="P165" s="96">
        <f t="shared" si="85"/>
        <v>840</v>
      </c>
      <c r="Q165" s="96">
        <f t="shared" si="85"/>
        <v>820</v>
      </c>
      <c r="R165" s="96">
        <f t="shared" si="85"/>
        <v>800</v>
      </c>
      <c r="S165" s="96">
        <f t="shared" si="85"/>
        <v>780</v>
      </c>
    </row>
    <row r="166" spans="1:19" s="4" customFormat="1" x14ac:dyDescent="0.2">
      <c r="A166" s="8"/>
      <c r="B166" s="2"/>
      <c r="C166" s="10"/>
      <c r="D166" s="10"/>
      <c r="E166" s="9"/>
      <c r="F166" s="8"/>
      <c r="G166" s="95" t="s">
        <v>288</v>
      </c>
      <c r="H166" s="96">
        <f t="shared" si="85"/>
        <v>561.697</v>
      </c>
      <c r="I166" s="96">
        <f t="shared" si="85"/>
        <v>398.495</v>
      </c>
      <c r="J166" s="96">
        <f t="shared" si="85"/>
        <v>899.13599999999997</v>
      </c>
      <c r="K166" s="96">
        <f t="shared" si="85"/>
        <v>719.26700000000005</v>
      </c>
      <c r="L166" s="96">
        <f t="shared" si="85"/>
        <v>1137.8969999999999</v>
      </c>
      <c r="M166" s="96">
        <f t="shared" si="85"/>
        <v>998.58</v>
      </c>
      <c r="N166" s="96">
        <f t="shared" si="85"/>
        <v>2134.79</v>
      </c>
      <c r="O166" s="96">
        <f t="shared" si="85"/>
        <v>1030</v>
      </c>
      <c r="P166" s="96">
        <f t="shared" si="85"/>
        <v>840</v>
      </c>
      <c r="Q166" s="96">
        <f t="shared" si="85"/>
        <v>820</v>
      </c>
      <c r="R166" s="96">
        <f t="shared" si="85"/>
        <v>800</v>
      </c>
      <c r="S166" s="96">
        <f t="shared" si="85"/>
        <v>780</v>
      </c>
    </row>
    <row r="167" spans="1:19" s="4" customFormat="1" x14ac:dyDescent="0.2">
      <c r="A167" s="8"/>
      <c r="B167" s="2"/>
      <c r="C167" s="10"/>
      <c r="D167" s="10"/>
      <c r="E167" s="9"/>
      <c r="F167" s="8"/>
      <c r="G167" s="95" t="s">
        <v>289</v>
      </c>
      <c r="H167" s="96">
        <f t="shared" ref="H167:S167" si="86">H24</f>
        <v>71.171000000000006</v>
      </c>
      <c r="I167" s="96">
        <f t="shared" si="86"/>
        <v>0</v>
      </c>
      <c r="J167" s="96">
        <f t="shared" si="86"/>
        <v>0</v>
      </c>
      <c r="K167" s="96">
        <f t="shared" si="86"/>
        <v>0</v>
      </c>
      <c r="L167" s="96">
        <f t="shared" si="86"/>
        <v>0</v>
      </c>
      <c r="M167" s="96">
        <f t="shared" si="86"/>
        <v>0</v>
      </c>
      <c r="N167" s="96">
        <f t="shared" si="86"/>
        <v>0</v>
      </c>
      <c r="O167" s="96">
        <f t="shared" si="86"/>
        <v>0</v>
      </c>
      <c r="P167" s="96">
        <f t="shared" si="86"/>
        <v>0</v>
      </c>
      <c r="Q167" s="96">
        <f t="shared" si="86"/>
        <v>0</v>
      </c>
      <c r="R167" s="96">
        <f t="shared" si="86"/>
        <v>0</v>
      </c>
      <c r="S167" s="96">
        <f t="shared" si="86"/>
        <v>0</v>
      </c>
    </row>
    <row r="168" spans="1:19" s="4" customFormat="1" x14ac:dyDescent="0.2">
      <c r="A168" s="8"/>
      <c r="B168" s="2"/>
      <c r="C168" s="10"/>
      <c r="D168" s="10"/>
      <c r="E168" s="9"/>
      <c r="F168" s="8"/>
      <c r="G168" s="95" t="s">
        <v>290</v>
      </c>
      <c r="H168" s="96">
        <f t="shared" ref="H168:S168" si="87">H27</f>
        <v>210.59299999999996</v>
      </c>
      <c r="I168" s="96">
        <f t="shared" si="87"/>
        <v>316.23200000000003</v>
      </c>
      <c r="J168" s="96">
        <f t="shared" si="87"/>
        <v>410.58799999999997</v>
      </c>
      <c r="K168" s="96">
        <f t="shared" si="87"/>
        <v>429.51599999999996</v>
      </c>
      <c r="L168" s="96">
        <f t="shared" si="87"/>
        <v>427.08499999999998</v>
      </c>
      <c r="M168" s="96">
        <f t="shared" si="87"/>
        <v>345.87700000000001</v>
      </c>
      <c r="N168" s="96">
        <f>N27</f>
        <v>393.88099999999997</v>
      </c>
      <c r="O168" s="96">
        <f t="shared" si="87"/>
        <v>393.88099999999997</v>
      </c>
      <c r="P168" s="96">
        <f t="shared" si="87"/>
        <v>393.863</v>
      </c>
      <c r="Q168" s="96">
        <f t="shared" si="87"/>
        <v>393.863</v>
      </c>
      <c r="R168" s="96">
        <f t="shared" si="87"/>
        <v>393.863</v>
      </c>
      <c r="S168" s="96">
        <f t="shared" si="87"/>
        <v>393.863</v>
      </c>
    </row>
    <row r="169" spans="1:19" s="4" customFormat="1" x14ac:dyDescent="0.2">
      <c r="A169" s="8"/>
      <c r="B169" s="2"/>
      <c r="C169" s="119"/>
      <c r="D169" s="41"/>
      <c r="E169" s="42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</row>
    <row r="170" spans="1:19" s="4" customFormat="1" x14ac:dyDescent="0.2">
      <c r="A170" s="8"/>
      <c r="B170" s="2"/>
      <c r="C170" s="119" t="s">
        <v>463</v>
      </c>
      <c r="D170" s="41"/>
      <c r="E170" s="42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</row>
    <row r="171" spans="1:19" s="4" customFormat="1" x14ac:dyDescent="0.2">
      <c r="A171" s="8"/>
      <c r="B171" s="2"/>
      <c r="C171" s="119"/>
      <c r="D171" s="41"/>
      <c r="E171" s="42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</row>
    <row r="172" spans="1:19" s="40" customFormat="1" x14ac:dyDescent="0.2">
      <c r="A172" s="29"/>
      <c r="B172" s="2"/>
      <c r="C172" s="29" t="s">
        <v>464</v>
      </c>
      <c r="D172" s="99"/>
      <c r="E172" s="30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</row>
    <row r="173" spans="1:19" s="4" customFormat="1" x14ac:dyDescent="0.2">
      <c r="A173" s="8"/>
      <c r="B173" s="2"/>
      <c r="C173" s="8"/>
      <c r="D173" s="10"/>
      <c r="E173" s="9"/>
      <c r="F173" s="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</row>
    <row r="174" spans="1:19" s="4" customFormat="1" x14ac:dyDescent="0.2">
      <c r="A174" s="8"/>
      <c r="B174" s="2"/>
      <c r="C174" s="8" t="s">
        <v>291</v>
      </c>
      <c r="D174" s="10"/>
      <c r="E174" s="9"/>
      <c r="F174" s="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</row>
    <row r="175" spans="1:19" s="4" customFormat="1" x14ac:dyDescent="0.2">
      <c r="A175" s="8"/>
      <c r="B175" s="2"/>
      <c r="C175" s="8" t="s">
        <v>292</v>
      </c>
      <c r="D175" s="10"/>
      <c r="E175" s="9"/>
      <c r="F175" s="12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  <c r="R175" s="44"/>
    </row>
    <row r="176" spans="1:19" s="4" customFormat="1" x14ac:dyDescent="0.2">
      <c r="A176" s="8"/>
      <c r="B176" s="2"/>
      <c r="C176" s="8"/>
      <c r="D176" s="10"/>
      <c r="E176" s="9"/>
      <c r="F176" s="12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</row>
    <row r="177" spans="1:7" s="4" customFormat="1" x14ac:dyDescent="0.2">
      <c r="A177" s="8"/>
      <c r="B177" s="2"/>
      <c r="C177" s="8" t="s">
        <v>293</v>
      </c>
      <c r="D177" s="10"/>
      <c r="E177" s="9"/>
      <c r="F177" s="12"/>
      <c r="G177" s="28"/>
    </row>
    <row r="178" spans="1:7" s="4" customFormat="1" x14ac:dyDescent="0.2">
      <c r="A178" s="8"/>
      <c r="B178" s="2"/>
      <c r="C178" s="8" t="s">
        <v>294</v>
      </c>
      <c r="D178" s="10"/>
      <c r="E178" s="9"/>
      <c r="F178" s="12"/>
      <c r="G178" s="28"/>
    </row>
    <row r="179" spans="1:7" s="4" customFormat="1" x14ac:dyDescent="0.2">
      <c r="A179" s="8"/>
      <c r="B179" s="2"/>
      <c r="C179" s="10"/>
      <c r="D179" s="10"/>
      <c r="E179" s="9"/>
      <c r="F179" s="8"/>
      <c r="G179" s="28"/>
    </row>
    <row r="180" spans="1:7" s="4" customFormat="1" x14ac:dyDescent="0.2">
      <c r="A180" s="8"/>
      <c r="B180" s="2"/>
      <c r="C180" s="10"/>
      <c r="D180" s="10"/>
      <c r="E180" s="9"/>
      <c r="F180" s="8"/>
      <c r="G180" s="28"/>
    </row>
    <row r="181" spans="1:7" s="4" customFormat="1" x14ac:dyDescent="0.2">
      <c r="A181" s="8"/>
      <c r="B181" s="2"/>
      <c r="C181" s="10"/>
      <c r="D181" s="10"/>
      <c r="E181" s="9"/>
      <c r="F181" s="8"/>
      <c r="G181" s="28"/>
    </row>
    <row r="182" spans="1:7" s="4" customFormat="1" x14ac:dyDescent="0.2">
      <c r="A182" s="8"/>
      <c r="B182" s="2"/>
      <c r="C182" s="10"/>
      <c r="D182" s="10"/>
      <c r="E182" s="9"/>
      <c r="F182" s="8"/>
      <c r="G182" s="28"/>
    </row>
    <row r="183" spans="1:7" s="4" customFormat="1" x14ac:dyDescent="0.2">
      <c r="A183" s="8"/>
      <c r="B183" s="2"/>
      <c r="C183" s="10"/>
      <c r="D183" s="10"/>
      <c r="E183" s="9"/>
      <c r="F183" s="8"/>
      <c r="G183" s="28"/>
    </row>
    <row r="184" spans="1:7" s="4" customFormat="1" x14ac:dyDescent="0.2">
      <c r="A184" s="8"/>
      <c r="B184" s="2"/>
      <c r="C184" s="10"/>
      <c r="D184" s="10"/>
      <c r="E184" s="9"/>
      <c r="F184" s="8"/>
      <c r="G184" s="28"/>
    </row>
    <row r="185" spans="1:7" s="4" customFormat="1" x14ac:dyDescent="0.2">
      <c r="A185" s="8"/>
      <c r="B185" s="2"/>
      <c r="C185" s="10"/>
      <c r="D185" s="10"/>
      <c r="E185" s="9"/>
      <c r="F185" s="8"/>
      <c r="G185" s="28"/>
    </row>
    <row r="186" spans="1:7" s="4" customFormat="1" x14ac:dyDescent="0.2">
      <c r="A186" s="8"/>
      <c r="B186" s="2"/>
      <c r="C186" s="10"/>
      <c r="D186" s="10"/>
      <c r="E186" s="9"/>
      <c r="F186" s="8"/>
      <c r="G186" s="28"/>
    </row>
    <row r="187" spans="1:7" s="4" customFormat="1" x14ac:dyDescent="0.2">
      <c r="A187" s="8"/>
      <c r="B187" s="2"/>
      <c r="C187" s="10"/>
      <c r="D187" s="10"/>
      <c r="E187" s="9"/>
      <c r="F187" s="8"/>
      <c r="G187" s="28"/>
    </row>
    <row r="188" spans="1:7" s="4" customFormat="1" x14ac:dyDescent="0.2">
      <c r="A188" s="8"/>
      <c r="B188" s="2"/>
      <c r="C188" s="10"/>
      <c r="D188" s="10"/>
      <c r="E188" s="9"/>
      <c r="F188" s="8"/>
      <c r="G188" s="28"/>
    </row>
    <row r="189" spans="1:7" s="4" customFormat="1" x14ac:dyDescent="0.2">
      <c r="A189" s="8"/>
      <c r="B189" s="2"/>
      <c r="C189" s="10"/>
      <c r="D189" s="10"/>
      <c r="E189" s="9"/>
      <c r="F189" s="8"/>
      <c r="G189" s="28"/>
    </row>
    <row r="190" spans="1:7" s="4" customFormat="1" x14ac:dyDescent="0.2">
      <c r="A190" s="8"/>
      <c r="B190" s="2"/>
      <c r="C190" s="10"/>
      <c r="D190" s="10"/>
      <c r="E190" s="9"/>
      <c r="F190" s="8"/>
      <c r="G190" s="28"/>
    </row>
    <row r="191" spans="1:7" s="4" customFormat="1" x14ac:dyDescent="0.2">
      <c r="A191" s="8"/>
      <c r="B191" s="2"/>
      <c r="C191" s="10"/>
      <c r="D191" s="10"/>
      <c r="E191" s="9"/>
      <c r="F191" s="8"/>
      <c r="G191" s="28"/>
    </row>
    <row r="192" spans="1:7" s="4" customFormat="1" x14ac:dyDescent="0.2">
      <c r="A192" s="8"/>
      <c r="B192" s="2"/>
      <c r="C192" s="10"/>
      <c r="D192" s="10"/>
      <c r="E192" s="9"/>
      <c r="F192" s="8"/>
      <c r="G192" s="28"/>
    </row>
    <row r="193" spans="1:7" s="4" customFormat="1" x14ac:dyDescent="0.2">
      <c r="A193" s="8"/>
      <c r="B193" s="2"/>
      <c r="C193" s="10"/>
      <c r="D193" s="10"/>
      <c r="E193" s="9"/>
      <c r="F193" s="8"/>
      <c r="G193" s="28"/>
    </row>
    <row r="194" spans="1:7" s="4" customFormat="1" x14ac:dyDescent="0.2">
      <c r="A194" s="8"/>
      <c r="B194" s="2"/>
      <c r="C194" s="10"/>
      <c r="D194" s="10"/>
      <c r="E194" s="9"/>
      <c r="F194" s="8"/>
      <c r="G194" s="28"/>
    </row>
    <row r="195" spans="1:7" s="4" customFormat="1" x14ac:dyDescent="0.2">
      <c r="A195" s="8"/>
      <c r="B195" s="2"/>
      <c r="C195" s="10"/>
      <c r="D195" s="10"/>
      <c r="E195" s="9"/>
      <c r="F195" s="8"/>
      <c r="G195" s="28"/>
    </row>
    <row r="196" spans="1:7" s="4" customFormat="1" x14ac:dyDescent="0.2">
      <c r="A196" s="8"/>
      <c r="B196" s="2"/>
      <c r="C196" s="10"/>
      <c r="D196" s="10"/>
      <c r="E196" s="9"/>
      <c r="F196" s="8"/>
      <c r="G196" s="28"/>
    </row>
    <row r="197" spans="1:7" s="4" customFormat="1" x14ac:dyDescent="0.2">
      <c r="A197" s="8"/>
      <c r="B197" s="2"/>
      <c r="C197" s="10"/>
      <c r="D197" s="10"/>
      <c r="E197" s="9"/>
      <c r="F197" s="8"/>
      <c r="G197" s="28"/>
    </row>
    <row r="198" spans="1:7" s="4" customFormat="1" x14ac:dyDescent="0.2">
      <c r="A198" s="8"/>
      <c r="B198" s="2"/>
      <c r="C198" s="10"/>
      <c r="D198" s="10"/>
      <c r="E198" s="9"/>
      <c r="F198" s="8"/>
      <c r="G198" s="28"/>
    </row>
    <row r="199" spans="1:7" s="4" customFormat="1" x14ac:dyDescent="0.2">
      <c r="A199" s="8"/>
      <c r="B199" s="2"/>
      <c r="C199" s="10"/>
      <c r="D199" s="10"/>
      <c r="E199" s="9"/>
      <c r="F199" s="8"/>
      <c r="G199" s="28"/>
    </row>
    <row r="200" spans="1:7" s="4" customFormat="1" x14ac:dyDescent="0.2">
      <c r="A200" s="8"/>
      <c r="B200" s="2"/>
      <c r="C200" s="10"/>
      <c r="D200" s="10"/>
      <c r="E200" s="9"/>
      <c r="F200" s="8"/>
      <c r="G200" s="28"/>
    </row>
    <row r="201" spans="1:7" s="4" customFormat="1" x14ac:dyDescent="0.2">
      <c r="A201" s="8"/>
      <c r="B201" s="2"/>
      <c r="C201" s="10"/>
      <c r="D201" s="10"/>
      <c r="E201" s="9"/>
      <c r="F201" s="8"/>
      <c r="G201" s="28"/>
    </row>
    <row r="202" spans="1:7" s="4" customFormat="1" x14ac:dyDescent="0.2">
      <c r="A202" s="8"/>
      <c r="B202" s="2"/>
      <c r="C202" s="10"/>
      <c r="D202" s="10"/>
      <c r="E202" s="9"/>
      <c r="F202" s="8"/>
      <c r="G202" s="28"/>
    </row>
  </sheetData>
  <mergeCells count="1">
    <mergeCell ref="D92:E92"/>
  </mergeCells>
  <conditionalFormatting sqref="H141:Q141">
    <cfRule type="cellIs" dxfId="1795" priority="51" stopIfTrue="1" operator="greaterThan">
      <formula>$E$141</formula>
    </cfRule>
    <cfRule type="cellIs" dxfId="1794" priority="52" stopIfTrue="1" operator="lessThanOrEqual">
      <formula>$E$141</formula>
    </cfRule>
  </conditionalFormatting>
  <conditionalFormatting sqref="H143:Q143">
    <cfRule type="cellIs" dxfId="1793" priority="49" stopIfTrue="1" operator="lessThanOrEqual">
      <formula>$E$143</formula>
    </cfRule>
    <cfRule type="cellIs" dxfId="1792" priority="50" stopIfTrue="1" operator="greaterThan">
      <formula>$E$143</formula>
    </cfRule>
  </conditionalFormatting>
  <conditionalFormatting sqref="H121:Q121">
    <cfRule type="cellIs" dxfId="1791" priority="47" operator="greaterThan">
      <formula>$E$121</formula>
    </cfRule>
    <cfRule type="cellIs" dxfId="1790" priority="48" operator="lessThanOrEqual">
      <formula>$E$121</formula>
    </cfRule>
  </conditionalFormatting>
  <conditionalFormatting sqref="H124:Q124">
    <cfRule type="cellIs" dxfId="1789" priority="45" stopIfTrue="1" operator="greaterThanOrEqual">
      <formula>$E$124</formula>
    </cfRule>
    <cfRule type="cellIs" dxfId="1788" priority="46" stopIfTrue="1" operator="lessThan">
      <formula>$E$124</formula>
    </cfRule>
  </conditionalFormatting>
  <conditionalFormatting sqref="H126:Q126">
    <cfRule type="cellIs" dxfId="1787" priority="43" stopIfTrue="1" operator="lessThan">
      <formula>$E$126</formula>
    </cfRule>
    <cfRule type="cellIs" dxfId="1786" priority="44" stopIfTrue="1" operator="greaterThanOrEqual">
      <formula>$E$126</formula>
    </cfRule>
  </conditionalFormatting>
  <conditionalFormatting sqref="H125:Q125">
    <cfRule type="cellIs" dxfId="1785" priority="41" stopIfTrue="1" operator="greaterThan">
      <formula>$E$125</formula>
    </cfRule>
    <cfRule type="cellIs" dxfId="1784" priority="42" stopIfTrue="1" operator="lessThanOrEqual">
      <formula>$E$125</formula>
    </cfRule>
  </conditionalFormatting>
  <conditionalFormatting sqref="H122:Q122">
    <cfRule type="cellIs" dxfId="1783" priority="30" stopIfTrue="1" operator="between">
      <formula>$D$122</formula>
      <formula>$E$122</formula>
    </cfRule>
    <cfRule type="cellIs" dxfId="1782" priority="39" stopIfTrue="1" operator="lessThanOrEqual">
      <formula>$D$122</formula>
    </cfRule>
    <cfRule type="cellIs" dxfId="1781" priority="40" stopIfTrue="1" operator="greaterThan">
      <formula>$E$122</formula>
    </cfRule>
  </conditionalFormatting>
  <conditionalFormatting sqref="H142:Q142">
    <cfRule type="cellIs" dxfId="1780" priority="37" stopIfTrue="1" operator="greaterThan">
      <formula>$E$142</formula>
    </cfRule>
    <cfRule type="cellIs" dxfId="1779" priority="38" stopIfTrue="1" operator="lessThanOrEqual">
      <formula>$E$142</formula>
    </cfRule>
  </conditionalFormatting>
  <conditionalFormatting sqref="H130:Q130">
    <cfRule type="cellIs" dxfId="1778" priority="35" stopIfTrue="1" operator="greaterThan">
      <formula>$E$130</formula>
    </cfRule>
    <cfRule type="cellIs" dxfId="1777" priority="36" stopIfTrue="1" operator="lessThanOrEqual">
      <formula>$E$130</formula>
    </cfRule>
  </conditionalFormatting>
  <conditionalFormatting sqref="H131:Q131">
    <cfRule type="cellIs" dxfId="1776" priority="33" stopIfTrue="1" operator="lessThan">
      <formula>$E$131</formula>
    </cfRule>
    <cfRule type="cellIs" dxfId="1775" priority="34" stopIfTrue="1" operator="greaterThanOrEqual">
      <formula>$E$131</formula>
    </cfRule>
  </conditionalFormatting>
  <conditionalFormatting sqref="H114:Q114">
    <cfRule type="cellIs" dxfId="1774" priority="53" stopIfTrue="1" operator="lessThan">
      <formula>$D$114</formula>
    </cfRule>
    <cfRule type="cellIs" dxfId="1773" priority="54" stopIfTrue="1" operator="between">
      <formula>$D$114</formula>
      <formula>$E$114</formula>
    </cfRule>
    <cfRule type="cellIs" dxfId="1772" priority="55" stopIfTrue="1" operator="greaterThan">
      <formula>$E$114</formula>
    </cfRule>
  </conditionalFormatting>
  <conditionalFormatting sqref="H138:Q138">
    <cfRule type="cellIs" dxfId="1771" priority="56" stopIfTrue="1" operator="lessThan">
      <formula>$E$138</formula>
    </cfRule>
    <cfRule type="cellIs" dxfId="1770" priority="57" stopIfTrue="1" operator="between">
      <formula>$D$138</formula>
      <formula>$E$138</formula>
    </cfRule>
    <cfRule type="cellIs" dxfId="1769" priority="58" stopIfTrue="1" operator="greaterThanOrEqual">
      <formula>$D$138</formula>
    </cfRule>
  </conditionalFormatting>
  <conditionalFormatting sqref="H111:Q111">
    <cfRule type="cellIs" dxfId="1768" priority="31" stopIfTrue="1" operator="lessThan">
      <formula>$E$111</formula>
    </cfRule>
    <cfRule type="cellIs" dxfId="1767" priority="32" stopIfTrue="1" operator="greaterThan">
      <formula>$E$111</formula>
    </cfRule>
  </conditionalFormatting>
  <conditionalFormatting sqref="R141:S141">
    <cfRule type="cellIs" dxfId="1766" priority="22" stopIfTrue="1" operator="greaterThan">
      <formula>$E$141</formula>
    </cfRule>
    <cfRule type="cellIs" dxfId="1765" priority="23" stopIfTrue="1" operator="lessThanOrEqual">
      <formula>$E$141</formula>
    </cfRule>
  </conditionalFormatting>
  <conditionalFormatting sqref="R143:S143">
    <cfRule type="cellIs" dxfId="1764" priority="20" stopIfTrue="1" operator="lessThanOrEqual">
      <formula>$E$143</formula>
    </cfRule>
    <cfRule type="cellIs" dxfId="1763" priority="21" stopIfTrue="1" operator="greaterThan">
      <formula>$E$143</formula>
    </cfRule>
  </conditionalFormatting>
  <conditionalFormatting sqref="R121:S121">
    <cfRule type="cellIs" dxfId="1762" priority="18" operator="greaterThan">
      <formula>$E$121</formula>
    </cfRule>
    <cfRule type="cellIs" dxfId="1761" priority="19" operator="lessThanOrEqual">
      <formula>$E$121</formula>
    </cfRule>
  </conditionalFormatting>
  <conditionalFormatting sqref="R124:S124">
    <cfRule type="cellIs" dxfId="1760" priority="16" stopIfTrue="1" operator="greaterThanOrEqual">
      <formula>$E$124</formula>
    </cfRule>
    <cfRule type="cellIs" dxfId="1759" priority="17" stopIfTrue="1" operator="lessThan">
      <formula>$E$124</formula>
    </cfRule>
  </conditionalFormatting>
  <conditionalFormatting sqref="R126:S126">
    <cfRule type="cellIs" dxfId="1758" priority="14" stopIfTrue="1" operator="lessThan">
      <formula>$E$126</formula>
    </cfRule>
    <cfRule type="cellIs" dxfId="1757" priority="15" stopIfTrue="1" operator="greaterThanOrEqual">
      <formula>$E$126</formula>
    </cfRule>
  </conditionalFormatting>
  <conditionalFormatting sqref="R125:S125">
    <cfRule type="cellIs" dxfId="1756" priority="12" stopIfTrue="1" operator="greaterThan">
      <formula>$E$125</formula>
    </cfRule>
    <cfRule type="cellIs" dxfId="1755" priority="13" stopIfTrue="1" operator="lessThanOrEqual">
      <formula>$E$125</formula>
    </cfRule>
  </conditionalFormatting>
  <conditionalFormatting sqref="R122:S122">
    <cfRule type="cellIs" dxfId="1754" priority="1" stopIfTrue="1" operator="between">
      <formula>$D$122</formula>
      <formula>$E$122</formula>
    </cfRule>
    <cfRule type="cellIs" dxfId="1753" priority="10" stopIfTrue="1" operator="lessThanOrEqual">
      <formula>$D$122</formula>
    </cfRule>
    <cfRule type="cellIs" dxfId="1752" priority="11" stopIfTrue="1" operator="greaterThan">
      <formula>$E$122</formula>
    </cfRule>
  </conditionalFormatting>
  <conditionalFormatting sqref="R142:S142">
    <cfRule type="cellIs" dxfId="1751" priority="8" stopIfTrue="1" operator="greaterThan">
      <formula>$E$142</formula>
    </cfRule>
    <cfRule type="cellIs" dxfId="1750" priority="9" stopIfTrue="1" operator="lessThanOrEqual">
      <formula>$E$142</formula>
    </cfRule>
  </conditionalFormatting>
  <conditionalFormatting sqref="R130:S130">
    <cfRule type="cellIs" dxfId="1749" priority="6" stopIfTrue="1" operator="greaterThan">
      <formula>$E$130</formula>
    </cfRule>
    <cfRule type="cellIs" dxfId="1748" priority="7" stopIfTrue="1" operator="lessThanOrEqual">
      <formula>$E$130</formula>
    </cfRule>
  </conditionalFormatting>
  <conditionalFormatting sqref="R131:S131">
    <cfRule type="cellIs" dxfId="1747" priority="4" stopIfTrue="1" operator="lessThan">
      <formula>$E$131</formula>
    </cfRule>
    <cfRule type="cellIs" dxfId="1746" priority="5" stopIfTrue="1" operator="greaterThanOrEqual">
      <formula>$E$131</formula>
    </cfRule>
  </conditionalFormatting>
  <conditionalFormatting sqref="R114:S114">
    <cfRule type="cellIs" dxfId="1745" priority="24" stopIfTrue="1" operator="lessThan">
      <formula>$D$114</formula>
    </cfRule>
    <cfRule type="cellIs" dxfId="1744" priority="25" stopIfTrue="1" operator="between">
      <formula>$D$114</formula>
      <formula>$E$114</formula>
    </cfRule>
    <cfRule type="cellIs" dxfId="1743" priority="26" stopIfTrue="1" operator="greaterThan">
      <formula>$E$114</formula>
    </cfRule>
  </conditionalFormatting>
  <conditionalFormatting sqref="R138:S138">
    <cfRule type="cellIs" dxfId="1742" priority="27" stopIfTrue="1" operator="lessThan">
      <formula>$E$138</formula>
    </cfRule>
    <cfRule type="cellIs" dxfId="1741" priority="28" stopIfTrue="1" operator="between">
      <formula>$D$138</formula>
      <formula>$E$138</formula>
    </cfRule>
    <cfRule type="cellIs" dxfId="1740" priority="29" stopIfTrue="1" operator="greaterThanOrEqual">
      <formula>$D$138</formula>
    </cfRule>
  </conditionalFormatting>
  <conditionalFormatting sqref="R111:S111">
    <cfRule type="cellIs" dxfId="1739" priority="2" stopIfTrue="1" operator="lessThan">
      <formula>$E$111</formula>
    </cfRule>
    <cfRule type="cellIs" dxfId="1738" priority="3" stopIfTrue="1" operator="greaterThan">
      <formula>$E$111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A50A63-E171-4986-82AB-8CCC9088798C}">
  <dimension ref="A1:AA202"/>
  <sheetViews>
    <sheetView zoomScaleNormal="100" workbookViewId="0">
      <selection activeCell="G2" sqref="G2"/>
    </sheetView>
  </sheetViews>
  <sheetFormatPr defaultRowHeight="11.25" outlineLevelCol="1" x14ac:dyDescent="0.2"/>
  <cols>
    <col min="1" max="1" width="6.85546875" style="47" customWidth="1"/>
    <col min="2" max="2" width="7.28515625" style="47" customWidth="1"/>
    <col min="3" max="3" width="9.140625" style="47"/>
    <col min="4" max="4" width="7.7109375" style="47" customWidth="1"/>
    <col min="5" max="5" width="5.140625" style="47" bestFit="1" customWidth="1"/>
    <col min="6" max="6" width="2" style="8" bestFit="1" customWidth="1"/>
    <col min="7" max="7" width="29" style="47" customWidth="1"/>
    <col min="8" max="12" width="8.28515625" style="47" hidden="1" customWidth="1" outlineLevel="1"/>
    <col min="13" max="13" width="9.28515625" style="47" customWidth="1" collapsed="1"/>
    <col min="14" max="14" width="9" style="47" customWidth="1"/>
    <col min="15" max="17" width="9.5703125" style="47" customWidth="1"/>
    <col min="18" max="18" width="9.85546875" style="47" customWidth="1"/>
    <col min="19" max="256" width="9.140625" style="47"/>
    <col min="257" max="257" width="6.85546875" style="47" customWidth="1"/>
    <col min="258" max="258" width="7.28515625" style="47" customWidth="1"/>
    <col min="259" max="259" width="9.140625" style="47"/>
    <col min="260" max="260" width="7.7109375" style="47" customWidth="1"/>
    <col min="261" max="261" width="5.140625" style="47" bestFit="1" customWidth="1"/>
    <col min="262" max="262" width="2" style="47" bestFit="1" customWidth="1"/>
    <col min="263" max="263" width="29" style="47" customWidth="1"/>
    <col min="264" max="268" width="0" style="47" hidden="1" customWidth="1"/>
    <col min="269" max="269" width="9.28515625" style="47" customWidth="1"/>
    <col min="270" max="270" width="9" style="47" customWidth="1"/>
    <col min="271" max="273" width="9.5703125" style="47" customWidth="1"/>
    <col min="274" max="274" width="9.85546875" style="47" customWidth="1"/>
    <col min="275" max="512" width="9.140625" style="47"/>
    <col min="513" max="513" width="6.85546875" style="47" customWidth="1"/>
    <col min="514" max="514" width="7.28515625" style="47" customWidth="1"/>
    <col min="515" max="515" width="9.140625" style="47"/>
    <col min="516" max="516" width="7.7109375" style="47" customWidth="1"/>
    <col min="517" max="517" width="5.140625" style="47" bestFit="1" customWidth="1"/>
    <col min="518" max="518" width="2" style="47" bestFit="1" customWidth="1"/>
    <col min="519" max="519" width="29" style="47" customWidth="1"/>
    <col min="520" max="524" width="0" style="47" hidden="1" customWidth="1"/>
    <col min="525" max="525" width="9.28515625" style="47" customWidth="1"/>
    <col min="526" max="526" width="9" style="47" customWidth="1"/>
    <col min="527" max="529" width="9.5703125" style="47" customWidth="1"/>
    <col min="530" max="530" width="9.85546875" style="47" customWidth="1"/>
    <col min="531" max="768" width="9.140625" style="47"/>
    <col min="769" max="769" width="6.85546875" style="47" customWidth="1"/>
    <col min="770" max="770" width="7.28515625" style="47" customWidth="1"/>
    <col min="771" max="771" width="9.140625" style="47"/>
    <col min="772" max="772" width="7.7109375" style="47" customWidth="1"/>
    <col min="773" max="773" width="5.140625" style="47" bestFit="1" customWidth="1"/>
    <col min="774" max="774" width="2" style="47" bestFit="1" customWidth="1"/>
    <col min="775" max="775" width="29" style="47" customWidth="1"/>
    <col min="776" max="780" width="0" style="47" hidden="1" customWidth="1"/>
    <col min="781" max="781" width="9.28515625" style="47" customWidth="1"/>
    <col min="782" max="782" width="9" style="47" customWidth="1"/>
    <col min="783" max="785" width="9.5703125" style="47" customWidth="1"/>
    <col min="786" max="786" width="9.85546875" style="47" customWidth="1"/>
    <col min="787" max="1024" width="9.140625" style="47"/>
    <col min="1025" max="1025" width="6.85546875" style="47" customWidth="1"/>
    <col min="1026" max="1026" width="7.28515625" style="47" customWidth="1"/>
    <col min="1027" max="1027" width="9.140625" style="47"/>
    <col min="1028" max="1028" width="7.7109375" style="47" customWidth="1"/>
    <col min="1029" max="1029" width="5.140625" style="47" bestFit="1" customWidth="1"/>
    <col min="1030" max="1030" width="2" style="47" bestFit="1" customWidth="1"/>
    <col min="1031" max="1031" width="29" style="47" customWidth="1"/>
    <col min="1032" max="1036" width="0" style="47" hidden="1" customWidth="1"/>
    <col min="1037" max="1037" width="9.28515625" style="47" customWidth="1"/>
    <col min="1038" max="1038" width="9" style="47" customWidth="1"/>
    <col min="1039" max="1041" width="9.5703125" style="47" customWidth="1"/>
    <col min="1042" max="1042" width="9.85546875" style="47" customWidth="1"/>
    <col min="1043" max="1280" width="9.140625" style="47"/>
    <col min="1281" max="1281" width="6.85546875" style="47" customWidth="1"/>
    <col min="1282" max="1282" width="7.28515625" style="47" customWidth="1"/>
    <col min="1283" max="1283" width="9.140625" style="47"/>
    <col min="1284" max="1284" width="7.7109375" style="47" customWidth="1"/>
    <col min="1285" max="1285" width="5.140625" style="47" bestFit="1" customWidth="1"/>
    <col min="1286" max="1286" width="2" style="47" bestFit="1" customWidth="1"/>
    <col min="1287" max="1287" width="29" style="47" customWidth="1"/>
    <col min="1288" max="1292" width="0" style="47" hidden="1" customWidth="1"/>
    <col min="1293" max="1293" width="9.28515625" style="47" customWidth="1"/>
    <col min="1294" max="1294" width="9" style="47" customWidth="1"/>
    <col min="1295" max="1297" width="9.5703125" style="47" customWidth="1"/>
    <col min="1298" max="1298" width="9.85546875" style="47" customWidth="1"/>
    <col min="1299" max="1536" width="9.140625" style="47"/>
    <col min="1537" max="1537" width="6.85546875" style="47" customWidth="1"/>
    <col min="1538" max="1538" width="7.28515625" style="47" customWidth="1"/>
    <col min="1539" max="1539" width="9.140625" style="47"/>
    <col min="1540" max="1540" width="7.7109375" style="47" customWidth="1"/>
    <col min="1541" max="1541" width="5.140625" style="47" bestFit="1" customWidth="1"/>
    <col min="1542" max="1542" width="2" style="47" bestFit="1" customWidth="1"/>
    <col min="1543" max="1543" width="29" style="47" customWidth="1"/>
    <col min="1544" max="1548" width="0" style="47" hidden="1" customWidth="1"/>
    <col min="1549" max="1549" width="9.28515625" style="47" customWidth="1"/>
    <col min="1550" max="1550" width="9" style="47" customWidth="1"/>
    <col min="1551" max="1553" width="9.5703125" style="47" customWidth="1"/>
    <col min="1554" max="1554" width="9.85546875" style="47" customWidth="1"/>
    <col min="1555" max="1792" width="9.140625" style="47"/>
    <col min="1793" max="1793" width="6.85546875" style="47" customWidth="1"/>
    <col min="1794" max="1794" width="7.28515625" style="47" customWidth="1"/>
    <col min="1795" max="1795" width="9.140625" style="47"/>
    <col min="1796" max="1796" width="7.7109375" style="47" customWidth="1"/>
    <col min="1797" max="1797" width="5.140625" style="47" bestFit="1" customWidth="1"/>
    <col min="1798" max="1798" width="2" style="47" bestFit="1" customWidth="1"/>
    <col min="1799" max="1799" width="29" style="47" customWidth="1"/>
    <col min="1800" max="1804" width="0" style="47" hidden="1" customWidth="1"/>
    <col min="1805" max="1805" width="9.28515625" style="47" customWidth="1"/>
    <col min="1806" max="1806" width="9" style="47" customWidth="1"/>
    <col min="1807" max="1809" width="9.5703125" style="47" customWidth="1"/>
    <col min="1810" max="1810" width="9.85546875" style="47" customWidth="1"/>
    <col min="1811" max="2048" width="9.140625" style="47"/>
    <col min="2049" max="2049" width="6.85546875" style="47" customWidth="1"/>
    <col min="2050" max="2050" width="7.28515625" style="47" customWidth="1"/>
    <col min="2051" max="2051" width="9.140625" style="47"/>
    <col min="2052" max="2052" width="7.7109375" style="47" customWidth="1"/>
    <col min="2053" max="2053" width="5.140625" style="47" bestFit="1" customWidth="1"/>
    <col min="2054" max="2054" width="2" style="47" bestFit="1" customWidth="1"/>
    <col min="2055" max="2055" width="29" style="47" customWidth="1"/>
    <col min="2056" max="2060" width="0" style="47" hidden="1" customWidth="1"/>
    <col min="2061" max="2061" width="9.28515625" style="47" customWidth="1"/>
    <col min="2062" max="2062" width="9" style="47" customWidth="1"/>
    <col min="2063" max="2065" width="9.5703125" style="47" customWidth="1"/>
    <col min="2066" max="2066" width="9.85546875" style="47" customWidth="1"/>
    <col min="2067" max="2304" width="9.140625" style="47"/>
    <col min="2305" max="2305" width="6.85546875" style="47" customWidth="1"/>
    <col min="2306" max="2306" width="7.28515625" style="47" customWidth="1"/>
    <col min="2307" max="2307" width="9.140625" style="47"/>
    <col min="2308" max="2308" width="7.7109375" style="47" customWidth="1"/>
    <col min="2309" max="2309" width="5.140625" style="47" bestFit="1" customWidth="1"/>
    <col min="2310" max="2310" width="2" style="47" bestFit="1" customWidth="1"/>
    <col min="2311" max="2311" width="29" style="47" customWidth="1"/>
    <col min="2312" max="2316" width="0" style="47" hidden="1" customWidth="1"/>
    <col min="2317" max="2317" width="9.28515625" style="47" customWidth="1"/>
    <col min="2318" max="2318" width="9" style="47" customWidth="1"/>
    <col min="2319" max="2321" width="9.5703125" style="47" customWidth="1"/>
    <col min="2322" max="2322" width="9.85546875" style="47" customWidth="1"/>
    <col min="2323" max="2560" width="9.140625" style="47"/>
    <col min="2561" max="2561" width="6.85546875" style="47" customWidth="1"/>
    <col min="2562" max="2562" width="7.28515625" style="47" customWidth="1"/>
    <col min="2563" max="2563" width="9.140625" style="47"/>
    <col min="2564" max="2564" width="7.7109375" style="47" customWidth="1"/>
    <col min="2565" max="2565" width="5.140625" style="47" bestFit="1" customWidth="1"/>
    <col min="2566" max="2566" width="2" style="47" bestFit="1" customWidth="1"/>
    <col min="2567" max="2567" width="29" style="47" customWidth="1"/>
    <col min="2568" max="2572" width="0" style="47" hidden="1" customWidth="1"/>
    <col min="2573" max="2573" width="9.28515625" style="47" customWidth="1"/>
    <col min="2574" max="2574" width="9" style="47" customWidth="1"/>
    <col min="2575" max="2577" width="9.5703125" style="47" customWidth="1"/>
    <col min="2578" max="2578" width="9.85546875" style="47" customWidth="1"/>
    <col min="2579" max="2816" width="9.140625" style="47"/>
    <col min="2817" max="2817" width="6.85546875" style="47" customWidth="1"/>
    <col min="2818" max="2818" width="7.28515625" style="47" customWidth="1"/>
    <col min="2819" max="2819" width="9.140625" style="47"/>
    <col min="2820" max="2820" width="7.7109375" style="47" customWidth="1"/>
    <col min="2821" max="2821" width="5.140625" style="47" bestFit="1" customWidth="1"/>
    <col min="2822" max="2822" width="2" style="47" bestFit="1" customWidth="1"/>
    <col min="2823" max="2823" width="29" style="47" customWidth="1"/>
    <col min="2824" max="2828" width="0" style="47" hidden="1" customWidth="1"/>
    <col min="2829" max="2829" width="9.28515625" style="47" customWidth="1"/>
    <col min="2830" max="2830" width="9" style="47" customWidth="1"/>
    <col min="2831" max="2833" width="9.5703125" style="47" customWidth="1"/>
    <col min="2834" max="2834" width="9.85546875" style="47" customWidth="1"/>
    <col min="2835" max="3072" width="9.140625" style="47"/>
    <col min="3073" max="3073" width="6.85546875" style="47" customWidth="1"/>
    <col min="3074" max="3074" width="7.28515625" style="47" customWidth="1"/>
    <col min="3075" max="3075" width="9.140625" style="47"/>
    <col min="3076" max="3076" width="7.7109375" style="47" customWidth="1"/>
    <col min="3077" max="3077" width="5.140625" style="47" bestFit="1" customWidth="1"/>
    <col min="3078" max="3078" width="2" style="47" bestFit="1" customWidth="1"/>
    <col min="3079" max="3079" width="29" style="47" customWidth="1"/>
    <col min="3080" max="3084" width="0" style="47" hidden="1" customWidth="1"/>
    <col min="3085" max="3085" width="9.28515625" style="47" customWidth="1"/>
    <col min="3086" max="3086" width="9" style="47" customWidth="1"/>
    <col min="3087" max="3089" width="9.5703125" style="47" customWidth="1"/>
    <col min="3090" max="3090" width="9.85546875" style="47" customWidth="1"/>
    <col min="3091" max="3328" width="9.140625" style="47"/>
    <col min="3329" max="3329" width="6.85546875" style="47" customWidth="1"/>
    <col min="3330" max="3330" width="7.28515625" style="47" customWidth="1"/>
    <col min="3331" max="3331" width="9.140625" style="47"/>
    <col min="3332" max="3332" width="7.7109375" style="47" customWidth="1"/>
    <col min="3333" max="3333" width="5.140625" style="47" bestFit="1" customWidth="1"/>
    <col min="3334" max="3334" width="2" style="47" bestFit="1" customWidth="1"/>
    <col min="3335" max="3335" width="29" style="47" customWidth="1"/>
    <col min="3336" max="3340" width="0" style="47" hidden="1" customWidth="1"/>
    <col min="3341" max="3341" width="9.28515625" style="47" customWidth="1"/>
    <col min="3342" max="3342" width="9" style="47" customWidth="1"/>
    <col min="3343" max="3345" width="9.5703125" style="47" customWidth="1"/>
    <col min="3346" max="3346" width="9.85546875" style="47" customWidth="1"/>
    <col min="3347" max="3584" width="9.140625" style="47"/>
    <col min="3585" max="3585" width="6.85546875" style="47" customWidth="1"/>
    <col min="3586" max="3586" width="7.28515625" style="47" customWidth="1"/>
    <col min="3587" max="3587" width="9.140625" style="47"/>
    <col min="3588" max="3588" width="7.7109375" style="47" customWidth="1"/>
    <col min="3589" max="3589" width="5.140625" style="47" bestFit="1" customWidth="1"/>
    <col min="3590" max="3590" width="2" style="47" bestFit="1" customWidth="1"/>
    <col min="3591" max="3591" width="29" style="47" customWidth="1"/>
    <col min="3592" max="3596" width="0" style="47" hidden="1" customWidth="1"/>
    <col min="3597" max="3597" width="9.28515625" style="47" customWidth="1"/>
    <col min="3598" max="3598" width="9" style="47" customWidth="1"/>
    <col min="3599" max="3601" width="9.5703125" style="47" customWidth="1"/>
    <col min="3602" max="3602" width="9.85546875" style="47" customWidth="1"/>
    <col min="3603" max="3840" width="9.140625" style="47"/>
    <col min="3841" max="3841" width="6.85546875" style="47" customWidth="1"/>
    <col min="3842" max="3842" width="7.28515625" style="47" customWidth="1"/>
    <col min="3843" max="3843" width="9.140625" style="47"/>
    <col min="3844" max="3844" width="7.7109375" style="47" customWidth="1"/>
    <col min="3845" max="3845" width="5.140625" style="47" bestFit="1" customWidth="1"/>
    <col min="3846" max="3846" width="2" style="47" bestFit="1" customWidth="1"/>
    <col min="3847" max="3847" width="29" style="47" customWidth="1"/>
    <col min="3848" max="3852" width="0" style="47" hidden="1" customWidth="1"/>
    <col min="3853" max="3853" width="9.28515625" style="47" customWidth="1"/>
    <col min="3854" max="3854" width="9" style="47" customWidth="1"/>
    <col min="3855" max="3857" width="9.5703125" style="47" customWidth="1"/>
    <col min="3858" max="3858" width="9.85546875" style="47" customWidth="1"/>
    <col min="3859" max="4096" width="9.140625" style="47"/>
    <col min="4097" max="4097" width="6.85546875" style="47" customWidth="1"/>
    <col min="4098" max="4098" width="7.28515625" style="47" customWidth="1"/>
    <col min="4099" max="4099" width="9.140625" style="47"/>
    <col min="4100" max="4100" width="7.7109375" style="47" customWidth="1"/>
    <col min="4101" max="4101" width="5.140625" style="47" bestFit="1" customWidth="1"/>
    <col min="4102" max="4102" width="2" style="47" bestFit="1" customWidth="1"/>
    <col min="4103" max="4103" width="29" style="47" customWidth="1"/>
    <col min="4104" max="4108" width="0" style="47" hidden="1" customWidth="1"/>
    <col min="4109" max="4109" width="9.28515625" style="47" customWidth="1"/>
    <col min="4110" max="4110" width="9" style="47" customWidth="1"/>
    <col min="4111" max="4113" width="9.5703125" style="47" customWidth="1"/>
    <col min="4114" max="4114" width="9.85546875" style="47" customWidth="1"/>
    <col min="4115" max="4352" width="9.140625" style="47"/>
    <col min="4353" max="4353" width="6.85546875" style="47" customWidth="1"/>
    <col min="4354" max="4354" width="7.28515625" style="47" customWidth="1"/>
    <col min="4355" max="4355" width="9.140625" style="47"/>
    <col min="4356" max="4356" width="7.7109375" style="47" customWidth="1"/>
    <col min="4357" max="4357" width="5.140625" style="47" bestFit="1" customWidth="1"/>
    <col min="4358" max="4358" width="2" style="47" bestFit="1" customWidth="1"/>
    <col min="4359" max="4359" width="29" style="47" customWidth="1"/>
    <col min="4360" max="4364" width="0" style="47" hidden="1" customWidth="1"/>
    <col min="4365" max="4365" width="9.28515625" style="47" customWidth="1"/>
    <col min="4366" max="4366" width="9" style="47" customWidth="1"/>
    <col min="4367" max="4369" width="9.5703125" style="47" customWidth="1"/>
    <col min="4370" max="4370" width="9.85546875" style="47" customWidth="1"/>
    <col min="4371" max="4608" width="9.140625" style="47"/>
    <col min="4609" max="4609" width="6.85546875" style="47" customWidth="1"/>
    <col min="4610" max="4610" width="7.28515625" style="47" customWidth="1"/>
    <col min="4611" max="4611" width="9.140625" style="47"/>
    <col min="4612" max="4612" width="7.7109375" style="47" customWidth="1"/>
    <col min="4613" max="4613" width="5.140625" style="47" bestFit="1" customWidth="1"/>
    <col min="4614" max="4614" width="2" style="47" bestFit="1" customWidth="1"/>
    <col min="4615" max="4615" width="29" style="47" customWidth="1"/>
    <col min="4616" max="4620" width="0" style="47" hidden="1" customWidth="1"/>
    <col min="4621" max="4621" width="9.28515625" style="47" customWidth="1"/>
    <col min="4622" max="4622" width="9" style="47" customWidth="1"/>
    <col min="4623" max="4625" width="9.5703125" style="47" customWidth="1"/>
    <col min="4626" max="4626" width="9.85546875" style="47" customWidth="1"/>
    <col min="4627" max="4864" width="9.140625" style="47"/>
    <col min="4865" max="4865" width="6.85546875" style="47" customWidth="1"/>
    <col min="4866" max="4866" width="7.28515625" style="47" customWidth="1"/>
    <col min="4867" max="4867" width="9.140625" style="47"/>
    <col min="4868" max="4868" width="7.7109375" style="47" customWidth="1"/>
    <col min="4869" max="4869" width="5.140625" style="47" bestFit="1" customWidth="1"/>
    <col min="4870" max="4870" width="2" style="47" bestFit="1" customWidth="1"/>
    <col min="4871" max="4871" width="29" style="47" customWidth="1"/>
    <col min="4872" max="4876" width="0" style="47" hidden="1" customWidth="1"/>
    <col min="4877" max="4877" width="9.28515625" style="47" customWidth="1"/>
    <col min="4878" max="4878" width="9" style="47" customWidth="1"/>
    <col min="4879" max="4881" width="9.5703125" style="47" customWidth="1"/>
    <col min="4882" max="4882" width="9.85546875" style="47" customWidth="1"/>
    <col min="4883" max="5120" width="9.140625" style="47"/>
    <col min="5121" max="5121" width="6.85546875" style="47" customWidth="1"/>
    <col min="5122" max="5122" width="7.28515625" style="47" customWidth="1"/>
    <col min="5123" max="5123" width="9.140625" style="47"/>
    <col min="5124" max="5124" width="7.7109375" style="47" customWidth="1"/>
    <col min="5125" max="5125" width="5.140625" style="47" bestFit="1" customWidth="1"/>
    <col min="5126" max="5126" width="2" style="47" bestFit="1" customWidth="1"/>
    <col min="5127" max="5127" width="29" style="47" customWidth="1"/>
    <col min="5128" max="5132" width="0" style="47" hidden="1" customWidth="1"/>
    <col min="5133" max="5133" width="9.28515625" style="47" customWidth="1"/>
    <col min="5134" max="5134" width="9" style="47" customWidth="1"/>
    <col min="5135" max="5137" width="9.5703125" style="47" customWidth="1"/>
    <col min="5138" max="5138" width="9.85546875" style="47" customWidth="1"/>
    <col min="5139" max="5376" width="9.140625" style="47"/>
    <col min="5377" max="5377" width="6.85546875" style="47" customWidth="1"/>
    <col min="5378" max="5378" width="7.28515625" style="47" customWidth="1"/>
    <col min="5379" max="5379" width="9.140625" style="47"/>
    <col min="5380" max="5380" width="7.7109375" style="47" customWidth="1"/>
    <col min="5381" max="5381" width="5.140625" style="47" bestFit="1" customWidth="1"/>
    <col min="5382" max="5382" width="2" style="47" bestFit="1" customWidth="1"/>
    <col min="5383" max="5383" width="29" style="47" customWidth="1"/>
    <col min="5384" max="5388" width="0" style="47" hidden="1" customWidth="1"/>
    <col min="5389" max="5389" width="9.28515625" style="47" customWidth="1"/>
    <col min="5390" max="5390" width="9" style="47" customWidth="1"/>
    <col min="5391" max="5393" width="9.5703125" style="47" customWidth="1"/>
    <col min="5394" max="5394" width="9.85546875" style="47" customWidth="1"/>
    <col min="5395" max="5632" width="9.140625" style="47"/>
    <col min="5633" max="5633" width="6.85546875" style="47" customWidth="1"/>
    <col min="5634" max="5634" width="7.28515625" style="47" customWidth="1"/>
    <col min="5635" max="5635" width="9.140625" style="47"/>
    <col min="5636" max="5636" width="7.7109375" style="47" customWidth="1"/>
    <col min="5637" max="5637" width="5.140625" style="47" bestFit="1" customWidth="1"/>
    <col min="5638" max="5638" width="2" style="47" bestFit="1" customWidth="1"/>
    <col min="5639" max="5639" width="29" style="47" customWidth="1"/>
    <col min="5640" max="5644" width="0" style="47" hidden="1" customWidth="1"/>
    <col min="5645" max="5645" width="9.28515625" style="47" customWidth="1"/>
    <col min="5646" max="5646" width="9" style="47" customWidth="1"/>
    <col min="5647" max="5649" width="9.5703125" style="47" customWidth="1"/>
    <col min="5650" max="5650" width="9.85546875" style="47" customWidth="1"/>
    <col min="5651" max="5888" width="9.140625" style="47"/>
    <col min="5889" max="5889" width="6.85546875" style="47" customWidth="1"/>
    <col min="5890" max="5890" width="7.28515625" style="47" customWidth="1"/>
    <col min="5891" max="5891" width="9.140625" style="47"/>
    <col min="5892" max="5892" width="7.7109375" style="47" customWidth="1"/>
    <col min="5893" max="5893" width="5.140625" style="47" bestFit="1" customWidth="1"/>
    <col min="5894" max="5894" width="2" style="47" bestFit="1" customWidth="1"/>
    <col min="5895" max="5895" width="29" style="47" customWidth="1"/>
    <col min="5896" max="5900" width="0" style="47" hidden="1" customWidth="1"/>
    <col min="5901" max="5901" width="9.28515625" style="47" customWidth="1"/>
    <col min="5902" max="5902" width="9" style="47" customWidth="1"/>
    <col min="5903" max="5905" width="9.5703125" style="47" customWidth="1"/>
    <col min="5906" max="5906" width="9.85546875" style="47" customWidth="1"/>
    <col min="5907" max="6144" width="9.140625" style="47"/>
    <col min="6145" max="6145" width="6.85546875" style="47" customWidth="1"/>
    <col min="6146" max="6146" width="7.28515625" style="47" customWidth="1"/>
    <col min="6147" max="6147" width="9.140625" style="47"/>
    <col min="6148" max="6148" width="7.7109375" style="47" customWidth="1"/>
    <col min="6149" max="6149" width="5.140625" style="47" bestFit="1" customWidth="1"/>
    <col min="6150" max="6150" width="2" style="47" bestFit="1" customWidth="1"/>
    <col min="6151" max="6151" width="29" style="47" customWidth="1"/>
    <col min="6152" max="6156" width="0" style="47" hidden="1" customWidth="1"/>
    <col min="6157" max="6157" width="9.28515625" style="47" customWidth="1"/>
    <col min="6158" max="6158" width="9" style="47" customWidth="1"/>
    <col min="6159" max="6161" width="9.5703125" style="47" customWidth="1"/>
    <col min="6162" max="6162" width="9.85546875" style="47" customWidth="1"/>
    <col min="6163" max="6400" width="9.140625" style="47"/>
    <col min="6401" max="6401" width="6.85546875" style="47" customWidth="1"/>
    <col min="6402" max="6402" width="7.28515625" style="47" customWidth="1"/>
    <col min="6403" max="6403" width="9.140625" style="47"/>
    <col min="6404" max="6404" width="7.7109375" style="47" customWidth="1"/>
    <col min="6405" max="6405" width="5.140625" style="47" bestFit="1" customWidth="1"/>
    <col min="6406" max="6406" width="2" style="47" bestFit="1" customWidth="1"/>
    <col min="6407" max="6407" width="29" style="47" customWidth="1"/>
    <col min="6408" max="6412" width="0" style="47" hidden="1" customWidth="1"/>
    <col min="6413" max="6413" width="9.28515625" style="47" customWidth="1"/>
    <col min="6414" max="6414" width="9" style="47" customWidth="1"/>
    <col min="6415" max="6417" width="9.5703125" style="47" customWidth="1"/>
    <col min="6418" max="6418" width="9.85546875" style="47" customWidth="1"/>
    <col min="6419" max="6656" width="9.140625" style="47"/>
    <col min="6657" max="6657" width="6.85546875" style="47" customWidth="1"/>
    <col min="6658" max="6658" width="7.28515625" style="47" customWidth="1"/>
    <col min="6659" max="6659" width="9.140625" style="47"/>
    <col min="6660" max="6660" width="7.7109375" style="47" customWidth="1"/>
    <col min="6661" max="6661" width="5.140625" style="47" bestFit="1" customWidth="1"/>
    <col min="6662" max="6662" width="2" style="47" bestFit="1" customWidth="1"/>
    <col min="6663" max="6663" width="29" style="47" customWidth="1"/>
    <col min="6664" max="6668" width="0" style="47" hidden="1" customWidth="1"/>
    <col min="6669" max="6669" width="9.28515625" style="47" customWidth="1"/>
    <col min="6670" max="6670" width="9" style="47" customWidth="1"/>
    <col min="6671" max="6673" width="9.5703125" style="47" customWidth="1"/>
    <col min="6674" max="6674" width="9.85546875" style="47" customWidth="1"/>
    <col min="6675" max="6912" width="9.140625" style="47"/>
    <col min="6913" max="6913" width="6.85546875" style="47" customWidth="1"/>
    <col min="6914" max="6914" width="7.28515625" style="47" customWidth="1"/>
    <col min="6915" max="6915" width="9.140625" style="47"/>
    <col min="6916" max="6916" width="7.7109375" style="47" customWidth="1"/>
    <col min="6917" max="6917" width="5.140625" style="47" bestFit="1" customWidth="1"/>
    <col min="6918" max="6918" width="2" style="47" bestFit="1" customWidth="1"/>
    <col min="6919" max="6919" width="29" style="47" customWidth="1"/>
    <col min="6920" max="6924" width="0" style="47" hidden="1" customWidth="1"/>
    <col min="6925" max="6925" width="9.28515625" style="47" customWidth="1"/>
    <col min="6926" max="6926" width="9" style="47" customWidth="1"/>
    <col min="6927" max="6929" width="9.5703125" style="47" customWidth="1"/>
    <col min="6930" max="6930" width="9.85546875" style="47" customWidth="1"/>
    <col min="6931" max="7168" width="9.140625" style="47"/>
    <col min="7169" max="7169" width="6.85546875" style="47" customWidth="1"/>
    <col min="7170" max="7170" width="7.28515625" style="47" customWidth="1"/>
    <col min="7171" max="7171" width="9.140625" style="47"/>
    <col min="7172" max="7172" width="7.7109375" style="47" customWidth="1"/>
    <col min="7173" max="7173" width="5.140625" style="47" bestFit="1" customWidth="1"/>
    <col min="7174" max="7174" width="2" style="47" bestFit="1" customWidth="1"/>
    <col min="7175" max="7175" width="29" style="47" customWidth="1"/>
    <col min="7176" max="7180" width="0" style="47" hidden="1" customWidth="1"/>
    <col min="7181" max="7181" width="9.28515625" style="47" customWidth="1"/>
    <col min="7182" max="7182" width="9" style="47" customWidth="1"/>
    <col min="7183" max="7185" width="9.5703125" style="47" customWidth="1"/>
    <col min="7186" max="7186" width="9.85546875" style="47" customWidth="1"/>
    <col min="7187" max="7424" width="9.140625" style="47"/>
    <col min="7425" max="7425" width="6.85546875" style="47" customWidth="1"/>
    <col min="7426" max="7426" width="7.28515625" style="47" customWidth="1"/>
    <col min="7427" max="7427" width="9.140625" style="47"/>
    <col min="7428" max="7428" width="7.7109375" style="47" customWidth="1"/>
    <col min="7429" max="7429" width="5.140625" style="47" bestFit="1" customWidth="1"/>
    <col min="7430" max="7430" width="2" style="47" bestFit="1" customWidth="1"/>
    <col min="7431" max="7431" width="29" style="47" customWidth="1"/>
    <col min="7432" max="7436" width="0" style="47" hidden="1" customWidth="1"/>
    <col min="7437" max="7437" width="9.28515625" style="47" customWidth="1"/>
    <col min="7438" max="7438" width="9" style="47" customWidth="1"/>
    <col min="7439" max="7441" width="9.5703125" style="47" customWidth="1"/>
    <col min="7442" max="7442" width="9.85546875" style="47" customWidth="1"/>
    <col min="7443" max="7680" width="9.140625" style="47"/>
    <col min="7681" max="7681" width="6.85546875" style="47" customWidth="1"/>
    <col min="7682" max="7682" width="7.28515625" style="47" customWidth="1"/>
    <col min="7683" max="7683" width="9.140625" style="47"/>
    <col min="7684" max="7684" width="7.7109375" style="47" customWidth="1"/>
    <col min="7685" max="7685" width="5.140625" style="47" bestFit="1" customWidth="1"/>
    <col min="7686" max="7686" width="2" style="47" bestFit="1" customWidth="1"/>
    <col min="7687" max="7687" width="29" style="47" customWidth="1"/>
    <col min="7688" max="7692" width="0" style="47" hidden="1" customWidth="1"/>
    <col min="7693" max="7693" width="9.28515625" style="47" customWidth="1"/>
    <col min="7694" max="7694" width="9" style="47" customWidth="1"/>
    <col min="7695" max="7697" width="9.5703125" style="47" customWidth="1"/>
    <col min="7698" max="7698" width="9.85546875" style="47" customWidth="1"/>
    <col min="7699" max="7936" width="9.140625" style="47"/>
    <col min="7937" max="7937" width="6.85546875" style="47" customWidth="1"/>
    <col min="7938" max="7938" width="7.28515625" style="47" customWidth="1"/>
    <col min="7939" max="7939" width="9.140625" style="47"/>
    <col min="7940" max="7940" width="7.7109375" style="47" customWidth="1"/>
    <col min="7941" max="7941" width="5.140625" style="47" bestFit="1" customWidth="1"/>
    <col min="7942" max="7942" width="2" style="47" bestFit="1" customWidth="1"/>
    <col min="7943" max="7943" width="29" style="47" customWidth="1"/>
    <col min="7944" max="7948" width="0" style="47" hidden="1" customWidth="1"/>
    <col min="7949" max="7949" width="9.28515625" style="47" customWidth="1"/>
    <col min="7950" max="7950" width="9" style="47" customWidth="1"/>
    <col min="7951" max="7953" width="9.5703125" style="47" customWidth="1"/>
    <col min="7954" max="7954" width="9.85546875" style="47" customWidth="1"/>
    <col min="7955" max="8192" width="9.140625" style="47"/>
    <col min="8193" max="8193" width="6.85546875" style="47" customWidth="1"/>
    <col min="8194" max="8194" width="7.28515625" style="47" customWidth="1"/>
    <col min="8195" max="8195" width="9.140625" style="47"/>
    <col min="8196" max="8196" width="7.7109375" style="47" customWidth="1"/>
    <col min="8197" max="8197" width="5.140625" style="47" bestFit="1" customWidth="1"/>
    <col min="8198" max="8198" width="2" style="47" bestFit="1" customWidth="1"/>
    <col min="8199" max="8199" width="29" style="47" customWidth="1"/>
    <col min="8200" max="8204" width="0" style="47" hidden="1" customWidth="1"/>
    <col min="8205" max="8205" width="9.28515625" style="47" customWidth="1"/>
    <col min="8206" max="8206" width="9" style="47" customWidth="1"/>
    <col min="8207" max="8209" width="9.5703125" style="47" customWidth="1"/>
    <col min="8210" max="8210" width="9.85546875" style="47" customWidth="1"/>
    <col min="8211" max="8448" width="9.140625" style="47"/>
    <col min="8449" max="8449" width="6.85546875" style="47" customWidth="1"/>
    <col min="8450" max="8450" width="7.28515625" style="47" customWidth="1"/>
    <col min="8451" max="8451" width="9.140625" style="47"/>
    <col min="8452" max="8452" width="7.7109375" style="47" customWidth="1"/>
    <col min="8453" max="8453" width="5.140625" style="47" bestFit="1" customWidth="1"/>
    <col min="8454" max="8454" width="2" style="47" bestFit="1" customWidth="1"/>
    <col min="8455" max="8455" width="29" style="47" customWidth="1"/>
    <col min="8456" max="8460" width="0" style="47" hidden="1" customWidth="1"/>
    <col min="8461" max="8461" width="9.28515625" style="47" customWidth="1"/>
    <col min="8462" max="8462" width="9" style="47" customWidth="1"/>
    <col min="8463" max="8465" width="9.5703125" style="47" customWidth="1"/>
    <col min="8466" max="8466" width="9.85546875" style="47" customWidth="1"/>
    <col min="8467" max="8704" width="9.140625" style="47"/>
    <col min="8705" max="8705" width="6.85546875" style="47" customWidth="1"/>
    <col min="8706" max="8706" width="7.28515625" style="47" customWidth="1"/>
    <col min="8707" max="8707" width="9.140625" style="47"/>
    <col min="8708" max="8708" width="7.7109375" style="47" customWidth="1"/>
    <col min="8709" max="8709" width="5.140625" style="47" bestFit="1" customWidth="1"/>
    <col min="8710" max="8710" width="2" style="47" bestFit="1" customWidth="1"/>
    <col min="8711" max="8711" width="29" style="47" customWidth="1"/>
    <col min="8712" max="8716" width="0" style="47" hidden="1" customWidth="1"/>
    <col min="8717" max="8717" width="9.28515625" style="47" customWidth="1"/>
    <col min="8718" max="8718" width="9" style="47" customWidth="1"/>
    <col min="8719" max="8721" width="9.5703125" style="47" customWidth="1"/>
    <col min="8722" max="8722" width="9.85546875" style="47" customWidth="1"/>
    <col min="8723" max="8960" width="9.140625" style="47"/>
    <col min="8961" max="8961" width="6.85546875" style="47" customWidth="1"/>
    <col min="8962" max="8962" width="7.28515625" style="47" customWidth="1"/>
    <col min="8963" max="8963" width="9.140625" style="47"/>
    <col min="8964" max="8964" width="7.7109375" style="47" customWidth="1"/>
    <col min="8965" max="8965" width="5.140625" style="47" bestFit="1" customWidth="1"/>
    <col min="8966" max="8966" width="2" style="47" bestFit="1" customWidth="1"/>
    <col min="8967" max="8967" width="29" style="47" customWidth="1"/>
    <col min="8968" max="8972" width="0" style="47" hidden="1" customWidth="1"/>
    <col min="8973" max="8973" width="9.28515625" style="47" customWidth="1"/>
    <col min="8974" max="8974" width="9" style="47" customWidth="1"/>
    <col min="8975" max="8977" width="9.5703125" style="47" customWidth="1"/>
    <col min="8978" max="8978" width="9.85546875" style="47" customWidth="1"/>
    <col min="8979" max="9216" width="9.140625" style="47"/>
    <col min="9217" max="9217" width="6.85546875" style="47" customWidth="1"/>
    <col min="9218" max="9218" width="7.28515625" style="47" customWidth="1"/>
    <col min="9219" max="9219" width="9.140625" style="47"/>
    <col min="9220" max="9220" width="7.7109375" style="47" customWidth="1"/>
    <col min="9221" max="9221" width="5.140625" style="47" bestFit="1" customWidth="1"/>
    <col min="9222" max="9222" width="2" style="47" bestFit="1" customWidth="1"/>
    <col min="9223" max="9223" width="29" style="47" customWidth="1"/>
    <col min="9224" max="9228" width="0" style="47" hidden="1" customWidth="1"/>
    <col min="9229" max="9229" width="9.28515625" style="47" customWidth="1"/>
    <col min="9230" max="9230" width="9" style="47" customWidth="1"/>
    <col min="9231" max="9233" width="9.5703125" style="47" customWidth="1"/>
    <col min="9234" max="9234" width="9.85546875" style="47" customWidth="1"/>
    <col min="9235" max="9472" width="9.140625" style="47"/>
    <col min="9473" max="9473" width="6.85546875" style="47" customWidth="1"/>
    <col min="9474" max="9474" width="7.28515625" style="47" customWidth="1"/>
    <col min="9475" max="9475" width="9.140625" style="47"/>
    <col min="9476" max="9476" width="7.7109375" style="47" customWidth="1"/>
    <col min="9477" max="9477" width="5.140625" style="47" bestFit="1" customWidth="1"/>
    <col min="9478" max="9478" width="2" style="47" bestFit="1" customWidth="1"/>
    <col min="9479" max="9479" width="29" style="47" customWidth="1"/>
    <col min="9480" max="9484" width="0" style="47" hidden="1" customWidth="1"/>
    <col min="9485" max="9485" width="9.28515625" style="47" customWidth="1"/>
    <col min="9486" max="9486" width="9" style="47" customWidth="1"/>
    <col min="9487" max="9489" width="9.5703125" style="47" customWidth="1"/>
    <col min="9490" max="9490" width="9.85546875" style="47" customWidth="1"/>
    <col min="9491" max="9728" width="9.140625" style="47"/>
    <col min="9729" max="9729" width="6.85546875" style="47" customWidth="1"/>
    <col min="9730" max="9730" width="7.28515625" style="47" customWidth="1"/>
    <col min="9731" max="9731" width="9.140625" style="47"/>
    <col min="9732" max="9732" width="7.7109375" style="47" customWidth="1"/>
    <col min="9733" max="9733" width="5.140625" style="47" bestFit="1" customWidth="1"/>
    <col min="9734" max="9734" width="2" style="47" bestFit="1" customWidth="1"/>
    <col min="9735" max="9735" width="29" style="47" customWidth="1"/>
    <col min="9736" max="9740" width="0" style="47" hidden="1" customWidth="1"/>
    <col min="9741" max="9741" width="9.28515625" style="47" customWidth="1"/>
    <col min="9742" max="9742" width="9" style="47" customWidth="1"/>
    <col min="9743" max="9745" width="9.5703125" style="47" customWidth="1"/>
    <col min="9746" max="9746" width="9.85546875" style="47" customWidth="1"/>
    <col min="9747" max="9984" width="9.140625" style="47"/>
    <col min="9985" max="9985" width="6.85546875" style="47" customWidth="1"/>
    <col min="9986" max="9986" width="7.28515625" style="47" customWidth="1"/>
    <col min="9987" max="9987" width="9.140625" style="47"/>
    <col min="9988" max="9988" width="7.7109375" style="47" customWidth="1"/>
    <col min="9989" max="9989" width="5.140625" style="47" bestFit="1" customWidth="1"/>
    <col min="9990" max="9990" width="2" style="47" bestFit="1" customWidth="1"/>
    <col min="9991" max="9991" width="29" style="47" customWidth="1"/>
    <col min="9992" max="9996" width="0" style="47" hidden="1" customWidth="1"/>
    <col min="9997" max="9997" width="9.28515625" style="47" customWidth="1"/>
    <col min="9998" max="9998" width="9" style="47" customWidth="1"/>
    <col min="9999" max="10001" width="9.5703125" style="47" customWidth="1"/>
    <col min="10002" max="10002" width="9.85546875" style="47" customWidth="1"/>
    <col min="10003" max="10240" width="9.140625" style="47"/>
    <col min="10241" max="10241" width="6.85546875" style="47" customWidth="1"/>
    <col min="10242" max="10242" width="7.28515625" style="47" customWidth="1"/>
    <col min="10243" max="10243" width="9.140625" style="47"/>
    <col min="10244" max="10244" width="7.7109375" style="47" customWidth="1"/>
    <col min="10245" max="10245" width="5.140625" style="47" bestFit="1" customWidth="1"/>
    <col min="10246" max="10246" width="2" style="47" bestFit="1" customWidth="1"/>
    <col min="10247" max="10247" width="29" style="47" customWidth="1"/>
    <col min="10248" max="10252" width="0" style="47" hidden="1" customWidth="1"/>
    <col min="10253" max="10253" width="9.28515625" style="47" customWidth="1"/>
    <col min="10254" max="10254" width="9" style="47" customWidth="1"/>
    <col min="10255" max="10257" width="9.5703125" style="47" customWidth="1"/>
    <col min="10258" max="10258" width="9.85546875" style="47" customWidth="1"/>
    <col min="10259" max="10496" width="9.140625" style="47"/>
    <col min="10497" max="10497" width="6.85546875" style="47" customWidth="1"/>
    <col min="10498" max="10498" width="7.28515625" style="47" customWidth="1"/>
    <col min="10499" max="10499" width="9.140625" style="47"/>
    <col min="10500" max="10500" width="7.7109375" style="47" customWidth="1"/>
    <col min="10501" max="10501" width="5.140625" style="47" bestFit="1" customWidth="1"/>
    <col min="10502" max="10502" width="2" style="47" bestFit="1" customWidth="1"/>
    <col min="10503" max="10503" width="29" style="47" customWidth="1"/>
    <col min="10504" max="10508" width="0" style="47" hidden="1" customWidth="1"/>
    <col min="10509" max="10509" width="9.28515625" style="47" customWidth="1"/>
    <col min="10510" max="10510" width="9" style="47" customWidth="1"/>
    <col min="10511" max="10513" width="9.5703125" style="47" customWidth="1"/>
    <col min="10514" max="10514" width="9.85546875" style="47" customWidth="1"/>
    <col min="10515" max="10752" width="9.140625" style="47"/>
    <col min="10753" max="10753" width="6.85546875" style="47" customWidth="1"/>
    <col min="10754" max="10754" width="7.28515625" style="47" customWidth="1"/>
    <col min="10755" max="10755" width="9.140625" style="47"/>
    <col min="10756" max="10756" width="7.7109375" style="47" customWidth="1"/>
    <col min="10757" max="10757" width="5.140625" style="47" bestFit="1" customWidth="1"/>
    <col min="10758" max="10758" width="2" style="47" bestFit="1" customWidth="1"/>
    <col min="10759" max="10759" width="29" style="47" customWidth="1"/>
    <col min="10760" max="10764" width="0" style="47" hidden="1" customWidth="1"/>
    <col min="10765" max="10765" width="9.28515625" style="47" customWidth="1"/>
    <col min="10766" max="10766" width="9" style="47" customWidth="1"/>
    <col min="10767" max="10769" width="9.5703125" style="47" customWidth="1"/>
    <col min="10770" max="10770" width="9.85546875" style="47" customWidth="1"/>
    <col min="10771" max="11008" width="9.140625" style="47"/>
    <col min="11009" max="11009" width="6.85546875" style="47" customWidth="1"/>
    <col min="11010" max="11010" width="7.28515625" style="47" customWidth="1"/>
    <col min="11011" max="11011" width="9.140625" style="47"/>
    <col min="11012" max="11012" width="7.7109375" style="47" customWidth="1"/>
    <col min="11013" max="11013" width="5.140625" style="47" bestFit="1" customWidth="1"/>
    <col min="11014" max="11014" width="2" style="47" bestFit="1" customWidth="1"/>
    <col min="11015" max="11015" width="29" style="47" customWidth="1"/>
    <col min="11016" max="11020" width="0" style="47" hidden="1" customWidth="1"/>
    <col min="11021" max="11021" width="9.28515625" style="47" customWidth="1"/>
    <col min="11022" max="11022" width="9" style="47" customWidth="1"/>
    <col min="11023" max="11025" width="9.5703125" style="47" customWidth="1"/>
    <col min="11026" max="11026" width="9.85546875" style="47" customWidth="1"/>
    <col min="11027" max="11264" width="9.140625" style="47"/>
    <col min="11265" max="11265" width="6.85546875" style="47" customWidth="1"/>
    <col min="11266" max="11266" width="7.28515625" style="47" customWidth="1"/>
    <col min="11267" max="11267" width="9.140625" style="47"/>
    <col min="11268" max="11268" width="7.7109375" style="47" customWidth="1"/>
    <col min="11269" max="11269" width="5.140625" style="47" bestFit="1" customWidth="1"/>
    <col min="11270" max="11270" width="2" style="47" bestFit="1" customWidth="1"/>
    <col min="11271" max="11271" width="29" style="47" customWidth="1"/>
    <col min="11272" max="11276" width="0" style="47" hidden="1" customWidth="1"/>
    <col min="11277" max="11277" width="9.28515625" style="47" customWidth="1"/>
    <col min="11278" max="11278" width="9" style="47" customWidth="1"/>
    <col min="11279" max="11281" width="9.5703125" style="47" customWidth="1"/>
    <col min="11282" max="11282" width="9.85546875" style="47" customWidth="1"/>
    <col min="11283" max="11520" width="9.140625" style="47"/>
    <col min="11521" max="11521" width="6.85546875" style="47" customWidth="1"/>
    <col min="11522" max="11522" width="7.28515625" style="47" customWidth="1"/>
    <col min="11523" max="11523" width="9.140625" style="47"/>
    <col min="11524" max="11524" width="7.7109375" style="47" customWidth="1"/>
    <col min="11525" max="11525" width="5.140625" style="47" bestFit="1" customWidth="1"/>
    <col min="11526" max="11526" width="2" style="47" bestFit="1" customWidth="1"/>
    <col min="11527" max="11527" width="29" style="47" customWidth="1"/>
    <col min="11528" max="11532" width="0" style="47" hidden="1" customWidth="1"/>
    <col min="11533" max="11533" width="9.28515625" style="47" customWidth="1"/>
    <col min="11534" max="11534" width="9" style="47" customWidth="1"/>
    <col min="11535" max="11537" width="9.5703125" style="47" customWidth="1"/>
    <col min="11538" max="11538" width="9.85546875" style="47" customWidth="1"/>
    <col min="11539" max="11776" width="9.140625" style="47"/>
    <col min="11777" max="11777" width="6.85546875" style="47" customWidth="1"/>
    <col min="11778" max="11778" width="7.28515625" style="47" customWidth="1"/>
    <col min="11779" max="11779" width="9.140625" style="47"/>
    <col min="11780" max="11780" width="7.7109375" style="47" customWidth="1"/>
    <col min="11781" max="11781" width="5.140625" style="47" bestFit="1" customWidth="1"/>
    <col min="11782" max="11782" width="2" style="47" bestFit="1" customWidth="1"/>
    <col min="11783" max="11783" width="29" style="47" customWidth="1"/>
    <col min="11784" max="11788" width="0" style="47" hidden="1" customWidth="1"/>
    <col min="11789" max="11789" width="9.28515625" style="47" customWidth="1"/>
    <col min="11790" max="11790" width="9" style="47" customWidth="1"/>
    <col min="11791" max="11793" width="9.5703125" style="47" customWidth="1"/>
    <col min="11794" max="11794" width="9.85546875" style="47" customWidth="1"/>
    <col min="11795" max="12032" width="9.140625" style="47"/>
    <col min="12033" max="12033" width="6.85546875" style="47" customWidth="1"/>
    <col min="12034" max="12034" width="7.28515625" style="47" customWidth="1"/>
    <col min="12035" max="12035" width="9.140625" style="47"/>
    <col min="12036" max="12036" width="7.7109375" style="47" customWidth="1"/>
    <col min="12037" max="12037" width="5.140625" style="47" bestFit="1" customWidth="1"/>
    <col min="12038" max="12038" width="2" style="47" bestFit="1" customWidth="1"/>
    <col min="12039" max="12039" width="29" style="47" customWidth="1"/>
    <col min="12040" max="12044" width="0" style="47" hidden="1" customWidth="1"/>
    <col min="12045" max="12045" width="9.28515625" style="47" customWidth="1"/>
    <col min="12046" max="12046" width="9" style="47" customWidth="1"/>
    <col min="12047" max="12049" width="9.5703125" style="47" customWidth="1"/>
    <col min="12050" max="12050" width="9.85546875" style="47" customWidth="1"/>
    <col min="12051" max="12288" width="9.140625" style="47"/>
    <col min="12289" max="12289" width="6.85546875" style="47" customWidth="1"/>
    <col min="12290" max="12290" width="7.28515625" style="47" customWidth="1"/>
    <col min="12291" max="12291" width="9.140625" style="47"/>
    <col min="12292" max="12292" width="7.7109375" style="47" customWidth="1"/>
    <col min="12293" max="12293" width="5.140625" style="47" bestFit="1" customWidth="1"/>
    <col min="12294" max="12294" width="2" style="47" bestFit="1" customWidth="1"/>
    <col min="12295" max="12295" width="29" style="47" customWidth="1"/>
    <col min="12296" max="12300" width="0" style="47" hidden="1" customWidth="1"/>
    <col min="12301" max="12301" width="9.28515625" style="47" customWidth="1"/>
    <col min="12302" max="12302" width="9" style="47" customWidth="1"/>
    <col min="12303" max="12305" width="9.5703125" style="47" customWidth="1"/>
    <col min="12306" max="12306" width="9.85546875" style="47" customWidth="1"/>
    <col min="12307" max="12544" width="9.140625" style="47"/>
    <col min="12545" max="12545" width="6.85546875" style="47" customWidth="1"/>
    <col min="12546" max="12546" width="7.28515625" style="47" customWidth="1"/>
    <col min="12547" max="12547" width="9.140625" style="47"/>
    <col min="12548" max="12548" width="7.7109375" style="47" customWidth="1"/>
    <col min="12549" max="12549" width="5.140625" style="47" bestFit="1" customWidth="1"/>
    <col min="12550" max="12550" width="2" style="47" bestFit="1" customWidth="1"/>
    <col min="12551" max="12551" width="29" style="47" customWidth="1"/>
    <col min="12552" max="12556" width="0" style="47" hidden="1" customWidth="1"/>
    <col min="12557" max="12557" width="9.28515625" style="47" customWidth="1"/>
    <col min="12558" max="12558" width="9" style="47" customWidth="1"/>
    <col min="12559" max="12561" width="9.5703125" style="47" customWidth="1"/>
    <col min="12562" max="12562" width="9.85546875" style="47" customWidth="1"/>
    <col min="12563" max="12800" width="9.140625" style="47"/>
    <col min="12801" max="12801" width="6.85546875" style="47" customWidth="1"/>
    <col min="12802" max="12802" width="7.28515625" style="47" customWidth="1"/>
    <col min="12803" max="12803" width="9.140625" style="47"/>
    <col min="12804" max="12804" width="7.7109375" style="47" customWidth="1"/>
    <col min="12805" max="12805" width="5.140625" style="47" bestFit="1" customWidth="1"/>
    <col min="12806" max="12806" width="2" style="47" bestFit="1" customWidth="1"/>
    <col min="12807" max="12807" width="29" style="47" customWidth="1"/>
    <col min="12808" max="12812" width="0" style="47" hidden="1" customWidth="1"/>
    <col min="12813" max="12813" width="9.28515625" style="47" customWidth="1"/>
    <col min="12814" max="12814" width="9" style="47" customWidth="1"/>
    <col min="12815" max="12817" width="9.5703125" style="47" customWidth="1"/>
    <col min="12818" max="12818" width="9.85546875" style="47" customWidth="1"/>
    <col min="12819" max="13056" width="9.140625" style="47"/>
    <col min="13057" max="13057" width="6.85546875" style="47" customWidth="1"/>
    <col min="13058" max="13058" width="7.28515625" style="47" customWidth="1"/>
    <col min="13059" max="13059" width="9.140625" style="47"/>
    <col min="13060" max="13060" width="7.7109375" style="47" customWidth="1"/>
    <col min="13061" max="13061" width="5.140625" style="47" bestFit="1" customWidth="1"/>
    <col min="13062" max="13062" width="2" style="47" bestFit="1" customWidth="1"/>
    <col min="13063" max="13063" width="29" style="47" customWidth="1"/>
    <col min="13064" max="13068" width="0" style="47" hidden="1" customWidth="1"/>
    <col min="13069" max="13069" width="9.28515625" style="47" customWidth="1"/>
    <col min="13070" max="13070" width="9" style="47" customWidth="1"/>
    <col min="13071" max="13073" width="9.5703125" style="47" customWidth="1"/>
    <col min="13074" max="13074" width="9.85546875" style="47" customWidth="1"/>
    <col min="13075" max="13312" width="9.140625" style="47"/>
    <col min="13313" max="13313" width="6.85546875" style="47" customWidth="1"/>
    <col min="13314" max="13314" width="7.28515625" style="47" customWidth="1"/>
    <col min="13315" max="13315" width="9.140625" style="47"/>
    <col min="13316" max="13316" width="7.7109375" style="47" customWidth="1"/>
    <col min="13317" max="13317" width="5.140625" style="47" bestFit="1" customWidth="1"/>
    <col min="13318" max="13318" width="2" style="47" bestFit="1" customWidth="1"/>
    <col min="13319" max="13319" width="29" style="47" customWidth="1"/>
    <col min="13320" max="13324" width="0" style="47" hidden="1" customWidth="1"/>
    <col min="13325" max="13325" width="9.28515625" style="47" customWidth="1"/>
    <col min="13326" max="13326" width="9" style="47" customWidth="1"/>
    <col min="13327" max="13329" width="9.5703125" style="47" customWidth="1"/>
    <col min="13330" max="13330" width="9.85546875" style="47" customWidth="1"/>
    <col min="13331" max="13568" width="9.140625" style="47"/>
    <col min="13569" max="13569" width="6.85546875" style="47" customWidth="1"/>
    <col min="13570" max="13570" width="7.28515625" style="47" customWidth="1"/>
    <col min="13571" max="13571" width="9.140625" style="47"/>
    <col min="13572" max="13572" width="7.7109375" style="47" customWidth="1"/>
    <col min="13573" max="13573" width="5.140625" style="47" bestFit="1" customWidth="1"/>
    <col min="13574" max="13574" width="2" style="47" bestFit="1" customWidth="1"/>
    <col min="13575" max="13575" width="29" style="47" customWidth="1"/>
    <col min="13576" max="13580" width="0" style="47" hidden="1" customWidth="1"/>
    <col min="13581" max="13581" width="9.28515625" style="47" customWidth="1"/>
    <col min="13582" max="13582" width="9" style="47" customWidth="1"/>
    <col min="13583" max="13585" width="9.5703125" style="47" customWidth="1"/>
    <col min="13586" max="13586" width="9.85546875" style="47" customWidth="1"/>
    <col min="13587" max="13824" width="9.140625" style="47"/>
    <col min="13825" max="13825" width="6.85546875" style="47" customWidth="1"/>
    <col min="13826" max="13826" width="7.28515625" style="47" customWidth="1"/>
    <col min="13827" max="13827" width="9.140625" style="47"/>
    <col min="13828" max="13828" width="7.7109375" style="47" customWidth="1"/>
    <col min="13829" max="13829" width="5.140625" style="47" bestFit="1" customWidth="1"/>
    <col min="13830" max="13830" width="2" style="47" bestFit="1" customWidth="1"/>
    <col min="13831" max="13831" width="29" style="47" customWidth="1"/>
    <col min="13832" max="13836" width="0" style="47" hidden="1" customWidth="1"/>
    <col min="13837" max="13837" width="9.28515625" style="47" customWidth="1"/>
    <col min="13838" max="13838" width="9" style="47" customWidth="1"/>
    <col min="13839" max="13841" width="9.5703125" style="47" customWidth="1"/>
    <col min="13842" max="13842" width="9.85546875" style="47" customWidth="1"/>
    <col min="13843" max="14080" width="9.140625" style="47"/>
    <col min="14081" max="14081" width="6.85546875" style="47" customWidth="1"/>
    <col min="14082" max="14082" width="7.28515625" style="47" customWidth="1"/>
    <col min="14083" max="14083" width="9.140625" style="47"/>
    <col min="14084" max="14084" width="7.7109375" style="47" customWidth="1"/>
    <col min="14085" max="14085" width="5.140625" style="47" bestFit="1" customWidth="1"/>
    <col min="14086" max="14086" width="2" style="47" bestFit="1" customWidth="1"/>
    <col min="14087" max="14087" width="29" style="47" customWidth="1"/>
    <col min="14088" max="14092" width="0" style="47" hidden="1" customWidth="1"/>
    <col min="14093" max="14093" width="9.28515625" style="47" customWidth="1"/>
    <col min="14094" max="14094" width="9" style="47" customWidth="1"/>
    <col min="14095" max="14097" width="9.5703125" style="47" customWidth="1"/>
    <col min="14098" max="14098" width="9.85546875" style="47" customWidth="1"/>
    <col min="14099" max="14336" width="9.140625" style="47"/>
    <col min="14337" max="14337" width="6.85546875" style="47" customWidth="1"/>
    <col min="14338" max="14338" width="7.28515625" style="47" customWidth="1"/>
    <col min="14339" max="14339" width="9.140625" style="47"/>
    <col min="14340" max="14340" width="7.7109375" style="47" customWidth="1"/>
    <col min="14341" max="14341" width="5.140625" style="47" bestFit="1" customWidth="1"/>
    <col min="14342" max="14342" width="2" style="47" bestFit="1" customWidth="1"/>
    <col min="14343" max="14343" width="29" style="47" customWidth="1"/>
    <col min="14344" max="14348" width="0" style="47" hidden="1" customWidth="1"/>
    <col min="14349" max="14349" width="9.28515625" style="47" customWidth="1"/>
    <col min="14350" max="14350" width="9" style="47" customWidth="1"/>
    <col min="14351" max="14353" width="9.5703125" style="47" customWidth="1"/>
    <col min="14354" max="14354" width="9.85546875" style="47" customWidth="1"/>
    <col min="14355" max="14592" width="9.140625" style="47"/>
    <col min="14593" max="14593" width="6.85546875" style="47" customWidth="1"/>
    <col min="14594" max="14594" width="7.28515625" style="47" customWidth="1"/>
    <col min="14595" max="14595" width="9.140625" style="47"/>
    <col min="14596" max="14596" width="7.7109375" style="47" customWidth="1"/>
    <col min="14597" max="14597" width="5.140625" style="47" bestFit="1" customWidth="1"/>
    <col min="14598" max="14598" width="2" style="47" bestFit="1" customWidth="1"/>
    <col min="14599" max="14599" width="29" style="47" customWidth="1"/>
    <col min="14600" max="14604" width="0" style="47" hidden="1" customWidth="1"/>
    <col min="14605" max="14605" width="9.28515625" style="47" customWidth="1"/>
    <col min="14606" max="14606" width="9" style="47" customWidth="1"/>
    <col min="14607" max="14609" width="9.5703125" style="47" customWidth="1"/>
    <col min="14610" max="14610" width="9.85546875" style="47" customWidth="1"/>
    <col min="14611" max="14848" width="9.140625" style="47"/>
    <col min="14849" max="14849" width="6.85546875" style="47" customWidth="1"/>
    <col min="14850" max="14850" width="7.28515625" style="47" customWidth="1"/>
    <col min="14851" max="14851" width="9.140625" style="47"/>
    <col min="14852" max="14852" width="7.7109375" style="47" customWidth="1"/>
    <col min="14853" max="14853" width="5.140625" style="47" bestFit="1" customWidth="1"/>
    <col min="14854" max="14854" width="2" style="47" bestFit="1" customWidth="1"/>
    <col min="14855" max="14855" width="29" style="47" customWidth="1"/>
    <col min="14856" max="14860" width="0" style="47" hidden="1" customWidth="1"/>
    <col min="14861" max="14861" width="9.28515625" style="47" customWidth="1"/>
    <col min="14862" max="14862" width="9" style="47" customWidth="1"/>
    <col min="14863" max="14865" width="9.5703125" style="47" customWidth="1"/>
    <col min="14866" max="14866" width="9.85546875" style="47" customWidth="1"/>
    <col min="14867" max="15104" width="9.140625" style="47"/>
    <col min="15105" max="15105" width="6.85546875" style="47" customWidth="1"/>
    <col min="15106" max="15106" width="7.28515625" style="47" customWidth="1"/>
    <col min="15107" max="15107" width="9.140625" style="47"/>
    <col min="15108" max="15108" width="7.7109375" style="47" customWidth="1"/>
    <col min="15109" max="15109" width="5.140625" style="47" bestFit="1" customWidth="1"/>
    <col min="15110" max="15110" width="2" style="47" bestFit="1" customWidth="1"/>
    <col min="15111" max="15111" width="29" style="47" customWidth="1"/>
    <col min="15112" max="15116" width="0" style="47" hidden="1" customWidth="1"/>
    <col min="15117" max="15117" width="9.28515625" style="47" customWidth="1"/>
    <col min="15118" max="15118" width="9" style="47" customWidth="1"/>
    <col min="15119" max="15121" width="9.5703125" style="47" customWidth="1"/>
    <col min="15122" max="15122" width="9.85546875" style="47" customWidth="1"/>
    <col min="15123" max="15360" width="9.140625" style="47"/>
    <col min="15361" max="15361" width="6.85546875" style="47" customWidth="1"/>
    <col min="15362" max="15362" width="7.28515625" style="47" customWidth="1"/>
    <col min="15363" max="15363" width="9.140625" style="47"/>
    <col min="15364" max="15364" width="7.7109375" style="47" customWidth="1"/>
    <col min="15365" max="15365" width="5.140625" style="47" bestFit="1" customWidth="1"/>
    <col min="15366" max="15366" width="2" style="47" bestFit="1" customWidth="1"/>
    <col min="15367" max="15367" width="29" style="47" customWidth="1"/>
    <col min="15368" max="15372" width="0" style="47" hidden="1" customWidth="1"/>
    <col min="15373" max="15373" width="9.28515625" style="47" customWidth="1"/>
    <col min="15374" max="15374" width="9" style="47" customWidth="1"/>
    <col min="15375" max="15377" width="9.5703125" style="47" customWidth="1"/>
    <col min="15378" max="15378" width="9.85546875" style="47" customWidth="1"/>
    <col min="15379" max="15616" width="9.140625" style="47"/>
    <col min="15617" max="15617" width="6.85546875" style="47" customWidth="1"/>
    <col min="15618" max="15618" width="7.28515625" style="47" customWidth="1"/>
    <col min="15619" max="15619" width="9.140625" style="47"/>
    <col min="15620" max="15620" width="7.7109375" style="47" customWidth="1"/>
    <col min="15621" max="15621" width="5.140625" style="47" bestFit="1" customWidth="1"/>
    <col min="15622" max="15622" width="2" style="47" bestFit="1" customWidth="1"/>
    <col min="15623" max="15623" width="29" style="47" customWidth="1"/>
    <col min="15624" max="15628" width="0" style="47" hidden="1" customWidth="1"/>
    <col min="15629" max="15629" width="9.28515625" style="47" customWidth="1"/>
    <col min="15630" max="15630" width="9" style="47" customWidth="1"/>
    <col min="15631" max="15633" width="9.5703125" style="47" customWidth="1"/>
    <col min="15634" max="15634" width="9.85546875" style="47" customWidth="1"/>
    <col min="15635" max="15872" width="9.140625" style="47"/>
    <col min="15873" max="15873" width="6.85546875" style="47" customWidth="1"/>
    <col min="15874" max="15874" width="7.28515625" style="47" customWidth="1"/>
    <col min="15875" max="15875" width="9.140625" style="47"/>
    <col min="15876" max="15876" width="7.7109375" style="47" customWidth="1"/>
    <col min="15877" max="15877" width="5.140625" style="47" bestFit="1" customWidth="1"/>
    <col min="15878" max="15878" width="2" style="47" bestFit="1" customWidth="1"/>
    <col min="15879" max="15879" width="29" style="47" customWidth="1"/>
    <col min="15880" max="15884" width="0" style="47" hidden="1" customWidth="1"/>
    <col min="15885" max="15885" width="9.28515625" style="47" customWidth="1"/>
    <col min="15886" max="15886" width="9" style="47" customWidth="1"/>
    <col min="15887" max="15889" width="9.5703125" style="47" customWidth="1"/>
    <col min="15890" max="15890" width="9.85546875" style="47" customWidth="1"/>
    <col min="15891" max="16128" width="9.140625" style="47"/>
    <col min="16129" max="16129" width="6.85546875" style="47" customWidth="1"/>
    <col min="16130" max="16130" width="7.28515625" style="47" customWidth="1"/>
    <col min="16131" max="16131" width="9.140625" style="47"/>
    <col min="16132" max="16132" width="7.7109375" style="47" customWidth="1"/>
    <col min="16133" max="16133" width="5.140625" style="47" bestFit="1" customWidth="1"/>
    <col min="16134" max="16134" width="2" style="47" bestFit="1" customWidth="1"/>
    <col min="16135" max="16135" width="29" style="47" customWidth="1"/>
    <col min="16136" max="16140" width="0" style="47" hidden="1" customWidth="1"/>
    <col min="16141" max="16141" width="9.28515625" style="47" customWidth="1"/>
    <col min="16142" max="16142" width="9" style="47" customWidth="1"/>
    <col min="16143" max="16145" width="9.5703125" style="47" customWidth="1"/>
    <col min="16146" max="16146" width="9.85546875" style="47" customWidth="1"/>
    <col min="16147" max="16384" width="9.140625" style="47"/>
  </cols>
  <sheetData>
    <row r="1" spans="1:19" x14ac:dyDescent="0.2">
      <c r="A1" s="1"/>
      <c r="B1" s="2"/>
      <c r="C1" s="3"/>
      <c r="D1" s="3"/>
      <c r="E1" s="1"/>
      <c r="F1" s="1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</row>
    <row r="2" spans="1:19" x14ac:dyDescent="0.2">
      <c r="A2" s="3" t="s">
        <v>0</v>
      </c>
      <c r="B2" s="5" t="s">
        <v>1</v>
      </c>
      <c r="C2" s="3" t="s">
        <v>2</v>
      </c>
      <c r="D2" s="3"/>
      <c r="E2" s="1" t="s">
        <v>3</v>
      </c>
      <c r="F2" s="1"/>
      <c r="G2" s="49" t="s">
        <v>613</v>
      </c>
      <c r="H2" s="50"/>
      <c r="I2" s="51"/>
      <c r="J2" s="52"/>
      <c r="K2" s="50"/>
      <c r="L2" s="52"/>
      <c r="M2" s="71" t="s">
        <v>366</v>
      </c>
      <c r="N2" s="122" t="s">
        <v>556</v>
      </c>
      <c r="O2" s="72"/>
      <c r="P2" s="72"/>
      <c r="Q2" s="72"/>
      <c r="R2" s="73"/>
    </row>
    <row r="3" spans="1:19" x14ac:dyDescent="0.2">
      <c r="A3" s="1"/>
      <c r="B3" s="6"/>
      <c r="C3" s="3"/>
      <c r="D3" s="3"/>
      <c r="E3" s="1"/>
      <c r="F3" s="1"/>
      <c r="G3" s="53" t="s">
        <v>4</v>
      </c>
      <c r="H3" s="54">
        <v>40908</v>
      </c>
      <c r="I3" s="54">
        <v>41274</v>
      </c>
      <c r="J3" s="54">
        <v>41639</v>
      </c>
      <c r="K3" s="54">
        <v>42004</v>
      </c>
      <c r="L3" s="54">
        <v>42369</v>
      </c>
      <c r="M3" s="54">
        <v>42735</v>
      </c>
      <c r="N3" s="54">
        <v>43100</v>
      </c>
      <c r="O3" s="54">
        <v>43465</v>
      </c>
      <c r="P3" s="54">
        <v>43830</v>
      </c>
      <c r="Q3" s="54">
        <v>44196</v>
      </c>
      <c r="R3" s="54">
        <v>44561</v>
      </c>
      <c r="S3" s="54">
        <v>44926</v>
      </c>
    </row>
    <row r="4" spans="1:19" x14ac:dyDescent="0.2">
      <c r="A4" s="7"/>
      <c r="B4" s="2" t="s">
        <v>5</v>
      </c>
      <c r="C4" s="3">
        <v>1</v>
      </c>
      <c r="D4" s="3"/>
      <c r="E4" s="5"/>
      <c r="F4" s="7"/>
      <c r="G4" s="55" t="s">
        <v>6</v>
      </c>
      <c r="H4" s="56">
        <f t="shared" ref="H4:S4" si="0">H5+H10</f>
        <v>22248.53</v>
      </c>
      <c r="I4" s="56">
        <f t="shared" si="0"/>
        <v>21934.411</v>
      </c>
      <c r="J4" s="56">
        <f t="shared" si="0"/>
        <v>21647.382000000001</v>
      </c>
      <c r="K4" s="56">
        <f t="shared" si="0"/>
        <v>21580.511000000002</v>
      </c>
      <c r="L4" s="56">
        <f t="shared" si="0"/>
        <v>21049.253000000001</v>
      </c>
      <c r="M4" s="56">
        <f t="shared" si="0"/>
        <v>21043.018</v>
      </c>
      <c r="N4" s="56">
        <f t="shared" si="0"/>
        <v>20327</v>
      </c>
      <c r="O4" s="56">
        <f t="shared" si="0"/>
        <v>20075</v>
      </c>
      <c r="P4" s="56">
        <f t="shared" si="0"/>
        <v>20015</v>
      </c>
      <c r="Q4" s="56">
        <f t="shared" si="0"/>
        <v>19932</v>
      </c>
      <c r="R4" s="56">
        <f t="shared" si="0"/>
        <v>19968</v>
      </c>
      <c r="S4" s="56">
        <f t="shared" si="0"/>
        <v>19972</v>
      </c>
    </row>
    <row r="5" spans="1:19" x14ac:dyDescent="0.2">
      <c r="A5" s="8"/>
      <c r="B5" s="2" t="s">
        <v>7</v>
      </c>
      <c r="C5" s="3">
        <v>10</v>
      </c>
      <c r="D5" s="3"/>
      <c r="E5" s="9"/>
      <c r="G5" s="57" t="s">
        <v>8</v>
      </c>
      <c r="H5" s="56">
        <f t="shared" ref="H5:R5" si="1">SUM(H6:H9)</f>
        <v>227.83799999999999</v>
      </c>
      <c r="I5" s="56">
        <f t="shared" si="1"/>
        <v>280.05399999999997</v>
      </c>
      <c r="J5" s="56">
        <f t="shared" si="1"/>
        <v>307.20999999999998</v>
      </c>
      <c r="K5" s="56">
        <f t="shared" si="1"/>
        <v>613.54000000000008</v>
      </c>
      <c r="L5" s="56">
        <f t="shared" si="1"/>
        <v>406.77099999999996</v>
      </c>
      <c r="M5" s="56">
        <f t="shared" si="1"/>
        <v>676.62400000000002</v>
      </c>
      <c r="N5" s="56">
        <f t="shared" si="1"/>
        <v>486</v>
      </c>
      <c r="O5" s="56">
        <f t="shared" si="1"/>
        <v>585</v>
      </c>
      <c r="P5" s="56">
        <f t="shared" si="1"/>
        <v>569</v>
      </c>
      <c r="Q5" s="56">
        <f t="shared" si="1"/>
        <v>530</v>
      </c>
      <c r="R5" s="56">
        <f t="shared" si="1"/>
        <v>610</v>
      </c>
      <c r="S5" s="56">
        <f>SUM(S6:S9)</f>
        <v>658</v>
      </c>
    </row>
    <row r="6" spans="1:19" ht="12" x14ac:dyDescent="0.2">
      <c r="A6" s="8"/>
      <c r="B6" s="2" t="s">
        <v>9</v>
      </c>
      <c r="C6" s="10" t="s">
        <v>10</v>
      </c>
      <c r="D6" s="10"/>
      <c r="E6" s="11" t="s">
        <v>11</v>
      </c>
      <c r="G6" s="57" t="s">
        <v>12</v>
      </c>
      <c r="H6" s="58">
        <v>21.997</v>
      </c>
      <c r="I6" s="58">
        <v>64.602999999999994</v>
      </c>
      <c r="J6" s="58">
        <v>87.647000000000006</v>
      </c>
      <c r="K6" s="58">
        <v>374.863</v>
      </c>
      <c r="L6" s="58">
        <v>132.35599999999999</v>
      </c>
      <c r="M6" s="58">
        <v>245.82499999999999</v>
      </c>
      <c r="N6" s="76">
        <v>75</v>
      </c>
      <c r="O6" s="76">
        <v>135</v>
      </c>
      <c r="P6" s="76">
        <v>150</v>
      </c>
      <c r="Q6" s="76">
        <v>180</v>
      </c>
      <c r="R6" s="76">
        <v>170</v>
      </c>
      <c r="S6" s="58">
        <v>188</v>
      </c>
    </row>
    <row r="7" spans="1:19" ht="12" x14ac:dyDescent="0.2">
      <c r="A7" s="8"/>
      <c r="B7" s="2" t="s">
        <v>13</v>
      </c>
      <c r="C7" s="10" t="s">
        <v>14</v>
      </c>
      <c r="D7" s="10"/>
      <c r="E7" s="11" t="s">
        <v>11</v>
      </c>
      <c r="G7" s="57" t="s">
        <v>15</v>
      </c>
      <c r="H7" s="58">
        <v>203.441</v>
      </c>
      <c r="I7" s="58">
        <v>212.33799999999999</v>
      </c>
      <c r="J7" s="58">
        <v>216.065</v>
      </c>
      <c r="K7" s="58">
        <v>233.60599999999999</v>
      </c>
      <c r="L7" s="58">
        <v>271.79199999999997</v>
      </c>
      <c r="M7" s="58">
        <v>428.41500000000002</v>
      </c>
      <c r="N7" s="76">
        <v>407</v>
      </c>
      <c r="O7" s="76">
        <v>450</v>
      </c>
      <c r="P7" s="76">
        <v>419</v>
      </c>
      <c r="Q7" s="76">
        <v>350</v>
      </c>
      <c r="R7" s="76">
        <v>440</v>
      </c>
      <c r="S7" s="58">
        <v>470</v>
      </c>
    </row>
    <row r="8" spans="1:19" ht="12" x14ac:dyDescent="0.2">
      <c r="A8" s="8"/>
      <c r="B8" s="2" t="s">
        <v>16</v>
      </c>
      <c r="C8" s="10" t="s">
        <v>17</v>
      </c>
      <c r="D8" s="10"/>
      <c r="E8" s="11" t="s">
        <v>11</v>
      </c>
      <c r="G8" s="57" t="s">
        <v>18</v>
      </c>
      <c r="H8" s="58">
        <v>0</v>
      </c>
      <c r="I8" s="58">
        <v>0</v>
      </c>
      <c r="J8" s="58">
        <v>0</v>
      </c>
      <c r="K8" s="58">
        <v>0</v>
      </c>
      <c r="L8" s="58">
        <v>0</v>
      </c>
      <c r="M8" s="58">
        <v>0</v>
      </c>
      <c r="N8" s="76">
        <v>0</v>
      </c>
      <c r="O8" s="76">
        <v>0</v>
      </c>
      <c r="P8" s="76">
        <v>0</v>
      </c>
      <c r="Q8" s="76">
        <v>0</v>
      </c>
      <c r="R8" s="76">
        <v>0</v>
      </c>
      <c r="S8" s="58">
        <v>0</v>
      </c>
    </row>
    <row r="9" spans="1:19" x14ac:dyDescent="0.2">
      <c r="A9" s="8"/>
      <c r="B9" s="2" t="s">
        <v>19</v>
      </c>
      <c r="C9" s="10">
        <v>108</v>
      </c>
      <c r="D9" s="10"/>
      <c r="E9" s="12"/>
      <c r="G9" s="57" t="s">
        <v>20</v>
      </c>
      <c r="H9" s="58">
        <v>2.4</v>
      </c>
      <c r="I9" s="58">
        <v>3.113</v>
      </c>
      <c r="J9" s="58">
        <v>3.4980000000000002</v>
      </c>
      <c r="K9" s="58">
        <v>5.0709999999999997</v>
      </c>
      <c r="L9" s="58">
        <v>2.6230000000000002</v>
      </c>
      <c r="M9" s="58">
        <v>2.3839999999999999</v>
      </c>
      <c r="N9" s="76">
        <v>4</v>
      </c>
      <c r="O9" s="76">
        <v>0</v>
      </c>
      <c r="P9" s="76">
        <v>0</v>
      </c>
      <c r="Q9" s="76">
        <v>0</v>
      </c>
      <c r="R9" s="76">
        <v>0</v>
      </c>
      <c r="S9" s="58">
        <v>0</v>
      </c>
    </row>
    <row r="10" spans="1:19" x14ac:dyDescent="0.2">
      <c r="A10" s="13"/>
      <c r="B10" s="2" t="s">
        <v>21</v>
      </c>
      <c r="C10" s="14">
        <v>15</v>
      </c>
      <c r="D10" s="14"/>
      <c r="E10" s="12"/>
      <c r="F10" s="13"/>
      <c r="G10" s="57" t="s">
        <v>22</v>
      </c>
      <c r="H10" s="56">
        <f t="shared" ref="H10:S10" si="2">SUM(H11:H16)</f>
        <v>22020.691999999999</v>
      </c>
      <c r="I10" s="56">
        <f t="shared" si="2"/>
        <v>21654.357</v>
      </c>
      <c r="J10" s="56">
        <f t="shared" si="2"/>
        <v>21340.172000000002</v>
      </c>
      <c r="K10" s="56">
        <f t="shared" si="2"/>
        <v>20966.971000000001</v>
      </c>
      <c r="L10" s="56">
        <f t="shared" si="2"/>
        <v>20642.482</v>
      </c>
      <c r="M10" s="56">
        <f t="shared" si="2"/>
        <v>20366.394</v>
      </c>
      <c r="N10" s="77">
        <f t="shared" si="2"/>
        <v>19841</v>
      </c>
      <c r="O10" s="77">
        <f t="shared" si="2"/>
        <v>19490</v>
      </c>
      <c r="P10" s="77">
        <f t="shared" si="2"/>
        <v>19446</v>
      </c>
      <c r="Q10" s="77">
        <f t="shared" si="2"/>
        <v>19402</v>
      </c>
      <c r="R10" s="77">
        <f t="shared" si="2"/>
        <v>19358</v>
      </c>
      <c r="S10" s="56">
        <f t="shared" si="2"/>
        <v>19314</v>
      </c>
    </row>
    <row r="11" spans="1:19" ht="12" x14ac:dyDescent="0.2">
      <c r="A11" s="13"/>
      <c r="B11" s="2" t="s">
        <v>23</v>
      </c>
      <c r="C11" s="14">
        <v>150</v>
      </c>
      <c r="D11" s="14"/>
      <c r="E11" s="11" t="s">
        <v>11</v>
      </c>
      <c r="F11" s="13"/>
      <c r="G11" s="57" t="s">
        <v>24</v>
      </c>
      <c r="H11" s="58">
        <v>0</v>
      </c>
      <c r="I11" s="58">
        <v>0</v>
      </c>
      <c r="J11" s="58">
        <v>0</v>
      </c>
      <c r="K11" s="58">
        <v>0</v>
      </c>
      <c r="L11" s="58">
        <v>0</v>
      </c>
      <c r="M11" s="58">
        <v>0</v>
      </c>
      <c r="N11" s="76">
        <v>0</v>
      </c>
      <c r="O11" s="76">
        <v>0</v>
      </c>
      <c r="P11" s="76">
        <v>0</v>
      </c>
      <c r="Q11" s="76">
        <v>0</v>
      </c>
      <c r="R11" s="76">
        <v>0</v>
      </c>
      <c r="S11" s="58">
        <v>0</v>
      </c>
    </row>
    <row r="12" spans="1:19" ht="12" x14ac:dyDescent="0.2">
      <c r="A12" s="13"/>
      <c r="B12" s="2" t="s">
        <v>25</v>
      </c>
      <c r="C12" s="14">
        <v>151</v>
      </c>
      <c r="D12" s="14"/>
      <c r="E12" s="11" t="s">
        <v>11</v>
      </c>
      <c r="F12" s="13"/>
      <c r="G12" s="57" t="s">
        <v>26</v>
      </c>
      <c r="H12" s="58">
        <v>0</v>
      </c>
      <c r="I12" s="58">
        <v>0</v>
      </c>
      <c r="J12" s="58">
        <v>0</v>
      </c>
      <c r="K12" s="58">
        <v>0</v>
      </c>
      <c r="L12" s="58">
        <v>0</v>
      </c>
      <c r="M12" s="58">
        <v>0</v>
      </c>
      <c r="N12" s="76">
        <v>0</v>
      </c>
      <c r="O12" s="76">
        <v>0</v>
      </c>
      <c r="P12" s="76">
        <v>0</v>
      </c>
      <c r="Q12" s="76">
        <v>0</v>
      </c>
      <c r="R12" s="76">
        <v>0</v>
      </c>
      <c r="S12" s="58">
        <v>0</v>
      </c>
    </row>
    <row r="13" spans="1:19" ht="12" x14ac:dyDescent="0.2">
      <c r="A13" s="8"/>
      <c r="B13" s="2" t="s">
        <v>27</v>
      </c>
      <c r="C13" s="10" t="s">
        <v>28</v>
      </c>
      <c r="D13" s="10"/>
      <c r="E13" s="11" t="s">
        <v>11</v>
      </c>
      <c r="G13" s="57" t="s">
        <v>29</v>
      </c>
      <c r="H13" s="58">
        <v>0</v>
      </c>
      <c r="I13" s="58">
        <v>0</v>
      </c>
      <c r="J13" s="58">
        <v>0</v>
      </c>
      <c r="K13" s="58">
        <v>0</v>
      </c>
      <c r="L13" s="58">
        <v>0</v>
      </c>
      <c r="M13" s="58">
        <v>0</v>
      </c>
      <c r="N13" s="76">
        <v>0</v>
      </c>
      <c r="O13" s="76">
        <v>0</v>
      </c>
      <c r="P13" s="76">
        <v>0</v>
      </c>
      <c r="Q13" s="76">
        <v>0</v>
      </c>
      <c r="R13" s="76">
        <v>0</v>
      </c>
      <c r="S13" s="58">
        <v>0</v>
      </c>
    </row>
    <row r="14" spans="1:19" ht="12" x14ac:dyDescent="0.2">
      <c r="A14" s="8"/>
      <c r="B14" s="2" t="s">
        <v>30</v>
      </c>
      <c r="C14" s="10">
        <v>154</v>
      </c>
      <c r="D14" s="10"/>
      <c r="E14" s="11" t="s">
        <v>11</v>
      </c>
      <c r="G14" s="57" t="s">
        <v>31</v>
      </c>
      <c r="H14" s="58">
        <v>552.976</v>
      </c>
      <c r="I14" s="58">
        <v>541.36500000000001</v>
      </c>
      <c r="J14" s="58">
        <v>529.75400000000002</v>
      </c>
      <c r="K14" s="58">
        <v>0</v>
      </c>
      <c r="L14" s="58">
        <v>0</v>
      </c>
      <c r="M14" s="58">
        <v>0</v>
      </c>
      <c r="N14" s="76">
        <v>0</v>
      </c>
      <c r="O14" s="76">
        <v>0</v>
      </c>
      <c r="P14" s="76">
        <v>0</v>
      </c>
      <c r="Q14" s="76">
        <v>0</v>
      </c>
      <c r="R14" s="76">
        <v>0</v>
      </c>
      <c r="S14" s="58">
        <v>0</v>
      </c>
    </row>
    <row r="15" spans="1:19" ht="12" x14ac:dyDescent="0.2">
      <c r="A15" s="8"/>
      <c r="B15" s="2" t="s">
        <v>32</v>
      </c>
      <c r="C15" s="10" t="s">
        <v>33</v>
      </c>
      <c r="D15" s="10"/>
      <c r="E15" s="11" t="s">
        <v>11</v>
      </c>
      <c r="G15" s="57" t="s">
        <v>34</v>
      </c>
      <c r="H15" s="58">
        <f>21467.716</f>
        <v>21467.716</v>
      </c>
      <c r="I15" s="58">
        <v>21112.991999999998</v>
      </c>
      <c r="J15" s="58">
        <v>20810.418000000001</v>
      </c>
      <c r="K15" s="58">
        <v>20966.971000000001</v>
      </c>
      <c r="L15" s="58">
        <v>20642.482</v>
      </c>
      <c r="M15" s="58">
        <v>20366.394</v>
      </c>
      <c r="N15" s="76">
        <v>19841</v>
      </c>
      <c r="O15" s="76">
        <v>19490</v>
      </c>
      <c r="P15" s="76">
        <f>O15+P45-P58</f>
        <v>19446</v>
      </c>
      <c r="Q15" s="76">
        <f>P15+Q45-Q58</f>
        <v>19402</v>
      </c>
      <c r="R15" s="76">
        <f>Q15+R45-R58</f>
        <v>19358</v>
      </c>
      <c r="S15" s="76">
        <f>R15+S45-S58</f>
        <v>19314</v>
      </c>
    </row>
    <row r="16" spans="1:19" ht="12" x14ac:dyDescent="0.2">
      <c r="A16" s="8"/>
      <c r="B16" s="2" t="s">
        <v>35</v>
      </c>
      <c r="C16" s="10">
        <v>157</v>
      </c>
      <c r="D16" s="10"/>
      <c r="E16" s="11" t="s">
        <v>11</v>
      </c>
      <c r="G16" s="57" t="s">
        <v>36</v>
      </c>
      <c r="H16" s="58">
        <v>0</v>
      </c>
      <c r="I16" s="58">
        <v>0</v>
      </c>
      <c r="J16" s="58">
        <v>0</v>
      </c>
      <c r="K16" s="58">
        <v>0</v>
      </c>
      <c r="L16" s="58">
        <v>0</v>
      </c>
      <c r="M16" s="58">
        <v>0</v>
      </c>
      <c r="N16" s="76">
        <v>0</v>
      </c>
      <c r="O16" s="76">
        <v>0</v>
      </c>
      <c r="P16" s="76">
        <v>0</v>
      </c>
      <c r="Q16" s="76">
        <v>0</v>
      </c>
      <c r="R16" s="76">
        <v>0</v>
      </c>
      <c r="S16" s="58">
        <v>0</v>
      </c>
    </row>
    <row r="17" spans="1:19" ht="12" x14ac:dyDescent="0.2">
      <c r="A17" s="15"/>
      <c r="B17" s="2" t="s">
        <v>37</v>
      </c>
      <c r="C17" s="78" t="s">
        <v>38</v>
      </c>
      <c r="D17" s="15"/>
      <c r="E17" s="11" t="s">
        <v>11</v>
      </c>
      <c r="F17" s="16"/>
      <c r="G17" s="59" t="s">
        <v>39</v>
      </c>
      <c r="H17" s="60">
        <v>0</v>
      </c>
      <c r="I17" s="60">
        <v>0</v>
      </c>
      <c r="J17" s="60">
        <v>0</v>
      </c>
      <c r="K17" s="60">
        <v>0</v>
      </c>
      <c r="L17" s="60">
        <v>0</v>
      </c>
      <c r="M17" s="60">
        <v>0</v>
      </c>
      <c r="N17" s="80">
        <v>0</v>
      </c>
      <c r="O17" s="80">
        <v>0</v>
      </c>
      <c r="P17" s="80">
        <v>0</v>
      </c>
      <c r="Q17" s="80">
        <v>0</v>
      </c>
      <c r="R17" s="80">
        <v>0</v>
      </c>
      <c r="S17" s="60">
        <v>0</v>
      </c>
    </row>
    <row r="18" spans="1:19" x14ac:dyDescent="0.2">
      <c r="A18" s="8"/>
      <c r="B18" s="2" t="s">
        <v>40</v>
      </c>
      <c r="C18" s="10">
        <v>2</v>
      </c>
      <c r="D18" s="10"/>
      <c r="E18" s="12"/>
      <c r="G18" s="57" t="s">
        <v>41</v>
      </c>
      <c r="H18" s="56">
        <f t="shared" ref="H18:S18" si="3">H19+H27</f>
        <v>22248.529000000002</v>
      </c>
      <c r="I18" s="56">
        <f t="shared" si="3"/>
        <v>21934.411</v>
      </c>
      <c r="J18" s="56">
        <f t="shared" si="3"/>
        <v>21647.381000000001</v>
      </c>
      <c r="K18" s="56">
        <f t="shared" si="3"/>
        <v>21580.508999999998</v>
      </c>
      <c r="L18" s="56">
        <f t="shared" si="3"/>
        <v>21049.252</v>
      </c>
      <c r="M18" s="56">
        <f t="shared" si="3"/>
        <v>21043.018</v>
      </c>
      <c r="N18" s="77">
        <f t="shared" si="3"/>
        <v>20327</v>
      </c>
      <c r="O18" s="77">
        <f t="shared" si="3"/>
        <v>20075</v>
      </c>
      <c r="P18" s="77">
        <f t="shared" si="3"/>
        <v>20015.28</v>
      </c>
      <c r="Q18" s="77">
        <f t="shared" si="3"/>
        <v>19932.412400000001</v>
      </c>
      <c r="R18" s="77">
        <f t="shared" si="3"/>
        <v>19968.295222000001</v>
      </c>
      <c r="S18" s="56">
        <f t="shared" si="3"/>
        <v>19972.064528660001</v>
      </c>
    </row>
    <row r="19" spans="1:19" x14ac:dyDescent="0.2">
      <c r="A19" s="8"/>
      <c r="B19" s="2" t="s">
        <v>42</v>
      </c>
      <c r="C19" s="10" t="s">
        <v>43</v>
      </c>
      <c r="D19" s="10"/>
      <c r="E19" s="12"/>
      <c r="G19" s="57" t="s">
        <v>44</v>
      </c>
      <c r="H19" s="56">
        <f t="shared" ref="H19:S19" si="4">SUM(H21:H26)</f>
        <v>13131.633000000002</v>
      </c>
      <c r="I19" s="56">
        <f t="shared" si="4"/>
        <v>11512.879000000001</v>
      </c>
      <c r="J19" s="56">
        <f t="shared" si="4"/>
        <v>9914.094000000001</v>
      </c>
      <c r="K19" s="56">
        <f t="shared" si="4"/>
        <v>9697.2379999999994</v>
      </c>
      <c r="L19" s="56">
        <f t="shared" si="4"/>
        <v>2969.6860000000001</v>
      </c>
      <c r="M19" s="56">
        <f t="shared" si="4"/>
        <v>2979.3720000000003</v>
      </c>
      <c r="N19" s="77">
        <f t="shared" si="4"/>
        <v>2583</v>
      </c>
      <c r="O19" s="77">
        <f t="shared" si="4"/>
        <v>1969</v>
      </c>
      <c r="P19" s="77">
        <f t="shared" si="4"/>
        <v>1529</v>
      </c>
      <c r="Q19" s="77">
        <f t="shared" si="4"/>
        <v>1224</v>
      </c>
      <c r="R19" s="77">
        <f t="shared" si="4"/>
        <v>1077</v>
      </c>
      <c r="S19" s="56">
        <f t="shared" si="4"/>
        <v>950</v>
      </c>
    </row>
    <row r="20" spans="1:19" ht="12" x14ac:dyDescent="0.2">
      <c r="A20" s="17"/>
      <c r="B20" s="2" t="s">
        <v>45</v>
      </c>
      <c r="C20" s="78" t="s">
        <v>46</v>
      </c>
      <c r="D20" s="15"/>
      <c r="E20" s="11" t="s">
        <v>11</v>
      </c>
      <c r="F20" s="17"/>
      <c r="G20" s="59" t="s">
        <v>47</v>
      </c>
      <c r="H20" s="61">
        <v>2546.424</v>
      </c>
      <c r="I20" s="61">
        <v>2172.317</v>
      </c>
      <c r="J20" s="61">
        <v>1384.2280000000001</v>
      </c>
      <c r="K20" s="61">
        <v>1961.519</v>
      </c>
      <c r="L20" s="61">
        <v>1420.402</v>
      </c>
      <c r="M20" s="61">
        <v>1781.64</v>
      </c>
      <c r="N20" s="82">
        <v>0</v>
      </c>
      <c r="O20" s="82">
        <v>0</v>
      </c>
      <c r="P20" s="82">
        <v>0</v>
      </c>
      <c r="Q20" s="82">
        <v>0</v>
      </c>
      <c r="R20" s="82">
        <v>0</v>
      </c>
      <c r="S20" s="61">
        <v>0</v>
      </c>
    </row>
    <row r="21" spans="1:19" ht="12" x14ac:dyDescent="0.2">
      <c r="A21" s="8"/>
      <c r="B21" s="2" t="s">
        <v>48</v>
      </c>
      <c r="C21" s="18" t="s">
        <v>49</v>
      </c>
      <c r="D21" s="18"/>
      <c r="E21" s="11" t="s">
        <v>11</v>
      </c>
      <c r="G21" s="57" t="s">
        <v>50</v>
      </c>
      <c r="H21" s="58">
        <f>392.027+303.893+260.287</f>
        <v>956.20699999999988</v>
      </c>
      <c r="I21" s="58">
        <f>288.198+266.275+373.197</f>
        <v>927.67</v>
      </c>
      <c r="J21" s="58">
        <f>327.926+309.368+354.514</f>
        <v>991.80799999999999</v>
      </c>
      <c r="K21" s="58">
        <f>159.759+298.261+709.352</f>
        <v>1167.3719999999998</v>
      </c>
      <c r="L21" s="58">
        <f>139.552+312.649+593.982</f>
        <v>1046.183</v>
      </c>
      <c r="M21" s="58">
        <f>1781.64-351.551</f>
        <v>1430.0890000000002</v>
      </c>
      <c r="N21" s="76">
        <v>1385</v>
      </c>
      <c r="O21" s="76">
        <v>1148</v>
      </c>
      <c r="P21" s="76">
        <v>1085</v>
      </c>
      <c r="Q21" s="76">
        <v>1157</v>
      </c>
      <c r="R21" s="76">
        <v>1077</v>
      </c>
      <c r="S21" s="58">
        <v>950</v>
      </c>
    </row>
    <row r="22" spans="1:19" ht="12" x14ac:dyDescent="0.2">
      <c r="A22" s="8"/>
      <c r="B22" s="2" t="s">
        <v>51</v>
      </c>
      <c r="C22" s="10" t="s">
        <v>52</v>
      </c>
      <c r="D22" s="10"/>
      <c r="E22" s="11" t="s">
        <v>11</v>
      </c>
      <c r="G22" s="57" t="s">
        <v>53</v>
      </c>
      <c r="H22" s="58">
        <v>0</v>
      </c>
      <c r="I22" s="58">
        <v>0</v>
      </c>
      <c r="J22" s="58">
        <v>0</v>
      </c>
      <c r="K22" s="58">
        <v>0</v>
      </c>
      <c r="L22" s="58">
        <v>0</v>
      </c>
      <c r="M22" s="58">
        <v>0</v>
      </c>
      <c r="N22" s="76">
        <v>0</v>
      </c>
      <c r="O22" s="76">
        <v>0</v>
      </c>
      <c r="P22" s="76">
        <v>0</v>
      </c>
      <c r="Q22" s="76">
        <v>0</v>
      </c>
      <c r="R22" s="76">
        <v>0</v>
      </c>
      <c r="S22" s="58">
        <v>0</v>
      </c>
    </row>
    <row r="23" spans="1:19" ht="12" x14ac:dyDescent="0.2">
      <c r="A23" s="8"/>
      <c r="B23" s="2" t="s">
        <v>54</v>
      </c>
      <c r="C23" s="10">
        <v>257</v>
      </c>
      <c r="D23" s="10"/>
      <c r="E23" s="11" t="s">
        <v>11</v>
      </c>
      <c r="G23" s="57" t="s">
        <v>55</v>
      </c>
      <c r="H23" s="58">
        <v>0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76">
        <v>0</v>
      </c>
      <c r="O23" s="76">
        <v>0</v>
      </c>
      <c r="P23" s="76">
        <v>0</v>
      </c>
      <c r="Q23" s="76">
        <v>0</v>
      </c>
      <c r="R23" s="76">
        <v>0</v>
      </c>
      <c r="S23" s="58">
        <v>0</v>
      </c>
    </row>
    <row r="24" spans="1:19" ht="12" x14ac:dyDescent="0.2">
      <c r="A24" s="19"/>
      <c r="B24" s="2" t="s">
        <v>56</v>
      </c>
      <c r="C24" s="10" t="s">
        <v>57</v>
      </c>
      <c r="D24" s="10"/>
      <c r="E24" s="11" t="s">
        <v>11</v>
      </c>
      <c r="F24" s="19"/>
      <c r="G24" s="57" t="s">
        <v>58</v>
      </c>
      <c r="H24" s="58">
        <f>1590.217+10585.209</f>
        <v>12175.426000000001</v>
      </c>
      <c r="I24" s="58">
        <f>1244.646+9340.563</f>
        <v>10585.209000000001</v>
      </c>
      <c r="J24" s="58">
        <f>392.42+8529.866</f>
        <v>8922.2860000000001</v>
      </c>
      <c r="K24" s="58">
        <f>794.146+7735.72</f>
        <v>8529.866</v>
      </c>
      <c r="L24" s="58">
        <f>374.219+1549.284</f>
        <v>1923.5030000000002</v>
      </c>
      <c r="M24" s="58">
        <f>351.551+1197.732</f>
        <v>1549.2829999999999</v>
      </c>
      <c r="N24" s="76">
        <v>1198</v>
      </c>
      <c r="O24" s="76">
        <f>N24-377</f>
        <v>821</v>
      </c>
      <c r="P24" s="76">
        <f>O24+P78</f>
        <v>444</v>
      </c>
      <c r="Q24" s="76">
        <f>P24+Q78</f>
        <v>67</v>
      </c>
      <c r="R24" s="76">
        <f>Q24+R78</f>
        <v>0</v>
      </c>
      <c r="S24" s="76">
        <f>R24+S78</f>
        <v>0</v>
      </c>
    </row>
    <row r="25" spans="1:19" ht="12" x14ac:dyDescent="0.2">
      <c r="A25" s="19"/>
      <c r="B25" s="2" t="s">
        <v>59</v>
      </c>
      <c r="C25" s="10" t="s">
        <v>60</v>
      </c>
      <c r="D25" s="10"/>
      <c r="E25" s="11" t="s">
        <v>11</v>
      </c>
      <c r="F25" s="19"/>
      <c r="G25" s="57" t="s">
        <v>61</v>
      </c>
      <c r="H25" s="58">
        <v>0</v>
      </c>
      <c r="I25" s="58">
        <v>0</v>
      </c>
      <c r="J25" s="58">
        <v>0</v>
      </c>
      <c r="K25" s="58">
        <v>0</v>
      </c>
      <c r="L25" s="58">
        <v>0</v>
      </c>
      <c r="M25" s="58">
        <v>0</v>
      </c>
      <c r="N25" s="76">
        <v>0</v>
      </c>
      <c r="O25" s="76">
        <v>0</v>
      </c>
      <c r="P25" s="76">
        <v>0</v>
      </c>
      <c r="Q25" s="76">
        <v>0</v>
      </c>
      <c r="R25" s="76">
        <v>0</v>
      </c>
      <c r="S25" s="58">
        <v>0</v>
      </c>
    </row>
    <row r="26" spans="1:19" ht="12" x14ac:dyDescent="0.2">
      <c r="A26" s="8"/>
      <c r="B26" s="2" t="s">
        <v>62</v>
      </c>
      <c r="C26" s="10">
        <v>28</v>
      </c>
      <c r="D26" s="10"/>
      <c r="E26" s="11" t="s">
        <v>11</v>
      </c>
      <c r="G26" s="57" t="s">
        <v>63</v>
      </c>
      <c r="H26" s="58">
        <v>0</v>
      </c>
      <c r="I26" s="58">
        <v>0</v>
      </c>
      <c r="J26" s="58">
        <v>0</v>
      </c>
      <c r="K26" s="58">
        <v>0</v>
      </c>
      <c r="L26" s="58">
        <v>0</v>
      </c>
      <c r="M26" s="58">
        <v>0</v>
      </c>
      <c r="N26" s="76">
        <v>0</v>
      </c>
      <c r="O26" s="76">
        <v>0</v>
      </c>
      <c r="P26" s="76">
        <v>0</v>
      </c>
      <c r="Q26" s="76">
        <v>0</v>
      </c>
      <c r="R26" s="76">
        <v>0</v>
      </c>
      <c r="S26" s="58">
        <v>0</v>
      </c>
    </row>
    <row r="27" spans="1:19" x14ac:dyDescent="0.2">
      <c r="A27" s="8"/>
      <c r="B27" s="2" t="s">
        <v>64</v>
      </c>
      <c r="C27" s="10">
        <v>29</v>
      </c>
      <c r="D27" s="10"/>
      <c r="E27" s="12"/>
      <c r="G27" s="57" t="s">
        <v>65</v>
      </c>
      <c r="H27" s="56">
        <f t="shared" ref="H27:M27" si="5">SUM(H28:H30)</f>
        <v>9116.8960000000006</v>
      </c>
      <c r="I27" s="56">
        <f t="shared" si="5"/>
        <v>10421.531999999999</v>
      </c>
      <c r="J27" s="56">
        <f t="shared" si="5"/>
        <v>11733.287</v>
      </c>
      <c r="K27" s="56">
        <f t="shared" si="5"/>
        <v>11883.271000000001</v>
      </c>
      <c r="L27" s="56">
        <f t="shared" si="5"/>
        <v>18079.565999999999</v>
      </c>
      <c r="M27" s="56">
        <f t="shared" si="5"/>
        <v>18063.646000000001</v>
      </c>
      <c r="N27" s="77">
        <f t="shared" ref="N27:S27" si="6">SUM(N28:N30)</f>
        <v>17744</v>
      </c>
      <c r="O27" s="77">
        <f t="shared" si="6"/>
        <v>18106</v>
      </c>
      <c r="P27" s="77">
        <f t="shared" si="6"/>
        <v>18486.28</v>
      </c>
      <c r="Q27" s="77">
        <f t="shared" si="6"/>
        <v>18708.412400000001</v>
      </c>
      <c r="R27" s="77">
        <f t="shared" si="6"/>
        <v>18891.295222000001</v>
      </c>
      <c r="S27" s="56">
        <f t="shared" si="6"/>
        <v>19022.064528660001</v>
      </c>
    </row>
    <row r="28" spans="1:19" ht="12" x14ac:dyDescent="0.2">
      <c r="A28" s="8"/>
      <c r="B28" s="2" t="s">
        <v>66</v>
      </c>
      <c r="C28" s="8" t="s">
        <v>67</v>
      </c>
      <c r="D28" s="8"/>
      <c r="E28" s="11" t="s">
        <v>11</v>
      </c>
      <c r="G28" s="57" t="s">
        <v>68</v>
      </c>
      <c r="H28" s="58">
        <v>9116.8960000000006</v>
      </c>
      <c r="I28" s="58">
        <v>10421.531999999999</v>
      </c>
      <c r="J28" s="58">
        <v>11733.287</v>
      </c>
      <c r="K28" s="58">
        <v>11883.271000000001</v>
      </c>
      <c r="L28" s="58">
        <v>12104.79</v>
      </c>
      <c r="M28" s="58">
        <v>12104.79</v>
      </c>
      <c r="N28" s="76">
        <v>12105</v>
      </c>
      <c r="O28" s="76">
        <v>12105</v>
      </c>
      <c r="P28" s="76">
        <v>12105</v>
      </c>
      <c r="Q28" s="76">
        <v>12105</v>
      </c>
      <c r="R28" s="76">
        <v>12105</v>
      </c>
      <c r="S28" s="58">
        <v>12105</v>
      </c>
    </row>
    <row r="29" spans="1:19" ht="12" x14ac:dyDescent="0.2">
      <c r="A29" s="8"/>
      <c r="B29" s="2" t="s">
        <v>69</v>
      </c>
      <c r="C29" s="10">
        <v>298</v>
      </c>
      <c r="D29" s="10"/>
      <c r="E29" s="11" t="s">
        <v>11</v>
      </c>
      <c r="G29" s="57" t="s">
        <v>70</v>
      </c>
      <c r="H29" s="58">
        <v>3975.1010000000001</v>
      </c>
      <c r="I29" s="58">
        <v>4004.7150000000001</v>
      </c>
      <c r="J29" s="58">
        <v>4267.9530000000004</v>
      </c>
      <c r="K29" s="58">
        <v>221.51900000000001</v>
      </c>
      <c r="L29" s="58">
        <v>-221.51900000000001</v>
      </c>
      <c r="M29" s="58">
        <v>5974.7759999999998</v>
      </c>
      <c r="N29" s="76">
        <v>5959</v>
      </c>
      <c r="O29" s="76">
        <f>N29+N30</f>
        <v>5639</v>
      </c>
      <c r="P29" s="76">
        <f>O29+O30</f>
        <v>6001</v>
      </c>
      <c r="Q29" s="76">
        <f>P29+P30</f>
        <v>6381.2800000000007</v>
      </c>
      <c r="R29" s="76">
        <f>Q29+Q30</f>
        <v>6603.4124000000011</v>
      </c>
      <c r="S29" s="76">
        <f>R29+R30</f>
        <v>6786.2952220000006</v>
      </c>
    </row>
    <row r="30" spans="1:19" ht="12" x14ac:dyDescent="0.2">
      <c r="A30" s="8"/>
      <c r="B30" s="2" t="s">
        <v>71</v>
      </c>
      <c r="C30" s="10">
        <v>299</v>
      </c>
      <c r="D30" s="10"/>
      <c r="E30" s="11" t="s">
        <v>72</v>
      </c>
      <c r="G30" s="57" t="s">
        <v>73</v>
      </c>
      <c r="H30" s="58">
        <v>-3975.1010000000001</v>
      </c>
      <c r="I30" s="58">
        <v>-4004.7150000000001</v>
      </c>
      <c r="J30" s="58">
        <v>-4267.9530000000004</v>
      </c>
      <c r="K30" s="58">
        <v>-221.51900000000001</v>
      </c>
      <c r="L30" s="58">
        <v>6196.2950000000001</v>
      </c>
      <c r="M30" s="58">
        <v>-15.92</v>
      </c>
      <c r="N30" s="76">
        <v>-320</v>
      </c>
      <c r="O30" s="76">
        <f>O51</f>
        <v>362</v>
      </c>
      <c r="P30" s="76">
        <f>P51</f>
        <v>380.28000000000065</v>
      </c>
      <c r="Q30" s="76">
        <f>Q51</f>
        <v>222.13240000000042</v>
      </c>
      <c r="R30" s="76">
        <f>R51</f>
        <v>182.88282199999958</v>
      </c>
      <c r="S30" s="76">
        <f>S51</f>
        <v>130.76930666000044</v>
      </c>
    </row>
    <row r="31" spans="1:19" x14ac:dyDescent="0.2">
      <c r="A31" s="20"/>
      <c r="B31" s="2" t="s">
        <v>368</v>
      </c>
      <c r="C31" s="83" t="s">
        <v>369</v>
      </c>
      <c r="D31" s="21"/>
      <c r="E31" s="22"/>
      <c r="F31" s="20"/>
      <c r="G31" s="62" t="s">
        <v>74</v>
      </c>
      <c r="H31" s="63">
        <f t="shared" ref="H31:S31" si="7">H4-H18</f>
        <v>9.9999999656574801E-4</v>
      </c>
      <c r="I31" s="63">
        <f t="shared" si="7"/>
        <v>0</v>
      </c>
      <c r="J31" s="63">
        <f t="shared" si="7"/>
        <v>1.0000000002037268E-3</v>
      </c>
      <c r="K31" s="63">
        <f t="shared" si="7"/>
        <v>2.0000000040454324E-3</v>
      </c>
      <c r="L31" s="63">
        <f t="shared" si="7"/>
        <v>1.0000000002037268E-3</v>
      </c>
      <c r="M31" s="63">
        <f t="shared" si="7"/>
        <v>0</v>
      </c>
      <c r="N31" s="85">
        <f t="shared" si="7"/>
        <v>0</v>
      </c>
      <c r="O31" s="85">
        <f t="shared" si="7"/>
        <v>0</v>
      </c>
      <c r="P31" s="85">
        <f t="shared" si="7"/>
        <v>-0.27999999999883585</v>
      </c>
      <c r="Q31" s="85">
        <f t="shared" si="7"/>
        <v>-0.41240000000107102</v>
      </c>
      <c r="R31" s="85">
        <f t="shared" si="7"/>
        <v>-0.29522200000064913</v>
      </c>
      <c r="S31" s="63">
        <f t="shared" si="7"/>
        <v>-6.4528660001087701E-2</v>
      </c>
    </row>
    <row r="32" spans="1:19" x14ac:dyDescent="0.2">
      <c r="A32" s="8"/>
      <c r="B32" s="2"/>
      <c r="C32" s="10"/>
      <c r="D32" s="10"/>
      <c r="E32" s="9"/>
      <c r="G32" s="53" t="s">
        <v>75</v>
      </c>
      <c r="H32" s="64">
        <v>2011</v>
      </c>
      <c r="I32" s="64">
        <f t="shared" ref="I32:S32" si="8">H32+1</f>
        <v>2012</v>
      </c>
      <c r="J32" s="64">
        <f t="shared" si="8"/>
        <v>2013</v>
      </c>
      <c r="K32" s="64">
        <f t="shared" si="8"/>
        <v>2014</v>
      </c>
      <c r="L32" s="64">
        <f t="shared" si="8"/>
        <v>2015</v>
      </c>
      <c r="M32" s="64">
        <f t="shared" si="8"/>
        <v>2016</v>
      </c>
      <c r="N32" s="87">
        <f t="shared" si="8"/>
        <v>2017</v>
      </c>
      <c r="O32" s="87">
        <f t="shared" si="8"/>
        <v>2018</v>
      </c>
      <c r="P32" s="87">
        <f t="shared" si="8"/>
        <v>2019</v>
      </c>
      <c r="Q32" s="87">
        <f t="shared" si="8"/>
        <v>2020</v>
      </c>
      <c r="R32" s="87">
        <f t="shared" si="8"/>
        <v>2021</v>
      </c>
      <c r="S32" s="64">
        <f t="shared" si="8"/>
        <v>2022</v>
      </c>
    </row>
    <row r="33" spans="1:27" x14ac:dyDescent="0.2">
      <c r="A33" s="8"/>
      <c r="B33" s="2" t="s">
        <v>76</v>
      </c>
      <c r="C33" s="10">
        <v>3</v>
      </c>
      <c r="D33" s="10"/>
      <c r="E33" s="9"/>
      <c r="G33" s="55" t="s">
        <v>77</v>
      </c>
      <c r="H33" s="56">
        <f t="shared" ref="H33:S33" si="9">SUM(H34:H37)</f>
        <v>3125.7109999999998</v>
      </c>
      <c r="I33" s="56">
        <f t="shared" si="9"/>
        <v>3235.9249999999997</v>
      </c>
      <c r="J33" s="56">
        <f t="shared" si="9"/>
        <v>3166.3850000000002</v>
      </c>
      <c r="K33" s="56">
        <f t="shared" si="9"/>
        <v>7729.8620000000001</v>
      </c>
      <c r="L33" s="56">
        <f t="shared" si="9"/>
        <v>16447.542000000001</v>
      </c>
      <c r="M33" s="56">
        <f t="shared" si="9"/>
        <v>8380.8580000000002</v>
      </c>
      <c r="N33" s="77">
        <f t="shared" si="9"/>
        <v>8780</v>
      </c>
      <c r="O33" s="77">
        <f t="shared" si="9"/>
        <v>9074</v>
      </c>
      <c r="P33" s="77">
        <f t="shared" si="9"/>
        <v>9518.58</v>
      </c>
      <c r="Q33" s="77">
        <f t="shared" si="9"/>
        <v>9617.8474000000006</v>
      </c>
      <c r="R33" s="77">
        <f t="shared" si="9"/>
        <v>9662.8828219999996</v>
      </c>
      <c r="S33" s="56">
        <f t="shared" si="9"/>
        <v>9760.7693066600004</v>
      </c>
      <c r="AA33" s="47" t="s">
        <v>358</v>
      </c>
    </row>
    <row r="34" spans="1:27" ht="12" x14ac:dyDescent="0.2">
      <c r="A34" s="8"/>
      <c r="B34" s="2" t="s">
        <v>78</v>
      </c>
      <c r="C34" s="10">
        <v>30</v>
      </c>
      <c r="D34" s="10"/>
      <c r="E34" s="11" t="s">
        <v>11</v>
      </c>
      <c r="G34" s="57" t="s">
        <v>79</v>
      </c>
      <c r="H34" s="58">
        <v>0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76">
        <v>0</v>
      </c>
      <c r="O34" s="76">
        <v>0</v>
      </c>
      <c r="P34" s="76">
        <v>0</v>
      </c>
      <c r="Q34" s="76">
        <v>0</v>
      </c>
      <c r="R34" s="76">
        <v>0</v>
      </c>
      <c r="S34" s="58">
        <v>0</v>
      </c>
    </row>
    <row r="35" spans="1:27" ht="12" x14ac:dyDescent="0.2">
      <c r="A35" s="8"/>
      <c r="B35" s="2" t="s">
        <v>80</v>
      </c>
      <c r="C35" s="10">
        <v>32</v>
      </c>
      <c r="D35" s="10"/>
      <c r="E35" s="11" t="s">
        <v>11</v>
      </c>
      <c r="G35" s="57" t="s">
        <v>81</v>
      </c>
      <c r="H35" s="58">
        <v>2238.4589999999998</v>
      </c>
      <c r="I35" s="58">
        <v>2423.2939999999999</v>
      </c>
      <c r="J35" s="58">
        <v>2596.212</v>
      </c>
      <c r="K35" s="58">
        <v>2679.3919999999998</v>
      </c>
      <c r="L35" s="58">
        <v>3541.386</v>
      </c>
      <c r="M35" s="58">
        <v>3181.2170000000001</v>
      </c>
      <c r="N35" s="76">
        <v>3493</v>
      </c>
      <c r="O35" s="76">
        <v>2986</v>
      </c>
      <c r="P35" s="76">
        <f>O35*1.03</f>
        <v>3075.58</v>
      </c>
      <c r="Q35" s="76">
        <f>P35*1.03</f>
        <v>3167.8474000000001</v>
      </c>
      <c r="R35" s="76">
        <f>Q35*1.03</f>
        <v>3262.882822</v>
      </c>
      <c r="S35" s="58">
        <f>R35*1.03</f>
        <v>3360.76930666</v>
      </c>
    </row>
    <row r="36" spans="1:27" ht="12" x14ac:dyDescent="0.2">
      <c r="A36" s="13"/>
      <c r="B36" s="2" t="s">
        <v>82</v>
      </c>
      <c r="C36" s="10">
        <v>35</v>
      </c>
      <c r="D36" s="10"/>
      <c r="E36" s="11" t="s">
        <v>11</v>
      </c>
      <c r="F36" s="13"/>
      <c r="G36" s="57" t="s">
        <v>83</v>
      </c>
      <c r="H36" s="58">
        <v>887.24300000000005</v>
      </c>
      <c r="I36" s="58">
        <v>811.56</v>
      </c>
      <c r="J36" s="58">
        <v>570.173</v>
      </c>
      <c r="K36" s="58">
        <v>5050.47</v>
      </c>
      <c r="L36" s="58">
        <v>12902.611999999999</v>
      </c>
      <c r="M36" s="58">
        <v>5199.6409999999996</v>
      </c>
      <c r="N36" s="76">
        <f>5282+5</f>
        <v>5287</v>
      </c>
      <c r="O36" s="76">
        <f>4948+1140</f>
        <v>6088</v>
      </c>
      <c r="P36" s="76">
        <f>O36+355</f>
        <v>6443</v>
      </c>
      <c r="Q36" s="76">
        <v>6450</v>
      </c>
      <c r="R36" s="76">
        <v>6400</v>
      </c>
      <c r="S36" s="76">
        <v>6400</v>
      </c>
    </row>
    <row r="37" spans="1:27" ht="12" x14ac:dyDescent="0.2">
      <c r="A37" s="8"/>
      <c r="B37" s="2" t="s">
        <v>84</v>
      </c>
      <c r="C37" s="10">
        <v>38</v>
      </c>
      <c r="D37" s="10"/>
      <c r="E37" s="11" t="s">
        <v>72</v>
      </c>
      <c r="G37" s="57" t="s">
        <v>85</v>
      </c>
      <c r="H37" s="58">
        <v>8.9999999999999993E-3</v>
      </c>
      <c r="I37" s="58">
        <v>1.071</v>
      </c>
      <c r="J37" s="58">
        <v>0</v>
      </c>
      <c r="K37" s="58">
        <v>0</v>
      </c>
      <c r="L37" s="58">
        <v>3.544</v>
      </c>
      <c r="M37" s="58">
        <v>0</v>
      </c>
      <c r="N37" s="76">
        <v>0</v>
      </c>
      <c r="O37" s="76">
        <v>0</v>
      </c>
      <c r="P37" s="76">
        <v>0</v>
      </c>
      <c r="Q37" s="76">
        <v>0</v>
      </c>
      <c r="R37" s="76">
        <v>0</v>
      </c>
      <c r="S37" s="58">
        <v>0</v>
      </c>
    </row>
    <row r="38" spans="1:27" x14ac:dyDescent="0.2">
      <c r="A38" s="8"/>
      <c r="B38" s="2" t="s">
        <v>86</v>
      </c>
      <c r="C38" s="10">
        <v>4</v>
      </c>
      <c r="D38" s="10"/>
      <c r="E38" s="23"/>
      <c r="G38" s="57" t="s">
        <v>87</v>
      </c>
      <c r="H38" s="56">
        <f t="shared" ref="H38:S38" si="10">H39+H40</f>
        <v>-0.128</v>
      </c>
      <c r="I38" s="56">
        <f t="shared" si="10"/>
        <v>-0.128</v>
      </c>
      <c r="J38" s="56">
        <f t="shared" si="10"/>
        <v>-0.128</v>
      </c>
      <c r="K38" s="56">
        <f t="shared" si="10"/>
        <v>0</v>
      </c>
      <c r="L38" s="56">
        <f t="shared" si="10"/>
        <v>0</v>
      </c>
      <c r="M38" s="56">
        <f t="shared" si="10"/>
        <v>0</v>
      </c>
      <c r="N38" s="77">
        <f t="shared" si="10"/>
        <v>0</v>
      </c>
      <c r="O38" s="77">
        <f t="shared" si="10"/>
        <v>0</v>
      </c>
      <c r="P38" s="77">
        <f t="shared" si="10"/>
        <v>0</v>
      </c>
      <c r="Q38" s="77">
        <f t="shared" si="10"/>
        <v>0</v>
      </c>
      <c r="R38" s="77">
        <f t="shared" si="10"/>
        <v>0</v>
      </c>
      <c r="S38" s="56">
        <f t="shared" si="10"/>
        <v>0</v>
      </c>
    </row>
    <row r="39" spans="1:27" ht="12" x14ac:dyDescent="0.2">
      <c r="A39" s="8"/>
      <c r="B39" s="2" t="s">
        <v>88</v>
      </c>
      <c r="C39" s="10">
        <v>41</v>
      </c>
      <c r="D39" s="10"/>
      <c r="E39" s="11" t="s">
        <v>89</v>
      </c>
      <c r="G39" s="57" t="s">
        <v>90</v>
      </c>
      <c r="H39" s="58">
        <v>0</v>
      </c>
      <c r="I39" s="58">
        <v>0</v>
      </c>
      <c r="J39" s="58">
        <v>0</v>
      </c>
      <c r="K39" s="58">
        <v>0</v>
      </c>
      <c r="L39" s="58">
        <v>0</v>
      </c>
      <c r="M39" s="58">
        <v>0</v>
      </c>
      <c r="N39" s="76">
        <v>0</v>
      </c>
      <c r="O39" s="76">
        <v>0</v>
      </c>
      <c r="P39" s="76">
        <v>0</v>
      </c>
      <c r="Q39" s="76">
        <v>0</v>
      </c>
      <c r="R39" s="76">
        <v>0</v>
      </c>
      <c r="S39" s="58">
        <v>0</v>
      </c>
    </row>
    <row r="40" spans="1:27" ht="12" x14ac:dyDescent="0.2">
      <c r="A40" s="8"/>
      <c r="B40" s="2" t="s">
        <v>91</v>
      </c>
      <c r="C40" s="10">
        <v>45</v>
      </c>
      <c r="D40" s="10"/>
      <c r="E40" s="11" t="s">
        <v>89</v>
      </c>
      <c r="G40" s="57" t="s">
        <v>92</v>
      </c>
      <c r="H40" s="58">
        <v>-0.128</v>
      </c>
      <c r="I40" s="58">
        <v>-0.128</v>
      </c>
      <c r="J40" s="58">
        <v>-0.128</v>
      </c>
      <c r="K40" s="58">
        <v>0</v>
      </c>
      <c r="L40" s="58">
        <v>0</v>
      </c>
      <c r="M40" s="58">
        <v>0</v>
      </c>
      <c r="N40" s="76">
        <v>0</v>
      </c>
      <c r="O40" s="76">
        <v>0</v>
      </c>
      <c r="P40" s="76">
        <v>0</v>
      </c>
      <c r="Q40" s="76">
        <v>0</v>
      </c>
      <c r="R40" s="76">
        <v>0</v>
      </c>
      <c r="S40" s="58">
        <v>0</v>
      </c>
    </row>
    <row r="41" spans="1:27" x14ac:dyDescent="0.2">
      <c r="A41" s="13"/>
      <c r="B41" s="2" t="s">
        <v>93</v>
      </c>
      <c r="C41" s="10" t="s">
        <v>94</v>
      </c>
      <c r="D41" s="10"/>
      <c r="E41" s="23"/>
      <c r="F41" s="13"/>
      <c r="G41" s="57" t="s">
        <v>95</v>
      </c>
      <c r="H41" s="56">
        <f t="shared" ref="H41:S41" si="11">SUM(H42:H45)</f>
        <v>-6542.7060000000001</v>
      </c>
      <c r="I41" s="56">
        <f t="shared" si="11"/>
        <v>-6646.9440000000004</v>
      </c>
      <c r="J41" s="56">
        <f t="shared" si="11"/>
        <v>-6886.5399999999991</v>
      </c>
      <c r="K41" s="56">
        <f t="shared" si="11"/>
        <v>-7409.9319999999998</v>
      </c>
      <c r="L41" s="56">
        <f t="shared" si="11"/>
        <v>-9158.6330000000016</v>
      </c>
      <c r="M41" s="56">
        <f t="shared" si="11"/>
        <v>-8133.7039999999988</v>
      </c>
      <c r="N41" s="77">
        <f t="shared" si="11"/>
        <v>-8813</v>
      </c>
      <c r="O41" s="77">
        <f t="shared" si="11"/>
        <v>-8398</v>
      </c>
      <c r="P41" s="77">
        <f t="shared" si="11"/>
        <v>-9138.2999999999993</v>
      </c>
      <c r="Q41" s="77">
        <f t="shared" si="11"/>
        <v>-9395.7150000000001</v>
      </c>
      <c r="R41" s="77">
        <f t="shared" si="11"/>
        <v>-9480</v>
      </c>
      <c r="S41" s="56">
        <f t="shared" si="11"/>
        <v>-9630</v>
      </c>
    </row>
    <row r="42" spans="1:27" ht="12" x14ac:dyDescent="0.2">
      <c r="A42" s="8"/>
      <c r="B42" s="2" t="s">
        <v>96</v>
      </c>
      <c r="C42" s="10">
        <v>50</v>
      </c>
      <c r="D42" s="10"/>
      <c r="E42" s="11" t="s">
        <v>89</v>
      </c>
      <c r="G42" s="57" t="s">
        <v>97</v>
      </c>
      <c r="H42" s="58">
        <v>-2784.8220000000001</v>
      </c>
      <c r="I42" s="58">
        <v>-2731.15</v>
      </c>
      <c r="J42" s="58">
        <v>-2803.8159999999998</v>
      </c>
      <c r="K42" s="58">
        <v>-2851.413</v>
      </c>
      <c r="L42" s="58">
        <v>-3420.8159999999998</v>
      </c>
      <c r="M42" s="58">
        <v>-3387.9319999999998</v>
      </c>
      <c r="N42" s="76">
        <v>-3426</v>
      </c>
      <c r="O42" s="76">
        <f>-3690</f>
        <v>-3690</v>
      </c>
      <c r="P42" s="76">
        <f>O42*1.07</f>
        <v>-3948.3</v>
      </c>
      <c r="Q42" s="76">
        <f>P42*1.05</f>
        <v>-4145.7150000000001</v>
      </c>
      <c r="R42" s="76">
        <v>-4230</v>
      </c>
      <c r="S42" s="58">
        <v>-4280</v>
      </c>
    </row>
    <row r="43" spans="1:27" ht="12" x14ac:dyDescent="0.2">
      <c r="A43" s="8"/>
      <c r="B43" s="2" t="s">
        <v>98</v>
      </c>
      <c r="C43" s="10">
        <v>55</v>
      </c>
      <c r="D43" s="10"/>
      <c r="E43" s="11" t="s">
        <v>89</v>
      </c>
      <c r="G43" s="57" t="s">
        <v>99</v>
      </c>
      <c r="H43" s="58">
        <v>-3247.9659999999999</v>
      </c>
      <c r="I43" s="58">
        <v>-3395.9940000000001</v>
      </c>
      <c r="J43" s="58">
        <v>-3522.4929999999999</v>
      </c>
      <c r="K43" s="58">
        <v>-4044.36</v>
      </c>
      <c r="L43" s="58">
        <v>-5167.0110000000004</v>
      </c>
      <c r="M43" s="58">
        <v>-4144.4309999999996</v>
      </c>
      <c r="N43" s="76">
        <v>-4841</v>
      </c>
      <c r="O43" s="76">
        <v>-4160</v>
      </c>
      <c r="P43" s="76">
        <v>-4640</v>
      </c>
      <c r="Q43" s="76">
        <v>-4700</v>
      </c>
      <c r="R43" s="76">
        <v>-4700</v>
      </c>
      <c r="S43" s="76">
        <v>-4800</v>
      </c>
    </row>
    <row r="44" spans="1:27" ht="12" x14ac:dyDescent="0.2">
      <c r="A44" s="13"/>
      <c r="B44" s="2" t="s">
        <v>100</v>
      </c>
      <c r="C44" s="10">
        <v>60</v>
      </c>
      <c r="D44" s="10"/>
      <c r="E44" s="11" t="s">
        <v>89</v>
      </c>
      <c r="F44" s="13"/>
      <c r="G44" s="57" t="s">
        <v>101</v>
      </c>
      <c r="H44" s="58">
        <v>-3.875</v>
      </c>
      <c r="I44" s="58">
        <v>-2.6619999999999999</v>
      </c>
      <c r="J44" s="58">
        <v>-7.8920000000000003</v>
      </c>
      <c r="K44" s="58">
        <v>-2.423</v>
      </c>
      <c r="L44" s="58">
        <v>-3.8860000000000001</v>
      </c>
      <c r="M44" s="58">
        <v>-5.73</v>
      </c>
      <c r="N44" s="76">
        <v>0</v>
      </c>
      <c r="O44" s="76">
        <v>0</v>
      </c>
      <c r="P44" s="76">
        <v>0</v>
      </c>
      <c r="Q44" s="76">
        <v>0</v>
      </c>
      <c r="R44" s="76">
        <v>0</v>
      </c>
      <c r="S44" s="58">
        <v>0</v>
      </c>
    </row>
    <row r="45" spans="1:27" ht="12" x14ac:dyDescent="0.2">
      <c r="A45" s="8"/>
      <c r="B45" s="2" t="s">
        <v>102</v>
      </c>
      <c r="C45" s="10">
        <v>61</v>
      </c>
      <c r="D45" s="10"/>
      <c r="E45" s="11" t="s">
        <v>89</v>
      </c>
      <c r="G45" s="57" t="s">
        <v>103</v>
      </c>
      <c r="H45" s="58">
        <v>-506.04300000000001</v>
      </c>
      <c r="I45" s="58">
        <v>-517.13800000000003</v>
      </c>
      <c r="J45" s="58">
        <v>-552.33900000000006</v>
      </c>
      <c r="K45" s="58">
        <v>-511.73599999999999</v>
      </c>
      <c r="L45" s="58">
        <v>-566.91999999999996</v>
      </c>
      <c r="M45" s="58">
        <v>-595.61099999999999</v>
      </c>
      <c r="N45" s="76">
        <v>-546</v>
      </c>
      <c r="O45" s="76">
        <v>-548</v>
      </c>
      <c r="P45" s="76">
        <v>-550</v>
      </c>
      <c r="Q45" s="76">
        <v>-550</v>
      </c>
      <c r="R45" s="76">
        <v>-550</v>
      </c>
      <c r="S45" s="76">
        <v>-550</v>
      </c>
    </row>
    <row r="46" spans="1:27" x14ac:dyDescent="0.2">
      <c r="A46" s="8"/>
      <c r="B46" s="2" t="s">
        <v>104</v>
      </c>
      <c r="C46" s="10"/>
      <c r="D46" s="10"/>
      <c r="E46" s="9"/>
      <c r="G46" s="57" t="s">
        <v>105</v>
      </c>
      <c r="H46" s="56">
        <f t="shared" ref="H46:S46" si="12">H33+H38+H41</f>
        <v>-3417.1230000000005</v>
      </c>
      <c r="I46" s="56">
        <f t="shared" si="12"/>
        <v>-3411.1470000000008</v>
      </c>
      <c r="J46" s="56">
        <f t="shared" si="12"/>
        <v>-3720.282999999999</v>
      </c>
      <c r="K46" s="56">
        <f t="shared" si="12"/>
        <v>319.93000000000029</v>
      </c>
      <c r="L46" s="56">
        <f t="shared" si="12"/>
        <v>7288.9089999999997</v>
      </c>
      <c r="M46" s="56">
        <f t="shared" si="12"/>
        <v>247.15400000000136</v>
      </c>
      <c r="N46" s="77">
        <f t="shared" si="12"/>
        <v>-33</v>
      </c>
      <c r="O46" s="77">
        <f t="shared" si="12"/>
        <v>676</v>
      </c>
      <c r="P46" s="77">
        <f t="shared" si="12"/>
        <v>380.28000000000065</v>
      </c>
      <c r="Q46" s="77">
        <f t="shared" si="12"/>
        <v>222.13240000000042</v>
      </c>
      <c r="R46" s="77">
        <f t="shared" si="12"/>
        <v>182.88282199999958</v>
      </c>
      <c r="S46" s="56">
        <f t="shared" si="12"/>
        <v>130.76930666000044</v>
      </c>
    </row>
    <row r="47" spans="1:27" ht="12" x14ac:dyDescent="0.2">
      <c r="A47" s="8"/>
      <c r="B47" s="2" t="s">
        <v>106</v>
      </c>
      <c r="C47" s="10">
        <v>65</v>
      </c>
      <c r="D47" s="10"/>
      <c r="E47" s="11" t="s">
        <v>72</v>
      </c>
      <c r="G47" s="57" t="s">
        <v>107</v>
      </c>
      <c r="H47" s="58">
        <v>-557.97799999999995</v>
      </c>
      <c r="I47" s="58">
        <v>-593.56799999999998</v>
      </c>
      <c r="J47" s="58">
        <v>-547.798</v>
      </c>
      <c r="K47" s="58">
        <v>-541.44899999999996</v>
      </c>
      <c r="L47" s="58">
        <v>-1092.615</v>
      </c>
      <c r="M47" s="58">
        <f>-264.903+1.829</f>
        <v>-263.07400000000001</v>
      </c>
      <c r="N47" s="58">
        <v>-287</v>
      </c>
      <c r="O47" s="58">
        <v>-314</v>
      </c>
      <c r="P47" s="58">
        <v>0</v>
      </c>
      <c r="Q47" s="58">
        <v>0</v>
      </c>
      <c r="R47" s="58">
        <v>0</v>
      </c>
      <c r="S47" s="58">
        <v>0</v>
      </c>
    </row>
    <row r="48" spans="1:27" x14ac:dyDescent="0.2">
      <c r="A48" s="8"/>
      <c r="B48" s="2" t="s">
        <v>108</v>
      </c>
      <c r="C48" s="10"/>
      <c r="D48" s="10"/>
      <c r="E48" s="9"/>
      <c r="G48" s="57" t="s">
        <v>109</v>
      </c>
      <c r="H48" s="56">
        <f t="shared" ref="H48:S48" si="13">H46+H47</f>
        <v>-3975.1010000000006</v>
      </c>
      <c r="I48" s="56">
        <f t="shared" si="13"/>
        <v>-4004.7150000000011</v>
      </c>
      <c r="J48" s="56">
        <f t="shared" si="13"/>
        <v>-4268.0809999999992</v>
      </c>
      <c r="K48" s="56">
        <f t="shared" si="13"/>
        <v>-221.51899999999966</v>
      </c>
      <c r="L48" s="56">
        <f t="shared" si="13"/>
        <v>6196.2939999999999</v>
      </c>
      <c r="M48" s="56">
        <f t="shared" si="13"/>
        <v>-15.919999999998652</v>
      </c>
      <c r="N48" s="77">
        <f t="shared" si="13"/>
        <v>-320</v>
      </c>
      <c r="O48" s="77">
        <f t="shared" si="13"/>
        <v>362</v>
      </c>
      <c r="P48" s="77">
        <f t="shared" si="13"/>
        <v>380.28000000000065</v>
      </c>
      <c r="Q48" s="77">
        <f t="shared" si="13"/>
        <v>222.13240000000042</v>
      </c>
      <c r="R48" s="77">
        <f t="shared" si="13"/>
        <v>182.88282199999958</v>
      </c>
      <c r="S48" s="56">
        <f t="shared" si="13"/>
        <v>130.76930666000044</v>
      </c>
    </row>
    <row r="49" spans="1:19" ht="12" x14ac:dyDescent="0.2">
      <c r="A49" s="8"/>
      <c r="B49" s="2" t="s">
        <v>110</v>
      </c>
      <c r="C49" s="10">
        <v>68</v>
      </c>
      <c r="D49" s="10"/>
      <c r="E49" s="11" t="s">
        <v>89</v>
      </c>
      <c r="G49" s="57" t="s">
        <v>111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76">
        <v>0</v>
      </c>
      <c r="O49" s="76">
        <v>0</v>
      </c>
      <c r="P49" s="76">
        <v>0</v>
      </c>
      <c r="Q49" s="76">
        <v>0</v>
      </c>
      <c r="R49" s="76">
        <v>0</v>
      </c>
      <c r="S49" s="58">
        <v>0</v>
      </c>
    </row>
    <row r="50" spans="1:19" ht="12" x14ac:dyDescent="0.2">
      <c r="A50" s="8"/>
      <c r="B50" s="2" t="s">
        <v>112</v>
      </c>
      <c r="C50" s="10">
        <v>69</v>
      </c>
      <c r="D50" s="10"/>
      <c r="E50" s="11" t="s">
        <v>11</v>
      </c>
      <c r="G50" s="57" t="s">
        <v>113</v>
      </c>
      <c r="H50" s="58">
        <v>0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76">
        <v>0</v>
      </c>
      <c r="O50" s="76">
        <v>0</v>
      </c>
      <c r="P50" s="76">
        <v>0</v>
      </c>
      <c r="Q50" s="76">
        <v>0</v>
      </c>
      <c r="R50" s="76">
        <v>0</v>
      </c>
      <c r="S50" s="58">
        <v>0</v>
      </c>
    </row>
    <row r="51" spans="1:19" x14ac:dyDescent="0.2">
      <c r="A51" s="8"/>
      <c r="B51" s="2" t="s">
        <v>114</v>
      </c>
      <c r="C51" s="10"/>
      <c r="D51" s="10"/>
      <c r="E51" s="9"/>
      <c r="G51" s="57" t="s">
        <v>115</v>
      </c>
      <c r="H51" s="56">
        <f t="shared" ref="H51:S51" si="14">H48+H49+H50</f>
        <v>-3975.1010000000006</v>
      </c>
      <c r="I51" s="56">
        <f t="shared" si="14"/>
        <v>-4004.7150000000011</v>
      </c>
      <c r="J51" s="56">
        <f t="shared" si="14"/>
        <v>-4268.0809999999992</v>
      </c>
      <c r="K51" s="56">
        <f t="shared" si="14"/>
        <v>-221.51899999999966</v>
      </c>
      <c r="L51" s="56">
        <f t="shared" si="14"/>
        <v>6196.2939999999999</v>
      </c>
      <c r="M51" s="56">
        <f t="shared" si="14"/>
        <v>-15.919999999998652</v>
      </c>
      <c r="N51" s="77">
        <f t="shared" si="14"/>
        <v>-320</v>
      </c>
      <c r="O51" s="77">
        <f t="shared" si="14"/>
        <v>362</v>
      </c>
      <c r="P51" s="77">
        <f t="shared" si="14"/>
        <v>380.28000000000065</v>
      </c>
      <c r="Q51" s="77">
        <f t="shared" si="14"/>
        <v>222.13240000000042</v>
      </c>
      <c r="R51" s="77">
        <f t="shared" si="14"/>
        <v>182.88282199999958</v>
      </c>
      <c r="S51" s="56">
        <f t="shared" si="14"/>
        <v>130.76930666000044</v>
      </c>
    </row>
    <row r="52" spans="1:19" x14ac:dyDescent="0.2">
      <c r="A52" s="24"/>
      <c r="B52" s="2" t="s">
        <v>370</v>
      </c>
      <c r="C52" s="83" t="s">
        <v>371</v>
      </c>
      <c r="D52" s="25"/>
      <c r="E52" s="26"/>
      <c r="F52" s="24"/>
      <c r="G52" s="62" t="s">
        <v>116</v>
      </c>
      <c r="H52" s="63">
        <f t="shared" ref="H52:S52" si="15">H30-H51</f>
        <v>0</v>
      </c>
      <c r="I52" s="63">
        <f t="shared" si="15"/>
        <v>0</v>
      </c>
      <c r="J52" s="63">
        <f t="shared" si="15"/>
        <v>0.12799999999879219</v>
      </c>
      <c r="K52" s="63">
        <f t="shared" si="15"/>
        <v>-3.4106051316484809E-13</v>
      </c>
      <c r="L52" s="63">
        <f t="shared" si="15"/>
        <v>1.0000000002037268E-3</v>
      </c>
      <c r="M52" s="63">
        <f t="shared" si="15"/>
        <v>-1.3482548411047901E-12</v>
      </c>
      <c r="N52" s="85">
        <f t="shared" si="15"/>
        <v>0</v>
      </c>
      <c r="O52" s="85">
        <f t="shared" si="15"/>
        <v>0</v>
      </c>
      <c r="P52" s="85">
        <f t="shared" si="15"/>
        <v>0</v>
      </c>
      <c r="Q52" s="85">
        <f t="shared" si="15"/>
        <v>0</v>
      </c>
      <c r="R52" s="85">
        <f t="shared" si="15"/>
        <v>0</v>
      </c>
      <c r="S52" s="63">
        <f t="shared" si="15"/>
        <v>0</v>
      </c>
    </row>
    <row r="53" spans="1:19" x14ac:dyDescent="0.2">
      <c r="A53" s="8"/>
      <c r="B53" s="2"/>
      <c r="C53" s="10"/>
      <c r="D53" s="10"/>
      <c r="E53" s="9"/>
      <c r="G53" s="65" t="s">
        <v>117</v>
      </c>
      <c r="H53" s="48"/>
      <c r="I53" s="48"/>
      <c r="J53" s="48"/>
      <c r="K53" s="48"/>
      <c r="L53" s="48"/>
      <c r="M53" s="48"/>
      <c r="N53" s="4"/>
      <c r="O53" s="4"/>
      <c r="P53" s="4"/>
      <c r="Q53" s="4"/>
      <c r="R53" s="4"/>
      <c r="S53" s="48"/>
    </row>
    <row r="54" spans="1:19" ht="12" x14ac:dyDescent="0.2">
      <c r="A54" s="8"/>
      <c r="B54" s="2"/>
      <c r="C54" s="10">
        <v>90</v>
      </c>
      <c r="D54" s="10"/>
      <c r="E54" s="11" t="s">
        <v>11</v>
      </c>
      <c r="G54" s="65" t="s">
        <v>118</v>
      </c>
      <c r="H54" s="58">
        <v>186</v>
      </c>
      <c r="I54" s="58">
        <v>178</v>
      </c>
      <c r="J54" s="58">
        <v>176</v>
      </c>
      <c r="K54" s="58">
        <v>173</v>
      </c>
      <c r="L54" s="58">
        <v>173</v>
      </c>
      <c r="M54" s="58">
        <v>173</v>
      </c>
      <c r="N54" s="76">
        <v>168</v>
      </c>
      <c r="O54" s="76"/>
      <c r="P54" s="76"/>
      <c r="Q54" s="76"/>
      <c r="R54" s="76"/>
      <c r="S54" s="58"/>
    </row>
    <row r="55" spans="1:19" ht="12" x14ac:dyDescent="0.2">
      <c r="A55" s="8"/>
      <c r="B55" s="2"/>
      <c r="C55" s="10"/>
      <c r="D55" s="10"/>
      <c r="E55" s="11" t="s">
        <v>11</v>
      </c>
      <c r="G55" s="65" t="s">
        <v>119</v>
      </c>
      <c r="H55" s="58"/>
      <c r="I55" s="58"/>
      <c r="J55" s="58"/>
      <c r="K55" s="58"/>
      <c r="L55" s="66"/>
      <c r="M55" s="66"/>
      <c r="N55" s="88"/>
      <c r="O55" s="88"/>
      <c r="P55" s="88"/>
      <c r="Q55" s="88"/>
      <c r="R55" s="88"/>
      <c r="S55" s="66"/>
    </row>
    <row r="56" spans="1:19" x14ac:dyDescent="0.2">
      <c r="A56" s="8"/>
      <c r="B56" s="2"/>
      <c r="C56" s="10"/>
      <c r="D56" s="10"/>
      <c r="E56" s="9"/>
      <c r="G56" s="67"/>
      <c r="H56" s="48"/>
      <c r="I56" s="48"/>
      <c r="J56" s="48"/>
      <c r="K56" s="48"/>
      <c r="L56" s="48"/>
      <c r="M56" s="48"/>
      <c r="N56" s="4"/>
      <c r="O56" s="4"/>
      <c r="P56" s="4"/>
      <c r="Q56" s="4"/>
      <c r="R56" s="4"/>
      <c r="S56" s="48"/>
    </row>
    <row r="57" spans="1:19" x14ac:dyDescent="0.2">
      <c r="A57" s="8"/>
      <c r="B57" s="2"/>
      <c r="C57" s="10"/>
      <c r="D57" s="29" t="s">
        <v>120</v>
      </c>
      <c r="E57" s="30" t="s">
        <v>3</v>
      </c>
      <c r="F57" s="9"/>
      <c r="G57" s="53" t="s">
        <v>121</v>
      </c>
      <c r="H57" s="64">
        <f t="shared" ref="H57:S57" si="16">H32</f>
        <v>2011</v>
      </c>
      <c r="I57" s="64">
        <f t="shared" si="16"/>
        <v>2012</v>
      </c>
      <c r="J57" s="64">
        <f t="shared" si="16"/>
        <v>2013</v>
      </c>
      <c r="K57" s="64">
        <f t="shared" si="16"/>
        <v>2014</v>
      </c>
      <c r="L57" s="64">
        <f t="shared" si="16"/>
        <v>2015</v>
      </c>
      <c r="M57" s="64">
        <f t="shared" si="16"/>
        <v>2016</v>
      </c>
      <c r="N57" s="87">
        <f t="shared" si="16"/>
        <v>2017</v>
      </c>
      <c r="O57" s="87">
        <f t="shared" si="16"/>
        <v>2018</v>
      </c>
      <c r="P57" s="87">
        <f t="shared" si="16"/>
        <v>2019</v>
      </c>
      <c r="Q57" s="87">
        <f t="shared" si="16"/>
        <v>2020</v>
      </c>
      <c r="R57" s="87">
        <f t="shared" si="16"/>
        <v>2021</v>
      </c>
      <c r="S57" s="64">
        <f t="shared" si="16"/>
        <v>2022</v>
      </c>
    </row>
    <row r="58" spans="1:19" ht="12" x14ac:dyDescent="0.2">
      <c r="A58" s="8"/>
      <c r="B58" s="31" t="s">
        <v>122</v>
      </c>
      <c r="C58" s="8" t="s">
        <v>123</v>
      </c>
      <c r="D58" s="32" t="s">
        <v>124</v>
      </c>
      <c r="E58" s="11" t="s">
        <v>89</v>
      </c>
      <c r="F58" s="12"/>
      <c r="G58" s="55" t="s">
        <v>125</v>
      </c>
      <c r="H58" s="58">
        <v>-899.05499999999995</v>
      </c>
      <c r="I58" s="58">
        <v>-72.162999999999997</v>
      </c>
      <c r="J58" s="58">
        <v>-238.154</v>
      </c>
      <c r="K58" s="58">
        <v>-184.59100000000001</v>
      </c>
      <c r="L58" s="58">
        <v>-242.43100000000001</v>
      </c>
      <c r="M58" s="58">
        <v>-320</v>
      </c>
      <c r="N58" s="76">
        <v>-20</v>
      </c>
      <c r="O58" s="76">
        <v>-197</v>
      </c>
      <c r="P58" s="76">
        <v>-506</v>
      </c>
      <c r="Q58" s="76">
        <v>-506</v>
      </c>
      <c r="R58" s="76">
        <v>-506</v>
      </c>
      <c r="S58" s="76">
        <v>-506</v>
      </c>
    </row>
    <row r="59" spans="1:19" ht="12" x14ac:dyDescent="0.2">
      <c r="A59" s="8"/>
      <c r="B59" s="31" t="s">
        <v>126</v>
      </c>
      <c r="C59" s="33" t="s">
        <v>127</v>
      </c>
      <c r="D59" s="32" t="s">
        <v>128</v>
      </c>
      <c r="E59" s="11" t="s">
        <v>11</v>
      </c>
      <c r="F59" s="12"/>
      <c r="G59" s="68" t="s">
        <v>129</v>
      </c>
      <c r="H59" s="58">
        <v>0</v>
      </c>
      <c r="I59" s="58">
        <v>0</v>
      </c>
      <c r="J59" s="58">
        <v>0.377</v>
      </c>
      <c r="K59" s="58">
        <v>0.377</v>
      </c>
      <c r="L59" s="58">
        <v>0.377</v>
      </c>
      <c r="M59" s="58">
        <v>0.377</v>
      </c>
      <c r="N59" s="76">
        <v>0</v>
      </c>
      <c r="O59" s="76">
        <v>0</v>
      </c>
      <c r="P59" s="76">
        <v>0</v>
      </c>
      <c r="Q59" s="76">
        <v>0</v>
      </c>
      <c r="R59" s="76">
        <v>0</v>
      </c>
      <c r="S59" s="58">
        <v>0</v>
      </c>
    </row>
    <row r="60" spans="1:19" ht="12" x14ac:dyDescent="0.2">
      <c r="A60" s="8"/>
      <c r="B60" s="31" t="s">
        <v>130</v>
      </c>
      <c r="C60" s="34" t="s">
        <v>372</v>
      </c>
      <c r="D60" s="32" t="s">
        <v>131</v>
      </c>
      <c r="E60" s="11" t="s">
        <v>11</v>
      </c>
      <c r="F60" s="12"/>
      <c r="G60" s="57" t="s">
        <v>132</v>
      </c>
      <c r="H60" s="58">
        <v>383.47</v>
      </c>
      <c r="I60" s="58">
        <v>319.55799999999999</v>
      </c>
      <c r="J60" s="58">
        <v>255.64699999999999</v>
      </c>
      <c r="K60" s="58">
        <v>407.63400000000001</v>
      </c>
      <c r="L60" s="58">
        <v>6341.0630000000001</v>
      </c>
      <c r="M60" s="58">
        <v>255.64699999999999</v>
      </c>
      <c r="N60" s="76">
        <v>256</v>
      </c>
      <c r="O60" s="76">
        <f>256+197</f>
        <v>453</v>
      </c>
      <c r="P60" s="76">
        <f>256+250</f>
        <v>506</v>
      </c>
      <c r="Q60" s="76">
        <v>506</v>
      </c>
      <c r="R60" s="76">
        <v>506</v>
      </c>
      <c r="S60" s="58">
        <v>506</v>
      </c>
    </row>
    <row r="61" spans="1:19" ht="12" x14ac:dyDescent="0.2">
      <c r="A61" s="8"/>
      <c r="B61" s="31" t="s">
        <v>133</v>
      </c>
      <c r="C61" s="34" t="s">
        <v>134</v>
      </c>
      <c r="D61" s="34" t="s">
        <v>135</v>
      </c>
      <c r="E61" s="11" t="s">
        <v>89</v>
      </c>
      <c r="F61" s="12"/>
      <c r="G61" s="57" t="s">
        <v>136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76">
        <v>0</v>
      </c>
      <c r="O61" s="76">
        <v>0</v>
      </c>
      <c r="P61" s="76">
        <v>0</v>
      </c>
      <c r="Q61" s="76">
        <v>0</v>
      </c>
      <c r="R61" s="76">
        <v>0</v>
      </c>
      <c r="S61" s="58">
        <v>0</v>
      </c>
    </row>
    <row r="62" spans="1:19" ht="12" x14ac:dyDescent="0.2">
      <c r="A62" s="8"/>
      <c r="B62" s="31" t="s">
        <v>137</v>
      </c>
      <c r="C62" s="10">
        <v>253800</v>
      </c>
      <c r="D62" s="34" t="s">
        <v>131</v>
      </c>
      <c r="E62" s="11" t="s">
        <v>11</v>
      </c>
      <c r="F62" s="12"/>
      <c r="G62" s="57" t="s">
        <v>138</v>
      </c>
      <c r="H62" s="58">
        <v>0</v>
      </c>
      <c r="I62" s="58">
        <v>0</v>
      </c>
      <c r="J62" s="58">
        <v>0</v>
      </c>
      <c r="K62" s="58">
        <v>0</v>
      </c>
      <c r="L62" s="58">
        <v>0</v>
      </c>
      <c r="M62" s="58">
        <v>0</v>
      </c>
      <c r="N62" s="76">
        <v>0</v>
      </c>
      <c r="O62" s="76">
        <v>0</v>
      </c>
      <c r="P62" s="76">
        <v>0</v>
      </c>
      <c r="Q62" s="76">
        <v>0</v>
      </c>
      <c r="R62" s="76">
        <v>0</v>
      </c>
      <c r="S62" s="58">
        <v>0</v>
      </c>
    </row>
    <row r="63" spans="1:19" ht="12" x14ac:dyDescent="0.2">
      <c r="A63" s="8"/>
      <c r="B63" s="31" t="s">
        <v>139</v>
      </c>
      <c r="C63" s="10">
        <v>150</v>
      </c>
      <c r="D63" s="34" t="s">
        <v>135</v>
      </c>
      <c r="E63" s="11" t="s">
        <v>89</v>
      </c>
      <c r="F63" s="12"/>
      <c r="G63" s="57" t="s">
        <v>140</v>
      </c>
      <c r="H63" s="58">
        <v>0</v>
      </c>
      <c r="I63" s="58">
        <v>0</v>
      </c>
      <c r="J63" s="58">
        <v>0</v>
      </c>
      <c r="K63" s="58">
        <v>0</v>
      </c>
      <c r="L63" s="58">
        <v>0</v>
      </c>
      <c r="M63" s="58">
        <v>0</v>
      </c>
      <c r="N63" s="76">
        <v>0</v>
      </c>
      <c r="O63" s="76">
        <v>0</v>
      </c>
      <c r="P63" s="76">
        <v>0</v>
      </c>
      <c r="Q63" s="76">
        <v>0</v>
      </c>
      <c r="R63" s="76">
        <v>0</v>
      </c>
      <c r="S63" s="58">
        <v>0</v>
      </c>
    </row>
    <row r="64" spans="1:19" ht="12" x14ac:dyDescent="0.2">
      <c r="A64" s="8"/>
      <c r="B64" s="31" t="s">
        <v>141</v>
      </c>
      <c r="C64" s="34" t="s">
        <v>142</v>
      </c>
      <c r="D64" s="34" t="s">
        <v>131</v>
      </c>
      <c r="E64" s="11" t="s">
        <v>11</v>
      </c>
      <c r="F64" s="12"/>
      <c r="G64" s="57" t="s">
        <v>143</v>
      </c>
      <c r="H64" s="58">
        <v>0</v>
      </c>
      <c r="I64" s="58">
        <v>0</v>
      </c>
      <c r="J64" s="58">
        <v>0</v>
      </c>
      <c r="K64" s="58">
        <v>0</v>
      </c>
      <c r="L64" s="58">
        <v>0</v>
      </c>
      <c r="M64" s="58">
        <v>0</v>
      </c>
      <c r="N64" s="76">
        <v>0</v>
      </c>
      <c r="O64" s="76">
        <v>0</v>
      </c>
      <c r="P64" s="76">
        <v>0</v>
      </c>
      <c r="Q64" s="76">
        <v>0</v>
      </c>
      <c r="R64" s="76">
        <v>0</v>
      </c>
      <c r="S64" s="58">
        <v>0</v>
      </c>
    </row>
    <row r="65" spans="1:19" ht="12" x14ac:dyDescent="0.2">
      <c r="A65" s="8"/>
      <c r="B65" s="31" t="s">
        <v>144</v>
      </c>
      <c r="C65" s="8" t="s">
        <v>373</v>
      </c>
      <c r="D65" s="34" t="s">
        <v>135</v>
      </c>
      <c r="E65" s="11" t="s">
        <v>89</v>
      </c>
      <c r="F65" s="12"/>
      <c r="G65" s="57" t="s">
        <v>145</v>
      </c>
      <c r="H65" s="58">
        <v>0</v>
      </c>
      <c r="I65" s="58">
        <v>0</v>
      </c>
      <c r="J65" s="58">
        <v>0</v>
      </c>
      <c r="K65" s="58">
        <v>0</v>
      </c>
      <c r="L65" s="58">
        <v>0</v>
      </c>
      <c r="M65" s="58">
        <v>0</v>
      </c>
      <c r="N65" s="76">
        <v>0</v>
      </c>
      <c r="O65" s="76">
        <v>0</v>
      </c>
      <c r="P65" s="76">
        <v>0</v>
      </c>
      <c r="Q65" s="76">
        <v>0</v>
      </c>
      <c r="R65" s="76">
        <v>0</v>
      </c>
      <c r="S65" s="58">
        <v>0</v>
      </c>
    </row>
    <row r="66" spans="1:19" ht="12" x14ac:dyDescent="0.2">
      <c r="A66" s="8"/>
      <c r="B66" s="31" t="s">
        <v>146</v>
      </c>
      <c r="C66" s="8" t="s">
        <v>373</v>
      </c>
      <c r="D66" s="34" t="s">
        <v>131</v>
      </c>
      <c r="E66" s="11" t="s">
        <v>11</v>
      </c>
      <c r="F66" s="12"/>
      <c r="G66" s="57" t="s">
        <v>147</v>
      </c>
      <c r="H66" s="58">
        <v>0</v>
      </c>
      <c r="I66" s="58">
        <v>0</v>
      </c>
      <c r="J66" s="58">
        <v>0</v>
      </c>
      <c r="K66" s="58">
        <v>0</v>
      </c>
      <c r="L66" s="58">
        <v>0</v>
      </c>
      <c r="M66" s="58">
        <v>0</v>
      </c>
      <c r="N66" s="76">
        <v>0</v>
      </c>
      <c r="O66" s="76">
        <v>0</v>
      </c>
      <c r="P66" s="76">
        <v>0</v>
      </c>
      <c r="Q66" s="76">
        <v>0</v>
      </c>
      <c r="R66" s="76">
        <v>0</v>
      </c>
      <c r="S66" s="58">
        <v>0</v>
      </c>
    </row>
    <row r="67" spans="1:19" ht="12" x14ac:dyDescent="0.2">
      <c r="A67" s="8"/>
      <c r="B67" s="31" t="s">
        <v>148</v>
      </c>
      <c r="C67" s="8" t="s">
        <v>149</v>
      </c>
      <c r="D67" s="34" t="s">
        <v>135</v>
      </c>
      <c r="E67" s="11" t="s">
        <v>89</v>
      </c>
      <c r="F67" s="12"/>
      <c r="G67" s="57" t="s">
        <v>150</v>
      </c>
      <c r="H67" s="58">
        <v>0</v>
      </c>
      <c r="I67" s="58">
        <v>0</v>
      </c>
      <c r="J67" s="58">
        <v>0</v>
      </c>
      <c r="K67" s="58">
        <v>0</v>
      </c>
      <c r="L67" s="58">
        <v>0</v>
      </c>
      <c r="M67" s="58">
        <v>0</v>
      </c>
      <c r="N67" s="76">
        <v>0</v>
      </c>
      <c r="O67" s="76">
        <v>0</v>
      </c>
      <c r="P67" s="76">
        <v>0</v>
      </c>
      <c r="Q67" s="76">
        <v>0</v>
      </c>
      <c r="R67" s="76">
        <v>0</v>
      </c>
      <c r="S67" s="58">
        <v>0</v>
      </c>
    </row>
    <row r="68" spans="1:19" ht="12" x14ac:dyDescent="0.2">
      <c r="A68" s="8"/>
      <c r="B68" s="31" t="s">
        <v>151</v>
      </c>
      <c r="C68" s="8" t="s">
        <v>149</v>
      </c>
      <c r="D68" s="34" t="s">
        <v>131</v>
      </c>
      <c r="E68" s="11" t="s">
        <v>11</v>
      </c>
      <c r="F68" s="12"/>
      <c r="G68" s="57" t="s">
        <v>152</v>
      </c>
      <c r="H68" s="58">
        <v>0</v>
      </c>
      <c r="I68" s="58">
        <v>0</v>
      </c>
      <c r="J68" s="58">
        <v>0</v>
      </c>
      <c r="K68" s="58">
        <v>0</v>
      </c>
      <c r="L68" s="58">
        <v>0</v>
      </c>
      <c r="M68" s="58">
        <v>0</v>
      </c>
      <c r="N68" s="76">
        <v>0</v>
      </c>
      <c r="O68" s="76">
        <v>0</v>
      </c>
      <c r="P68" s="76">
        <v>0</v>
      </c>
      <c r="Q68" s="76">
        <v>0</v>
      </c>
      <c r="R68" s="76">
        <v>0</v>
      </c>
      <c r="S68" s="58">
        <v>0</v>
      </c>
    </row>
    <row r="69" spans="1:19" ht="12" x14ac:dyDescent="0.2">
      <c r="A69" s="8"/>
      <c r="B69" s="31" t="s">
        <v>153</v>
      </c>
      <c r="C69" s="34" t="s">
        <v>142</v>
      </c>
      <c r="D69" s="34" t="s">
        <v>131</v>
      </c>
      <c r="E69" s="11" t="s">
        <v>11</v>
      </c>
      <c r="F69" s="12"/>
      <c r="G69" s="57" t="s">
        <v>154</v>
      </c>
      <c r="H69" s="58">
        <v>0</v>
      </c>
      <c r="I69" s="58">
        <v>0</v>
      </c>
      <c r="J69" s="58">
        <v>0</v>
      </c>
      <c r="K69" s="58">
        <v>0</v>
      </c>
      <c r="L69" s="58">
        <v>0</v>
      </c>
      <c r="M69" s="58">
        <v>0</v>
      </c>
      <c r="N69" s="76">
        <v>0</v>
      </c>
      <c r="O69" s="76">
        <v>0</v>
      </c>
      <c r="P69" s="76">
        <v>0</v>
      </c>
      <c r="Q69" s="76">
        <v>0</v>
      </c>
      <c r="R69" s="76">
        <v>0</v>
      </c>
      <c r="S69" s="58">
        <v>0</v>
      </c>
    </row>
    <row r="70" spans="1:19" ht="12" x14ac:dyDescent="0.2">
      <c r="A70" s="8"/>
      <c r="B70" s="31" t="s">
        <v>155</v>
      </c>
      <c r="C70" s="35" t="s">
        <v>156</v>
      </c>
      <c r="D70" s="8"/>
      <c r="E70" s="11" t="s">
        <v>72</v>
      </c>
      <c r="F70" s="12"/>
      <c r="G70" s="57" t="s">
        <v>107</v>
      </c>
      <c r="H70" s="58">
        <v>5.0999999999999997E-2</v>
      </c>
      <c r="I70" s="58">
        <v>0</v>
      </c>
      <c r="J70" s="58">
        <v>-1E-3</v>
      </c>
      <c r="K70" s="58">
        <v>0</v>
      </c>
      <c r="L70" s="58">
        <v>6.8579999999999997</v>
      </c>
      <c r="M70" s="58">
        <v>4.5030000000000001</v>
      </c>
      <c r="N70" s="76">
        <v>0</v>
      </c>
      <c r="O70" s="76">
        <v>0</v>
      </c>
      <c r="P70" s="76">
        <v>0</v>
      </c>
      <c r="Q70" s="76">
        <v>0</v>
      </c>
      <c r="R70" s="76">
        <v>0</v>
      </c>
      <c r="S70" s="58">
        <v>0</v>
      </c>
    </row>
    <row r="71" spans="1:19" x14ac:dyDescent="0.2">
      <c r="A71" s="8"/>
      <c r="B71" s="31" t="s">
        <v>157</v>
      </c>
      <c r="C71" s="10"/>
      <c r="D71" s="8"/>
      <c r="E71" s="12"/>
      <c r="F71" s="12"/>
      <c r="G71" s="69" t="s">
        <v>158</v>
      </c>
      <c r="H71" s="56">
        <f t="shared" ref="H71:S71" si="17">SUM(H58:H70)</f>
        <v>-515.53399999999988</v>
      </c>
      <c r="I71" s="56">
        <f t="shared" si="17"/>
        <v>247.39499999999998</v>
      </c>
      <c r="J71" s="56">
        <f t="shared" si="17"/>
        <v>17.869000000000003</v>
      </c>
      <c r="K71" s="56">
        <f t="shared" si="17"/>
        <v>223.42000000000002</v>
      </c>
      <c r="L71" s="56">
        <f t="shared" si="17"/>
        <v>6105.8670000000002</v>
      </c>
      <c r="M71" s="56">
        <f t="shared" si="17"/>
        <v>-59.472999999999999</v>
      </c>
      <c r="N71" s="77">
        <f t="shared" si="17"/>
        <v>236</v>
      </c>
      <c r="O71" s="77">
        <f t="shared" si="17"/>
        <v>256</v>
      </c>
      <c r="P71" s="77">
        <f t="shared" si="17"/>
        <v>0</v>
      </c>
      <c r="Q71" s="77">
        <f t="shared" si="17"/>
        <v>0</v>
      </c>
      <c r="R71" s="77">
        <f t="shared" si="17"/>
        <v>0</v>
      </c>
      <c r="S71" s="56">
        <f t="shared" si="17"/>
        <v>0</v>
      </c>
    </row>
    <row r="72" spans="1:19" x14ac:dyDescent="0.2">
      <c r="A72" s="8"/>
      <c r="B72" s="2"/>
      <c r="C72" s="10"/>
      <c r="D72" s="8"/>
      <c r="E72" s="9"/>
      <c r="G72" s="67"/>
      <c r="H72" s="48"/>
      <c r="I72" s="48"/>
      <c r="J72" s="48"/>
      <c r="K72" s="48"/>
      <c r="L72" s="48"/>
      <c r="M72" s="48"/>
      <c r="N72" s="4"/>
      <c r="O72" s="4"/>
      <c r="P72" s="4"/>
      <c r="Q72" s="4"/>
      <c r="R72" s="4"/>
      <c r="S72" s="48"/>
    </row>
    <row r="73" spans="1:19" x14ac:dyDescent="0.2">
      <c r="A73" s="8"/>
      <c r="B73" s="2"/>
      <c r="C73" s="10"/>
      <c r="D73" s="29" t="s">
        <v>120</v>
      </c>
      <c r="E73" s="30" t="s">
        <v>3</v>
      </c>
      <c r="F73" s="9"/>
      <c r="G73" s="53" t="s">
        <v>159</v>
      </c>
      <c r="H73" s="64">
        <f t="shared" ref="H73:S73" si="18">H57</f>
        <v>2011</v>
      </c>
      <c r="I73" s="64">
        <f t="shared" si="18"/>
        <v>2012</v>
      </c>
      <c r="J73" s="64">
        <f t="shared" si="18"/>
        <v>2013</v>
      </c>
      <c r="K73" s="64">
        <f t="shared" si="18"/>
        <v>2014</v>
      </c>
      <c r="L73" s="64">
        <f t="shared" si="18"/>
        <v>2015</v>
      </c>
      <c r="M73" s="64">
        <f t="shared" si="18"/>
        <v>2016</v>
      </c>
      <c r="N73" s="87">
        <f t="shared" si="18"/>
        <v>2017</v>
      </c>
      <c r="O73" s="87">
        <f t="shared" si="18"/>
        <v>2018</v>
      </c>
      <c r="P73" s="87">
        <f t="shared" si="18"/>
        <v>2019</v>
      </c>
      <c r="Q73" s="87">
        <f t="shared" si="18"/>
        <v>2020</v>
      </c>
      <c r="R73" s="87">
        <f t="shared" si="18"/>
        <v>2021</v>
      </c>
      <c r="S73" s="64">
        <f t="shared" si="18"/>
        <v>2022</v>
      </c>
    </row>
    <row r="74" spans="1:19" ht="12" x14ac:dyDescent="0.2">
      <c r="A74" s="8"/>
      <c r="B74" s="2" t="s">
        <v>160</v>
      </c>
      <c r="C74" s="34" t="s">
        <v>161</v>
      </c>
      <c r="D74" s="34" t="s">
        <v>128</v>
      </c>
      <c r="E74" s="11" t="s">
        <v>11</v>
      </c>
      <c r="G74" s="55" t="s">
        <v>162</v>
      </c>
      <c r="H74" s="58">
        <v>0</v>
      </c>
      <c r="I74" s="58">
        <v>0</v>
      </c>
      <c r="J74" s="58">
        <v>0</v>
      </c>
      <c r="K74" s="58">
        <v>0</v>
      </c>
      <c r="L74" s="58">
        <v>0</v>
      </c>
      <c r="M74" s="58">
        <v>0</v>
      </c>
      <c r="N74" s="76">
        <v>0</v>
      </c>
      <c r="O74" s="76">
        <v>0</v>
      </c>
      <c r="P74" s="76">
        <v>0</v>
      </c>
      <c r="Q74" s="76">
        <v>0</v>
      </c>
      <c r="R74" s="76">
        <v>0</v>
      </c>
      <c r="S74" s="58">
        <v>0</v>
      </c>
    </row>
    <row r="75" spans="1:19" ht="12" x14ac:dyDescent="0.2">
      <c r="A75" s="8"/>
      <c r="B75" s="2" t="s">
        <v>163</v>
      </c>
      <c r="C75" s="34" t="s">
        <v>161</v>
      </c>
      <c r="D75" s="34" t="s">
        <v>124</v>
      </c>
      <c r="E75" s="11" t="s">
        <v>89</v>
      </c>
      <c r="F75" s="12"/>
      <c r="G75" s="57" t="s">
        <v>164</v>
      </c>
      <c r="H75" s="58">
        <v>0</v>
      </c>
      <c r="I75" s="58">
        <v>0</v>
      </c>
      <c r="J75" s="58">
        <v>0</v>
      </c>
      <c r="K75" s="58">
        <v>0</v>
      </c>
      <c r="L75" s="58">
        <v>0</v>
      </c>
      <c r="M75" s="58">
        <v>0</v>
      </c>
      <c r="N75" s="76">
        <v>0</v>
      </c>
      <c r="O75" s="76">
        <v>0</v>
      </c>
      <c r="P75" s="76">
        <v>0</v>
      </c>
      <c r="Q75" s="76">
        <v>0</v>
      </c>
      <c r="R75" s="76">
        <v>0</v>
      </c>
      <c r="S75" s="58">
        <v>0</v>
      </c>
    </row>
    <row r="76" spans="1:19" ht="12" x14ac:dyDescent="0.2">
      <c r="A76" s="8"/>
      <c r="B76" s="2" t="s">
        <v>165</v>
      </c>
      <c r="C76" s="34" t="s">
        <v>166</v>
      </c>
      <c r="D76" s="34" t="s">
        <v>131</v>
      </c>
      <c r="E76" s="11" t="s">
        <v>11</v>
      </c>
      <c r="G76" s="57" t="s">
        <v>167</v>
      </c>
      <c r="H76" s="58">
        <v>0</v>
      </c>
      <c r="I76" s="58">
        <v>0</v>
      </c>
      <c r="J76" s="58">
        <v>0</v>
      </c>
      <c r="K76" s="58">
        <v>0</v>
      </c>
      <c r="L76" s="58">
        <v>0</v>
      </c>
      <c r="M76" s="58">
        <v>0</v>
      </c>
      <c r="N76" s="76">
        <v>0</v>
      </c>
      <c r="O76" s="76">
        <v>0</v>
      </c>
      <c r="P76" s="76">
        <v>0</v>
      </c>
      <c r="Q76" s="76">
        <v>0</v>
      </c>
      <c r="R76" s="76">
        <v>0</v>
      </c>
      <c r="S76" s="58">
        <v>0</v>
      </c>
    </row>
    <row r="77" spans="1:19" ht="12" x14ac:dyDescent="0.2">
      <c r="A77" s="8"/>
      <c r="B77" s="2" t="s">
        <v>168</v>
      </c>
      <c r="C77" s="34" t="s">
        <v>166</v>
      </c>
      <c r="D77" s="34" t="s">
        <v>135</v>
      </c>
      <c r="E77" s="11" t="s">
        <v>89</v>
      </c>
      <c r="F77" s="12"/>
      <c r="G77" s="57" t="s">
        <v>169</v>
      </c>
      <c r="H77" s="58">
        <v>0</v>
      </c>
      <c r="I77" s="58">
        <v>0</v>
      </c>
      <c r="J77" s="58">
        <v>0</v>
      </c>
      <c r="K77" s="58">
        <v>0</v>
      </c>
      <c r="L77" s="58">
        <v>0</v>
      </c>
      <c r="M77" s="58">
        <v>0</v>
      </c>
      <c r="N77" s="76">
        <v>0</v>
      </c>
      <c r="O77" s="76">
        <v>0</v>
      </c>
      <c r="P77" s="76">
        <v>0</v>
      </c>
      <c r="Q77" s="76">
        <v>0</v>
      </c>
      <c r="R77" s="76">
        <v>0</v>
      </c>
      <c r="S77" s="58">
        <v>0</v>
      </c>
    </row>
    <row r="78" spans="1:19" ht="12" x14ac:dyDescent="0.2">
      <c r="A78" s="8"/>
      <c r="B78" s="2" t="s">
        <v>170</v>
      </c>
      <c r="C78" s="34" t="s">
        <v>171</v>
      </c>
      <c r="D78" s="34" t="s">
        <v>135</v>
      </c>
      <c r="E78" s="11" t="s">
        <v>89</v>
      </c>
      <c r="F78" s="12"/>
      <c r="G78" s="57" t="s">
        <v>172</v>
      </c>
      <c r="H78" s="58">
        <v>-666.80700000000002</v>
      </c>
      <c r="I78" s="58">
        <v>-1160.5830000000001</v>
      </c>
      <c r="J78" s="58">
        <v>-1266.683</v>
      </c>
      <c r="K78" s="58">
        <v>-392.42</v>
      </c>
      <c r="L78" s="58">
        <v>-6606.3639999999996</v>
      </c>
      <c r="M78" s="58">
        <v>-374.21899999999999</v>
      </c>
      <c r="N78" s="76">
        <v>-351</v>
      </c>
      <c r="O78" s="76">
        <v>-377</v>
      </c>
      <c r="P78" s="76">
        <v>-377</v>
      </c>
      <c r="Q78" s="76">
        <v>-377</v>
      </c>
      <c r="R78" s="76">
        <v>-67</v>
      </c>
      <c r="S78" s="58">
        <v>0</v>
      </c>
    </row>
    <row r="79" spans="1:19" ht="12" x14ac:dyDescent="0.2">
      <c r="A79" s="8"/>
      <c r="B79" s="2" t="s">
        <v>173</v>
      </c>
      <c r="C79" s="34" t="s">
        <v>174</v>
      </c>
      <c r="D79" s="34" t="s">
        <v>135</v>
      </c>
      <c r="E79" s="11" t="s">
        <v>89</v>
      </c>
      <c r="F79" s="12"/>
      <c r="G79" s="57" t="s">
        <v>175</v>
      </c>
      <c r="H79" s="58">
        <v>-558.029</v>
      </c>
      <c r="I79" s="58">
        <v>-593.56899999999996</v>
      </c>
      <c r="J79" s="58">
        <v>-547.798</v>
      </c>
      <c r="K79" s="58">
        <v>-541.44899999999996</v>
      </c>
      <c r="L79" s="58">
        <v>-1102.68</v>
      </c>
      <c r="M79" s="58">
        <v>-264.90300000000002</v>
      </c>
      <c r="N79" s="76">
        <v>-287</v>
      </c>
      <c r="O79" s="76">
        <v>-262</v>
      </c>
      <c r="P79" s="76">
        <v>-262</v>
      </c>
      <c r="Q79" s="76">
        <v>-262</v>
      </c>
      <c r="R79" s="76">
        <v>-102</v>
      </c>
      <c r="S79" s="58">
        <v>0</v>
      </c>
    </row>
    <row r="80" spans="1:19" ht="12" x14ac:dyDescent="0.2">
      <c r="A80" s="8"/>
      <c r="B80" s="2" t="s">
        <v>176</v>
      </c>
      <c r="C80" s="34" t="s">
        <v>177</v>
      </c>
      <c r="D80" s="34" t="s">
        <v>135</v>
      </c>
      <c r="E80" s="11" t="s">
        <v>89</v>
      </c>
      <c r="F80" s="12"/>
      <c r="G80" s="57" t="s">
        <v>178</v>
      </c>
      <c r="H80" s="58">
        <v>-409.63900000000001</v>
      </c>
      <c r="I80" s="58">
        <v>-429.63400000000001</v>
      </c>
      <c r="J80" s="58">
        <v>-396.24</v>
      </c>
      <c r="K80" s="58">
        <v>0</v>
      </c>
      <c r="L80" s="58">
        <v>0</v>
      </c>
      <c r="M80" s="58">
        <v>0</v>
      </c>
      <c r="N80" s="76">
        <v>0</v>
      </c>
      <c r="O80" s="76">
        <v>0</v>
      </c>
      <c r="P80" s="76">
        <v>0</v>
      </c>
      <c r="Q80" s="76">
        <v>0</v>
      </c>
      <c r="R80" s="76">
        <v>0</v>
      </c>
      <c r="S80" s="58">
        <v>0</v>
      </c>
    </row>
    <row r="81" spans="1:19" ht="12" x14ac:dyDescent="0.2">
      <c r="A81" s="8"/>
      <c r="B81" s="2" t="s">
        <v>179</v>
      </c>
      <c r="C81" s="34" t="s">
        <v>52</v>
      </c>
      <c r="D81" s="34" t="s">
        <v>135</v>
      </c>
      <c r="E81" s="11" t="s">
        <v>89</v>
      </c>
      <c r="F81" s="12"/>
      <c r="G81" s="57" t="s">
        <v>180</v>
      </c>
      <c r="H81" s="58">
        <v>0</v>
      </c>
      <c r="I81" s="58">
        <v>0</v>
      </c>
      <c r="J81" s="58">
        <v>0</v>
      </c>
      <c r="K81" s="58">
        <v>0</v>
      </c>
      <c r="L81" s="58">
        <v>0</v>
      </c>
      <c r="M81" s="58">
        <v>0</v>
      </c>
      <c r="N81" s="76">
        <v>0</v>
      </c>
      <c r="O81" s="76">
        <v>0</v>
      </c>
      <c r="P81" s="76">
        <v>0</v>
      </c>
      <c r="Q81" s="76">
        <v>0</v>
      </c>
      <c r="R81" s="76">
        <v>0</v>
      </c>
      <c r="S81" s="58">
        <v>0</v>
      </c>
    </row>
    <row r="82" spans="1:19" ht="12" x14ac:dyDescent="0.2">
      <c r="A82" s="8"/>
      <c r="B82" s="2" t="s">
        <v>181</v>
      </c>
      <c r="C82" s="34" t="s">
        <v>182</v>
      </c>
      <c r="D82" s="34" t="s">
        <v>131</v>
      </c>
      <c r="E82" s="11" t="s">
        <v>11</v>
      </c>
      <c r="G82" s="57" t="s">
        <v>183</v>
      </c>
      <c r="H82" s="58">
        <v>5566.2669999999998</v>
      </c>
      <c r="I82" s="58">
        <v>5309.223</v>
      </c>
      <c r="J82" s="58">
        <v>5579.7079999999996</v>
      </c>
      <c r="K82" s="58">
        <v>0</v>
      </c>
      <c r="L82" s="58">
        <v>0</v>
      </c>
      <c r="M82" s="58">
        <v>0</v>
      </c>
      <c r="N82" s="76">
        <v>0</v>
      </c>
      <c r="O82" s="76">
        <v>0</v>
      </c>
      <c r="P82" s="76">
        <v>0</v>
      </c>
      <c r="Q82" s="76">
        <v>0</v>
      </c>
      <c r="R82" s="76">
        <v>0</v>
      </c>
      <c r="S82" s="58">
        <v>0</v>
      </c>
    </row>
    <row r="83" spans="1:19" ht="12" x14ac:dyDescent="0.2">
      <c r="A83" s="8"/>
      <c r="B83" s="2" t="s">
        <v>184</v>
      </c>
      <c r="C83" s="34" t="s">
        <v>182</v>
      </c>
      <c r="D83" s="34" t="s">
        <v>135</v>
      </c>
      <c r="E83" s="11" t="s">
        <v>89</v>
      </c>
      <c r="F83" s="12"/>
      <c r="G83" s="57" t="s">
        <v>374</v>
      </c>
      <c r="H83" s="58">
        <v>0</v>
      </c>
      <c r="I83" s="58">
        <v>0</v>
      </c>
      <c r="J83" s="58">
        <v>0</v>
      </c>
      <c r="K83" s="58">
        <v>0</v>
      </c>
      <c r="L83" s="58">
        <v>0</v>
      </c>
      <c r="M83" s="58">
        <v>0</v>
      </c>
      <c r="N83" s="76">
        <v>0</v>
      </c>
      <c r="O83" s="76">
        <v>0</v>
      </c>
      <c r="P83" s="76">
        <v>0</v>
      </c>
      <c r="Q83" s="76">
        <v>0</v>
      </c>
      <c r="R83" s="76">
        <v>0</v>
      </c>
      <c r="S83" s="58">
        <v>0</v>
      </c>
    </row>
    <row r="84" spans="1:19" ht="12" x14ac:dyDescent="0.2">
      <c r="A84" s="8"/>
      <c r="B84" s="2" t="s">
        <v>185</v>
      </c>
      <c r="C84" s="34" t="s">
        <v>375</v>
      </c>
      <c r="D84" s="34" t="s">
        <v>135</v>
      </c>
      <c r="E84" s="11" t="s">
        <v>89</v>
      </c>
      <c r="F84" s="12"/>
      <c r="G84" s="57" t="s">
        <v>376</v>
      </c>
      <c r="H84" s="58">
        <v>0</v>
      </c>
      <c r="I84" s="58">
        <v>0</v>
      </c>
      <c r="J84" s="58">
        <v>0</v>
      </c>
      <c r="K84" s="58">
        <v>0</v>
      </c>
      <c r="L84" s="58">
        <v>0</v>
      </c>
      <c r="M84" s="58">
        <v>0</v>
      </c>
      <c r="N84" s="76">
        <v>0</v>
      </c>
      <c r="O84" s="76">
        <v>0</v>
      </c>
      <c r="P84" s="76">
        <v>0</v>
      </c>
      <c r="Q84" s="76">
        <v>0</v>
      </c>
      <c r="R84" s="76">
        <v>0</v>
      </c>
      <c r="S84" s="58">
        <v>0</v>
      </c>
    </row>
    <row r="85" spans="1:19" ht="12" x14ac:dyDescent="0.2">
      <c r="A85" s="8"/>
      <c r="B85" s="2" t="s">
        <v>186</v>
      </c>
      <c r="C85" s="36">
        <v>68</v>
      </c>
      <c r="D85" s="34" t="s">
        <v>135</v>
      </c>
      <c r="E85" s="11" t="s">
        <v>89</v>
      </c>
      <c r="F85" s="12"/>
      <c r="G85" s="70" t="s">
        <v>111</v>
      </c>
      <c r="H85" s="58">
        <v>0</v>
      </c>
      <c r="I85" s="58">
        <v>0</v>
      </c>
      <c r="J85" s="58">
        <v>0</v>
      </c>
      <c r="K85" s="58">
        <v>0</v>
      </c>
      <c r="L85" s="58">
        <v>0</v>
      </c>
      <c r="M85" s="58">
        <v>0</v>
      </c>
      <c r="N85" s="76">
        <v>0</v>
      </c>
      <c r="O85" s="76">
        <v>0</v>
      </c>
      <c r="P85" s="76">
        <v>0</v>
      </c>
      <c r="Q85" s="76">
        <v>0</v>
      </c>
      <c r="R85" s="76">
        <v>0</v>
      </c>
      <c r="S85" s="58">
        <v>0</v>
      </c>
    </row>
    <row r="86" spans="1:19" x14ac:dyDescent="0.2">
      <c r="A86" s="8"/>
      <c r="B86" s="2" t="s">
        <v>377</v>
      </c>
      <c r="C86" s="10"/>
      <c r="D86" s="10"/>
      <c r="E86" s="9"/>
      <c r="G86" s="70" t="s">
        <v>158</v>
      </c>
      <c r="H86" s="56">
        <f>SUM(H74:H85)</f>
        <v>3931.7919999999999</v>
      </c>
      <c r="I86" s="56">
        <f t="shared" ref="I86:S86" si="19">SUM(I74:I85)</f>
        <v>3125.4369999999999</v>
      </c>
      <c r="J86" s="56">
        <f t="shared" si="19"/>
        <v>3368.9869999999996</v>
      </c>
      <c r="K86" s="56">
        <f t="shared" si="19"/>
        <v>-933.86899999999991</v>
      </c>
      <c r="L86" s="56">
        <f t="shared" si="19"/>
        <v>-7709.0439999999999</v>
      </c>
      <c r="M86" s="56">
        <f t="shared" si="19"/>
        <v>-639.12200000000007</v>
      </c>
      <c r="N86" s="56">
        <f t="shared" si="19"/>
        <v>-638</v>
      </c>
      <c r="O86" s="56">
        <f t="shared" si="19"/>
        <v>-639</v>
      </c>
      <c r="P86" s="56">
        <f t="shared" si="19"/>
        <v>-639</v>
      </c>
      <c r="Q86" s="56">
        <f t="shared" si="19"/>
        <v>-639</v>
      </c>
      <c r="R86" s="56">
        <f t="shared" si="19"/>
        <v>-169</v>
      </c>
      <c r="S86" s="56">
        <f t="shared" si="19"/>
        <v>0</v>
      </c>
    </row>
    <row r="87" spans="1:19" s="4" customFormat="1" x14ac:dyDescent="0.2">
      <c r="A87" s="8"/>
      <c r="B87" s="2" t="s">
        <v>378</v>
      </c>
      <c r="C87" s="10"/>
      <c r="D87" s="10"/>
      <c r="E87" s="9"/>
      <c r="F87" s="8"/>
      <c r="G87" s="89" t="s">
        <v>379</v>
      </c>
      <c r="H87" s="98"/>
      <c r="I87" s="85">
        <f t="shared" ref="I87:S87" si="20">(I14+I15)-(H14+H15-I58-I59+I45)</f>
        <v>78.639999999999418</v>
      </c>
      <c r="J87" s="85">
        <f t="shared" si="20"/>
        <v>0.37700000000404543</v>
      </c>
      <c r="K87" s="85">
        <f t="shared" si="20"/>
        <v>-45.679000000000087</v>
      </c>
      <c r="L87" s="85">
        <f t="shared" si="20"/>
        <v>0.37699999999676947</v>
      </c>
      <c r="M87" s="85">
        <f t="shared" si="20"/>
        <v>-9.9999999998544808E-2</v>
      </c>
      <c r="N87" s="85">
        <f t="shared" si="20"/>
        <v>0.60599999999976717</v>
      </c>
      <c r="O87" s="85">
        <f t="shared" si="20"/>
        <v>0</v>
      </c>
      <c r="P87" s="85">
        <f t="shared" si="20"/>
        <v>0</v>
      </c>
      <c r="Q87" s="85">
        <f t="shared" si="20"/>
        <v>0</v>
      </c>
      <c r="R87" s="85">
        <f t="shared" si="20"/>
        <v>0</v>
      </c>
      <c r="S87" s="85">
        <f t="shared" si="20"/>
        <v>0</v>
      </c>
    </row>
    <row r="88" spans="1:19" s="4" customFormat="1" x14ac:dyDescent="0.2">
      <c r="A88" s="8"/>
      <c r="B88" s="2" t="s">
        <v>380</v>
      </c>
      <c r="C88" s="10"/>
      <c r="D88" s="10"/>
      <c r="E88" s="9"/>
      <c r="F88" s="8"/>
      <c r="G88" s="89" t="s">
        <v>381</v>
      </c>
      <c r="H88" s="98"/>
      <c r="I88" s="85">
        <f>I24-(H24+(I74+I76)+(I75+I77)+(I78))</f>
        <v>-429.63400000000001</v>
      </c>
      <c r="J88" s="85">
        <f>J24-(I24+(J74+J76)+(J75+J77)+(J78))</f>
        <v>-396.2400000000016</v>
      </c>
      <c r="K88" s="85">
        <f>K24-(J24+(K74+K76)+(K75+K77)+(K78))</f>
        <v>0</v>
      </c>
      <c r="L88" s="85">
        <f>L24-(K24+(L74+L76)+(L75+L77)+(L78))</f>
        <v>9.9999999974897946E-4</v>
      </c>
      <c r="M88" s="85">
        <f>M24-(L24+(M74+M76)+(M75+M77)+(M78))</f>
        <v>-1.0000000002037268E-3</v>
      </c>
      <c r="N88" s="85">
        <f t="shared" ref="N88:S88" si="21">N24-(M24+(N74+N76)+(N75+N77)+(N78))</f>
        <v>-0.28299999999990177</v>
      </c>
      <c r="O88" s="85">
        <f t="shared" si="21"/>
        <v>0</v>
      </c>
      <c r="P88" s="85">
        <f t="shared" si="21"/>
        <v>0</v>
      </c>
      <c r="Q88" s="85">
        <f t="shared" si="21"/>
        <v>0</v>
      </c>
      <c r="R88" s="85">
        <f t="shared" si="21"/>
        <v>0</v>
      </c>
      <c r="S88" s="85">
        <f t="shared" si="21"/>
        <v>0</v>
      </c>
    </row>
    <row r="89" spans="1:19" s="4" customFormat="1" x14ac:dyDescent="0.2">
      <c r="A89" s="8"/>
      <c r="B89" s="2" t="s">
        <v>382</v>
      </c>
      <c r="C89" s="10"/>
      <c r="D89" s="10"/>
      <c r="E89" s="9"/>
      <c r="F89" s="8"/>
      <c r="G89" s="89" t="s">
        <v>383</v>
      </c>
      <c r="H89" s="98"/>
      <c r="I89" s="85">
        <f t="shared" ref="I89:S89" si="22">I28-(H28+(I82+I83))</f>
        <v>-4004.5870000000014</v>
      </c>
      <c r="J89" s="85">
        <f t="shared" si="22"/>
        <v>-4267.9529999999977</v>
      </c>
      <c r="K89" s="85">
        <f t="shared" si="22"/>
        <v>149.98400000000038</v>
      </c>
      <c r="L89" s="85">
        <f t="shared" si="22"/>
        <v>221.51900000000023</v>
      </c>
      <c r="M89" s="85">
        <f t="shared" si="22"/>
        <v>0</v>
      </c>
      <c r="N89" s="85">
        <f t="shared" si="22"/>
        <v>0.20999999999912689</v>
      </c>
      <c r="O89" s="85">
        <f t="shared" si="22"/>
        <v>0</v>
      </c>
      <c r="P89" s="85">
        <f t="shared" si="22"/>
        <v>0</v>
      </c>
      <c r="Q89" s="85">
        <f t="shared" si="22"/>
        <v>0</v>
      </c>
      <c r="R89" s="85">
        <f t="shared" si="22"/>
        <v>0</v>
      </c>
      <c r="S89" s="85">
        <f t="shared" si="22"/>
        <v>0</v>
      </c>
    </row>
    <row r="90" spans="1:19" s="4" customFormat="1" x14ac:dyDescent="0.2">
      <c r="A90" s="8"/>
      <c r="B90" s="2" t="s">
        <v>384</v>
      </c>
      <c r="C90" s="10"/>
      <c r="D90" s="10"/>
      <c r="E90" s="9"/>
      <c r="F90" s="8"/>
      <c r="G90" s="89" t="s">
        <v>385</v>
      </c>
      <c r="H90" s="98"/>
      <c r="I90" s="85">
        <f t="shared" ref="I90:S90" si="23">I29-(H29+H30)-I84</f>
        <v>4004.7150000000001</v>
      </c>
      <c r="J90" s="85">
        <f t="shared" si="23"/>
        <v>4267.9530000000004</v>
      </c>
      <c r="K90" s="85">
        <f t="shared" si="23"/>
        <v>221.51900000000001</v>
      </c>
      <c r="L90" s="85">
        <f t="shared" si="23"/>
        <v>-221.51900000000001</v>
      </c>
      <c r="M90" s="85">
        <f t="shared" si="23"/>
        <v>0</v>
      </c>
      <c r="N90" s="85">
        <f t="shared" si="23"/>
        <v>0.14400000000023283</v>
      </c>
      <c r="O90" s="85">
        <f t="shared" si="23"/>
        <v>0</v>
      </c>
      <c r="P90" s="85">
        <f t="shared" si="23"/>
        <v>0</v>
      </c>
      <c r="Q90" s="85">
        <f t="shared" si="23"/>
        <v>0</v>
      </c>
      <c r="R90" s="85">
        <f t="shared" si="23"/>
        <v>0</v>
      </c>
      <c r="S90" s="85">
        <f t="shared" si="23"/>
        <v>0</v>
      </c>
    </row>
    <row r="91" spans="1:19" s="4" customFormat="1" x14ac:dyDescent="0.2">
      <c r="A91" s="8"/>
      <c r="B91" s="2"/>
      <c r="C91" s="10"/>
      <c r="D91" s="10"/>
      <c r="E91" s="9"/>
      <c r="F91" s="8"/>
      <c r="G91" s="28"/>
      <c r="L91" s="93">
        <f>L90-L87</f>
        <v>-221.89599999999677</v>
      </c>
    </row>
    <row r="92" spans="1:19" s="4" customFormat="1" x14ac:dyDescent="0.2">
      <c r="A92" s="13" t="s">
        <v>0</v>
      </c>
      <c r="B92" s="2"/>
      <c r="C92" s="10"/>
      <c r="D92" s="753" t="s">
        <v>187</v>
      </c>
      <c r="E92" s="754"/>
      <c r="F92" s="8"/>
      <c r="G92" s="94" t="s">
        <v>386</v>
      </c>
      <c r="H92" s="87">
        <f>H73</f>
        <v>2011</v>
      </c>
      <c r="I92" s="87">
        <f t="shared" ref="I92:S92" si="24">I73</f>
        <v>2012</v>
      </c>
      <c r="J92" s="87">
        <f t="shared" si="24"/>
        <v>2013</v>
      </c>
      <c r="K92" s="87">
        <f t="shared" si="24"/>
        <v>2014</v>
      </c>
      <c r="L92" s="87">
        <f t="shared" si="24"/>
        <v>2015</v>
      </c>
      <c r="M92" s="87">
        <f t="shared" si="24"/>
        <v>2016</v>
      </c>
      <c r="N92" s="87">
        <f t="shared" si="24"/>
        <v>2017</v>
      </c>
      <c r="O92" s="87">
        <f t="shared" si="24"/>
        <v>2018</v>
      </c>
      <c r="P92" s="87">
        <f t="shared" si="24"/>
        <v>2019</v>
      </c>
      <c r="Q92" s="87">
        <f t="shared" si="24"/>
        <v>2020</v>
      </c>
      <c r="R92" s="87">
        <f t="shared" si="24"/>
        <v>2021</v>
      </c>
      <c r="S92" s="87">
        <f t="shared" si="24"/>
        <v>2022</v>
      </c>
    </row>
    <row r="93" spans="1:19" s="4" customFormat="1" x14ac:dyDescent="0.2">
      <c r="A93" s="8"/>
      <c r="B93" s="2" t="s">
        <v>387</v>
      </c>
      <c r="C93" s="10" t="s">
        <v>388</v>
      </c>
      <c r="D93" s="10"/>
      <c r="E93" s="9"/>
      <c r="F93" s="8"/>
      <c r="G93" s="95" t="s">
        <v>389</v>
      </c>
      <c r="H93" s="96">
        <f>H5+H11+H12+H13</f>
        <v>227.83799999999999</v>
      </c>
      <c r="I93" s="96">
        <f>I5+I11+I12+I13</f>
        <v>280.05399999999997</v>
      </c>
      <c r="J93" s="96">
        <f t="shared" ref="J93:S93" si="25">J5+J11+J12+J13</f>
        <v>307.20999999999998</v>
      </c>
      <c r="K93" s="96">
        <f t="shared" si="25"/>
        <v>613.54000000000008</v>
      </c>
      <c r="L93" s="96">
        <f t="shared" si="25"/>
        <v>406.77099999999996</v>
      </c>
      <c r="M93" s="96">
        <f t="shared" si="25"/>
        <v>676.62400000000002</v>
      </c>
      <c r="N93" s="96">
        <f t="shared" si="25"/>
        <v>486</v>
      </c>
      <c r="O93" s="96">
        <f t="shared" si="25"/>
        <v>585</v>
      </c>
      <c r="P93" s="96">
        <f t="shared" si="25"/>
        <v>569</v>
      </c>
      <c r="Q93" s="96">
        <f t="shared" si="25"/>
        <v>530</v>
      </c>
      <c r="R93" s="96">
        <f t="shared" si="25"/>
        <v>610</v>
      </c>
      <c r="S93" s="96">
        <f t="shared" si="25"/>
        <v>658</v>
      </c>
    </row>
    <row r="94" spans="1:19" s="4" customFormat="1" x14ac:dyDescent="0.2">
      <c r="A94" s="8"/>
      <c r="B94" s="2" t="s">
        <v>390</v>
      </c>
      <c r="C94" s="10"/>
      <c r="D94" s="10"/>
      <c r="E94" s="9"/>
      <c r="F94" s="8"/>
      <c r="G94" s="97" t="s">
        <v>391</v>
      </c>
      <c r="H94" s="98"/>
      <c r="I94" s="96">
        <f>I93-H93</f>
        <v>52.21599999999998</v>
      </c>
      <c r="J94" s="96">
        <f t="shared" ref="J94:S94" si="26">J93-I93</f>
        <v>27.156000000000006</v>
      </c>
      <c r="K94" s="96">
        <f t="shared" si="26"/>
        <v>306.3300000000001</v>
      </c>
      <c r="L94" s="96">
        <f t="shared" si="26"/>
        <v>-206.76900000000012</v>
      </c>
      <c r="M94" s="96">
        <f t="shared" si="26"/>
        <v>269.85300000000007</v>
      </c>
      <c r="N94" s="96">
        <f t="shared" si="26"/>
        <v>-190.62400000000002</v>
      </c>
      <c r="O94" s="96">
        <f t="shared" si="26"/>
        <v>99</v>
      </c>
      <c r="P94" s="96">
        <f t="shared" si="26"/>
        <v>-16</v>
      </c>
      <c r="Q94" s="96">
        <f t="shared" si="26"/>
        <v>-39</v>
      </c>
      <c r="R94" s="96">
        <f t="shared" si="26"/>
        <v>80</v>
      </c>
      <c r="S94" s="96">
        <f t="shared" si="26"/>
        <v>48</v>
      </c>
    </row>
    <row r="95" spans="1:19" s="4" customFormat="1" x14ac:dyDescent="0.2">
      <c r="A95" s="8"/>
      <c r="B95" s="2" t="s">
        <v>392</v>
      </c>
      <c r="C95" s="10" t="s">
        <v>42</v>
      </c>
      <c r="D95" s="10"/>
      <c r="E95" s="9"/>
      <c r="F95" s="8"/>
      <c r="G95" s="95" t="s">
        <v>393</v>
      </c>
      <c r="H95" s="96">
        <f>H19</f>
        <v>13131.633000000002</v>
      </c>
      <c r="I95" s="96">
        <f t="shared" ref="I95:S95" si="27">I19</f>
        <v>11512.879000000001</v>
      </c>
      <c r="J95" s="96">
        <f t="shared" si="27"/>
        <v>9914.094000000001</v>
      </c>
      <c r="K95" s="96">
        <f t="shared" si="27"/>
        <v>9697.2379999999994</v>
      </c>
      <c r="L95" s="96">
        <f t="shared" si="27"/>
        <v>2969.6860000000001</v>
      </c>
      <c r="M95" s="96">
        <f t="shared" si="27"/>
        <v>2979.3720000000003</v>
      </c>
      <c r="N95" s="96">
        <f>N19</f>
        <v>2583</v>
      </c>
      <c r="O95" s="96">
        <f t="shared" si="27"/>
        <v>1969</v>
      </c>
      <c r="P95" s="96">
        <f t="shared" si="27"/>
        <v>1529</v>
      </c>
      <c r="Q95" s="96">
        <f t="shared" si="27"/>
        <v>1224</v>
      </c>
      <c r="R95" s="96">
        <f t="shared" si="27"/>
        <v>1077</v>
      </c>
      <c r="S95" s="96">
        <f t="shared" si="27"/>
        <v>950</v>
      </c>
    </row>
    <row r="96" spans="1:19" s="4" customFormat="1" x14ac:dyDescent="0.2">
      <c r="A96" s="8"/>
      <c r="B96" s="2" t="s">
        <v>394</v>
      </c>
      <c r="C96" s="10"/>
      <c r="D96" s="10"/>
      <c r="E96" s="9"/>
      <c r="F96" s="8"/>
      <c r="G96" s="97" t="s">
        <v>391</v>
      </c>
      <c r="H96" s="98"/>
      <c r="I96" s="96">
        <f>I95-H95</f>
        <v>-1618.7540000000008</v>
      </c>
      <c r="J96" s="96">
        <f t="shared" ref="J96:S96" si="28">J95-I95</f>
        <v>-1598.7849999999999</v>
      </c>
      <c r="K96" s="96">
        <f t="shared" si="28"/>
        <v>-216.85600000000159</v>
      </c>
      <c r="L96" s="96">
        <f t="shared" si="28"/>
        <v>-6727.5519999999997</v>
      </c>
      <c r="M96" s="96">
        <f t="shared" si="28"/>
        <v>9.6860000000001492</v>
      </c>
      <c r="N96" s="96">
        <f t="shared" si="28"/>
        <v>-396.3720000000003</v>
      </c>
      <c r="O96" s="96">
        <f t="shared" si="28"/>
        <v>-614</v>
      </c>
      <c r="P96" s="96">
        <f t="shared" si="28"/>
        <v>-440</v>
      </c>
      <c r="Q96" s="96">
        <f t="shared" si="28"/>
        <v>-305</v>
      </c>
      <c r="R96" s="96">
        <f t="shared" si="28"/>
        <v>-147</v>
      </c>
      <c r="S96" s="96">
        <f t="shared" si="28"/>
        <v>-127</v>
      </c>
    </row>
    <row r="97" spans="1:20" s="40" customFormat="1" x14ac:dyDescent="0.2">
      <c r="A97" s="29" t="s">
        <v>395</v>
      </c>
      <c r="B97" s="2" t="s">
        <v>188</v>
      </c>
      <c r="C97" s="10" t="s">
        <v>396</v>
      </c>
      <c r="D97" s="99"/>
      <c r="E97" s="30"/>
      <c r="F97" s="29"/>
      <c r="G97" s="100" t="s">
        <v>386</v>
      </c>
      <c r="H97" s="101"/>
      <c r="I97" s="102">
        <f>I94-I96</f>
        <v>1670.9700000000007</v>
      </c>
      <c r="J97" s="102">
        <f t="shared" ref="J97:S97" si="29">J94-J96</f>
        <v>1625.9409999999998</v>
      </c>
      <c r="K97" s="102">
        <f t="shared" si="29"/>
        <v>523.18600000000174</v>
      </c>
      <c r="L97" s="102">
        <f t="shared" si="29"/>
        <v>6520.7829999999994</v>
      </c>
      <c r="M97" s="102">
        <f t="shared" si="29"/>
        <v>260.16699999999992</v>
      </c>
      <c r="N97" s="102">
        <f t="shared" si="29"/>
        <v>205.74800000000027</v>
      </c>
      <c r="O97" s="102">
        <f t="shared" si="29"/>
        <v>713</v>
      </c>
      <c r="P97" s="102">
        <f t="shared" si="29"/>
        <v>424</v>
      </c>
      <c r="Q97" s="102">
        <f t="shared" si="29"/>
        <v>266</v>
      </c>
      <c r="R97" s="102">
        <f t="shared" si="29"/>
        <v>227</v>
      </c>
      <c r="S97" s="102">
        <f t="shared" si="29"/>
        <v>175</v>
      </c>
    </row>
    <row r="98" spans="1:20" s="4" customFormat="1" x14ac:dyDescent="0.2">
      <c r="A98" s="8"/>
      <c r="B98" s="2"/>
      <c r="C98" s="10"/>
      <c r="D98" s="10"/>
      <c r="E98" s="9"/>
      <c r="F98" s="8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</row>
    <row r="99" spans="1:20" s="4" customFormat="1" x14ac:dyDescent="0.2">
      <c r="A99" s="8"/>
      <c r="B99" s="2" t="s">
        <v>397</v>
      </c>
      <c r="C99" s="10" t="s">
        <v>398</v>
      </c>
      <c r="D99" s="10"/>
      <c r="E99" s="9"/>
      <c r="F99" s="8"/>
      <c r="G99" s="95" t="s">
        <v>399</v>
      </c>
      <c r="H99" s="96">
        <f>H4-H93</f>
        <v>22020.691999999999</v>
      </c>
      <c r="I99" s="96">
        <f t="shared" ref="I99:S99" si="30">I4-I93</f>
        <v>21654.357</v>
      </c>
      <c r="J99" s="96">
        <f t="shared" si="30"/>
        <v>21340.172000000002</v>
      </c>
      <c r="K99" s="96">
        <f t="shared" si="30"/>
        <v>20966.971000000001</v>
      </c>
      <c r="L99" s="96">
        <f t="shared" si="30"/>
        <v>20642.482</v>
      </c>
      <c r="M99" s="96">
        <f t="shared" si="30"/>
        <v>20366.394</v>
      </c>
      <c r="N99" s="96">
        <f t="shared" si="30"/>
        <v>19841</v>
      </c>
      <c r="O99" s="96">
        <f t="shared" si="30"/>
        <v>19490</v>
      </c>
      <c r="P99" s="96">
        <f t="shared" si="30"/>
        <v>19446</v>
      </c>
      <c r="Q99" s="96">
        <f t="shared" si="30"/>
        <v>19402</v>
      </c>
      <c r="R99" s="96">
        <f t="shared" si="30"/>
        <v>19358</v>
      </c>
      <c r="S99" s="96">
        <f t="shared" si="30"/>
        <v>19314</v>
      </c>
    </row>
    <row r="100" spans="1:20" s="4" customFormat="1" x14ac:dyDescent="0.2">
      <c r="A100" s="8"/>
      <c r="B100" s="2" t="s">
        <v>400</v>
      </c>
      <c r="C100" s="10"/>
      <c r="D100" s="10"/>
      <c r="E100" s="9"/>
      <c r="F100" s="8"/>
      <c r="G100" s="97" t="s">
        <v>391</v>
      </c>
      <c r="H100" s="98"/>
      <c r="I100" s="96">
        <f>I99-H99</f>
        <v>-366.33499999999913</v>
      </c>
      <c r="J100" s="96">
        <f t="shared" ref="J100:S100" si="31">J99-I99</f>
        <v>-314.18499999999767</v>
      </c>
      <c r="K100" s="96">
        <f t="shared" si="31"/>
        <v>-373.20100000000093</v>
      </c>
      <c r="L100" s="96">
        <f t="shared" si="31"/>
        <v>-324.4890000000014</v>
      </c>
      <c r="M100" s="96">
        <f t="shared" si="31"/>
        <v>-276.08799999999974</v>
      </c>
      <c r="N100" s="96">
        <f t="shared" si="31"/>
        <v>-525.39400000000023</v>
      </c>
      <c r="O100" s="96">
        <f t="shared" si="31"/>
        <v>-351</v>
      </c>
      <c r="P100" s="96">
        <f t="shared" si="31"/>
        <v>-44</v>
      </c>
      <c r="Q100" s="96">
        <f t="shared" si="31"/>
        <v>-44</v>
      </c>
      <c r="R100" s="96">
        <f t="shared" si="31"/>
        <v>-44</v>
      </c>
      <c r="S100" s="96">
        <f t="shared" si="31"/>
        <v>-44</v>
      </c>
    </row>
    <row r="101" spans="1:20" s="4" customFormat="1" x14ac:dyDescent="0.2">
      <c r="A101" s="8"/>
      <c r="B101" s="2" t="s">
        <v>401</v>
      </c>
      <c r="C101" s="10" t="s">
        <v>64</v>
      </c>
      <c r="D101" s="10"/>
      <c r="E101" s="9"/>
      <c r="F101" s="8"/>
      <c r="G101" s="95" t="s">
        <v>402</v>
      </c>
      <c r="H101" s="96">
        <f>H27</f>
        <v>9116.8960000000006</v>
      </c>
      <c r="I101" s="96">
        <f t="shared" ref="I101:S101" si="32">I27</f>
        <v>10421.531999999999</v>
      </c>
      <c r="J101" s="96">
        <f t="shared" si="32"/>
        <v>11733.287</v>
      </c>
      <c r="K101" s="96">
        <f t="shared" si="32"/>
        <v>11883.271000000001</v>
      </c>
      <c r="L101" s="96">
        <f t="shared" si="32"/>
        <v>18079.565999999999</v>
      </c>
      <c r="M101" s="96">
        <f t="shared" si="32"/>
        <v>18063.646000000001</v>
      </c>
      <c r="N101" s="96">
        <f t="shared" si="32"/>
        <v>17744</v>
      </c>
      <c r="O101" s="96">
        <f t="shared" si="32"/>
        <v>18106</v>
      </c>
      <c r="P101" s="96">
        <f t="shared" si="32"/>
        <v>18486.28</v>
      </c>
      <c r="Q101" s="96">
        <f t="shared" si="32"/>
        <v>18708.412400000001</v>
      </c>
      <c r="R101" s="96">
        <f t="shared" si="32"/>
        <v>18891.295222000001</v>
      </c>
      <c r="S101" s="96">
        <f t="shared" si="32"/>
        <v>19022.064528660001</v>
      </c>
    </row>
    <row r="102" spans="1:20" s="4" customFormat="1" x14ac:dyDescent="0.2">
      <c r="A102" s="8"/>
      <c r="B102" s="2" t="s">
        <v>403</v>
      </c>
      <c r="C102" s="10"/>
      <c r="D102" s="10"/>
      <c r="E102" s="9"/>
      <c r="F102" s="8"/>
      <c r="G102" s="97" t="s">
        <v>391</v>
      </c>
      <c r="H102" s="98"/>
      <c r="I102" s="96">
        <f>I101-H101</f>
        <v>1304.6359999999986</v>
      </c>
      <c r="J102" s="96">
        <f t="shared" ref="J102:S102" si="33">J101-I101</f>
        <v>1311.755000000001</v>
      </c>
      <c r="K102" s="96">
        <f t="shared" si="33"/>
        <v>149.98400000000038</v>
      </c>
      <c r="L102" s="96">
        <f t="shared" si="33"/>
        <v>6196.2949999999983</v>
      </c>
      <c r="M102" s="96">
        <f t="shared" si="33"/>
        <v>-15.919999999998254</v>
      </c>
      <c r="N102" s="96">
        <f t="shared" si="33"/>
        <v>-319.64600000000064</v>
      </c>
      <c r="O102" s="96">
        <f t="shared" si="33"/>
        <v>362</v>
      </c>
      <c r="P102" s="96">
        <f t="shared" si="33"/>
        <v>380.27999999999884</v>
      </c>
      <c r="Q102" s="96">
        <f t="shared" si="33"/>
        <v>222.13240000000224</v>
      </c>
      <c r="R102" s="96">
        <f t="shared" si="33"/>
        <v>182.88282199999958</v>
      </c>
      <c r="S102" s="96">
        <f t="shared" si="33"/>
        <v>130.76930666000044</v>
      </c>
    </row>
    <row r="103" spans="1:20" s="40" customFormat="1" x14ac:dyDescent="0.2">
      <c r="A103" s="29" t="s">
        <v>404</v>
      </c>
      <c r="B103" s="2" t="s">
        <v>189</v>
      </c>
      <c r="C103" s="10" t="s">
        <v>405</v>
      </c>
      <c r="D103" s="10"/>
      <c r="E103" s="9"/>
      <c r="F103" s="8"/>
      <c r="G103" s="100" t="s">
        <v>406</v>
      </c>
      <c r="H103" s="101"/>
      <c r="I103" s="102">
        <f>I102-I100</f>
        <v>1670.9709999999977</v>
      </c>
      <c r="J103" s="102">
        <f t="shared" ref="J103:S103" si="34">J102-J100</f>
        <v>1625.9399999999987</v>
      </c>
      <c r="K103" s="102">
        <f t="shared" si="34"/>
        <v>523.18500000000131</v>
      </c>
      <c r="L103" s="102">
        <f t="shared" si="34"/>
        <v>6520.7839999999997</v>
      </c>
      <c r="M103" s="102">
        <f t="shared" si="34"/>
        <v>260.16800000000148</v>
      </c>
      <c r="N103" s="102">
        <f t="shared" si="34"/>
        <v>205.74799999999959</v>
      </c>
      <c r="O103" s="102">
        <f t="shared" si="34"/>
        <v>713</v>
      </c>
      <c r="P103" s="102">
        <f t="shared" si="34"/>
        <v>424.27999999999884</v>
      </c>
      <c r="Q103" s="102">
        <f t="shared" si="34"/>
        <v>266.13240000000224</v>
      </c>
      <c r="R103" s="102">
        <f t="shared" si="34"/>
        <v>226.88282199999958</v>
      </c>
      <c r="S103" s="102">
        <f t="shared" si="34"/>
        <v>174.76930666000044</v>
      </c>
    </row>
    <row r="104" spans="1:20" s="4" customFormat="1" x14ac:dyDescent="0.2">
      <c r="A104" s="8"/>
      <c r="B104" s="2"/>
      <c r="C104" s="10"/>
      <c r="D104" s="10"/>
      <c r="E104" s="9"/>
      <c r="F104" s="8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</row>
    <row r="105" spans="1:20" s="4" customFormat="1" x14ac:dyDescent="0.2">
      <c r="A105" s="13"/>
      <c r="B105" s="2"/>
      <c r="C105" s="10"/>
      <c r="D105" s="10"/>
      <c r="E105" s="9"/>
      <c r="F105" s="8"/>
      <c r="G105" s="94" t="s">
        <v>407</v>
      </c>
      <c r="H105" s="87">
        <f t="shared" ref="H105:S105" si="35">H32</f>
        <v>2011</v>
      </c>
      <c r="I105" s="87">
        <f t="shared" si="35"/>
        <v>2012</v>
      </c>
      <c r="J105" s="87">
        <f t="shared" si="35"/>
        <v>2013</v>
      </c>
      <c r="K105" s="87">
        <f t="shared" si="35"/>
        <v>2014</v>
      </c>
      <c r="L105" s="87">
        <f t="shared" si="35"/>
        <v>2015</v>
      </c>
      <c r="M105" s="87">
        <f t="shared" si="35"/>
        <v>2016</v>
      </c>
      <c r="N105" s="87">
        <f t="shared" si="35"/>
        <v>2017</v>
      </c>
      <c r="O105" s="87">
        <f t="shared" si="35"/>
        <v>2018</v>
      </c>
      <c r="P105" s="87">
        <f t="shared" si="35"/>
        <v>2019</v>
      </c>
      <c r="Q105" s="87">
        <f t="shared" si="35"/>
        <v>2020</v>
      </c>
      <c r="R105" s="87">
        <f t="shared" si="35"/>
        <v>2021</v>
      </c>
      <c r="S105" s="87">
        <f t="shared" si="35"/>
        <v>2022</v>
      </c>
    </row>
    <row r="106" spans="1:20" s="40" customFormat="1" x14ac:dyDescent="0.2">
      <c r="A106" s="29" t="s">
        <v>408</v>
      </c>
      <c r="B106" s="2" t="s">
        <v>192</v>
      </c>
      <c r="C106" s="29" t="s">
        <v>409</v>
      </c>
      <c r="D106" s="10"/>
      <c r="E106" s="9"/>
      <c r="F106" s="8"/>
      <c r="G106" s="103" t="s">
        <v>407</v>
      </c>
      <c r="H106" s="101" t="s">
        <v>358</v>
      </c>
      <c r="I106" s="104">
        <f t="shared" ref="I106:N106" si="36">(I48-I45+I50)+(I58+I59)+(I82+I83+I84+I85)-(I85-I49)</f>
        <v>1749.4829999999988</v>
      </c>
      <c r="J106" s="104">
        <f t="shared" si="36"/>
        <v>1626.1890000000003</v>
      </c>
      <c r="K106" s="104">
        <f t="shared" si="36"/>
        <v>106.00300000000033</v>
      </c>
      <c r="L106" s="104">
        <f t="shared" si="36"/>
        <v>6521.16</v>
      </c>
      <c r="M106" s="104">
        <f t="shared" si="36"/>
        <v>260.0680000000014</v>
      </c>
      <c r="N106" s="104">
        <f t="shared" si="36"/>
        <v>206</v>
      </c>
      <c r="O106" s="104">
        <f>(O48-O45+O50)+(O58+O59)+(O82+O83+O84+O85)-(O85-O49)</f>
        <v>713</v>
      </c>
      <c r="P106" s="104">
        <f>(P48-P45+P50)+(P58+P59)+(P82+P83+P84+P85)-(P85-P49)</f>
        <v>424.28000000000065</v>
      </c>
      <c r="Q106" s="104">
        <f>(Q48-Q45+Q50)+(Q58+Q59)+(Q82+Q83+Q84+Q85)-(Q85-Q49)</f>
        <v>266.13240000000042</v>
      </c>
      <c r="R106" s="104">
        <f>(R48-R45+R50)+(R58+R59)+(R82+R83+R84+R85)-(R85-R49)</f>
        <v>226.88282199999958</v>
      </c>
      <c r="S106" s="104">
        <f>(S48-S45+S50)+(S58+S59)+(S82+S83+S84+S85)-(S85-S49)</f>
        <v>174.76930666000044</v>
      </c>
    </row>
    <row r="107" spans="1:20" s="40" customFormat="1" x14ac:dyDescent="0.2">
      <c r="A107" s="29" t="s">
        <v>410</v>
      </c>
      <c r="B107" s="2" t="s">
        <v>194</v>
      </c>
      <c r="C107" s="29" t="s">
        <v>411</v>
      </c>
      <c r="D107" s="10"/>
      <c r="E107" s="9"/>
      <c r="F107" s="8"/>
      <c r="G107" s="89" t="s">
        <v>412</v>
      </c>
      <c r="H107" s="101" t="s">
        <v>358</v>
      </c>
      <c r="I107" s="85">
        <f>I97-I106</f>
        <v>-78.512999999998101</v>
      </c>
      <c r="J107" s="85">
        <f t="shared" ref="J107:S107" si="37">J97-J106</f>
        <v>-0.24800000000050204</v>
      </c>
      <c r="K107" s="85">
        <f t="shared" si="37"/>
        <v>417.18300000000141</v>
      </c>
      <c r="L107" s="85">
        <f t="shared" si="37"/>
        <v>-0.37700000000040745</v>
      </c>
      <c r="M107" s="85">
        <f t="shared" si="37"/>
        <v>9.8999999998511612E-2</v>
      </c>
      <c r="N107" s="85">
        <f t="shared" si="37"/>
        <v>-0.25199999999972533</v>
      </c>
      <c r="O107" s="85">
        <f t="shared" si="37"/>
        <v>0</v>
      </c>
      <c r="P107" s="85">
        <f t="shared" si="37"/>
        <v>-0.28000000000065484</v>
      </c>
      <c r="Q107" s="85">
        <f t="shared" si="37"/>
        <v>-0.13240000000041618</v>
      </c>
      <c r="R107" s="85">
        <f t="shared" si="37"/>
        <v>0.11717800000042189</v>
      </c>
      <c r="S107" s="85">
        <f t="shared" si="37"/>
        <v>0.23069333999956143</v>
      </c>
    </row>
    <row r="108" spans="1:20" s="40" customFormat="1" x14ac:dyDescent="0.2">
      <c r="A108" s="29"/>
      <c r="B108" s="2"/>
      <c r="C108" s="29"/>
      <c r="D108" s="10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</row>
    <row r="109" spans="1:20" s="40" customFormat="1" x14ac:dyDescent="0.2">
      <c r="A109" s="29"/>
      <c r="B109" s="2"/>
      <c r="C109" s="29"/>
      <c r="D109" s="10"/>
      <c r="E109" s="9"/>
      <c r="F109" s="8"/>
      <c r="G109" s="94" t="s">
        <v>413</v>
      </c>
      <c r="H109" s="87">
        <f>H105</f>
        <v>2011</v>
      </c>
      <c r="I109" s="87">
        <f t="shared" ref="I109:S109" si="38">I105</f>
        <v>2012</v>
      </c>
      <c r="J109" s="87">
        <f t="shared" si="38"/>
        <v>2013</v>
      </c>
      <c r="K109" s="87">
        <f t="shared" si="38"/>
        <v>2014</v>
      </c>
      <c r="L109" s="87">
        <f t="shared" si="38"/>
        <v>2015</v>
      </c>
      <c r="M109" s="87">
        <f t="shared" si="38"/>
        <v>2016</v>
      </c>
      <c r="N109" s="87">
        <f t="shared" si="38"/>
        <v>2017</v>
      </c>
      <c r="O109" s="87">
        <f t="shared" si="38"/>
        <v>2018</v>
      </c>
      <c r="P109" s="87">
        <f t="shared" si="38"/>
        <v>2019</v>
      </c>
      <c r="Q109" s="87">
        <f t="shared" si="38"/>
        <v>2020</v>
      </c>
      <c r="R109" s="87">
        <f t="shared" si="38"/>
        <v>2021</v>
      </c>
      <c r="S109" s="87">
        <f t="shared" si="38"/>
        <v>2022</v>
      </c>
    </row>
    <row r="110" spans="1:20" s="4" customFormat="1" x14ac:dyDescent="0.2">
      <c r="A110" s="8" t="s">
        <v>414</v>
      </c>
      <c r="B110" s="2" t="s">
        <v>415</v>
      </c>
      <c r="C110" s="34" t="s">
        <v>190</v>
      </c>
      <c r="D110" s="10"/>
      <c r="E110" s="9"/>
      <c r="F110" s="8"/>
      <c r="G110" s="103" t="s">
        <v>191</v>
      </c>
      <c r="H110" s="105">
        <f t="shared" ref="H110:S110" si="39">H33+H38+H41-H45</f>
        <v>-2911.0800000000004</v>
      </c>
      <c r="I110" s="77">
        <f t="shared" si="39"/>
        <v>-2894.0090000000009</v>
      </c>
      <c r="J110" s="77">
        <f t="shared" si="39"/>
        <v>-3167.9439999999991</v>
      </c>
      <c r="K110" s="77">
        <f t="shared" si="39"/>
        <v>831.66600000000028</v>
      </c>
      <c r="L110" s="77">
        <f t="shared" si="39"/>
        <v>7855.8289999999997</v>
      </c>
      <c r="M110" s="77">
        <f t="shared" si="39"/>
        <v>842.76500000000135</v>
      </c>
      <c r="N110" s="77">
        <f t="shared" si="39"/>
        <v>513</v>
      </c>
      <c r="O110" s="77">
        <f t="shared" si="39"/>
        <v>1224</v>
      </c>
      <c r="P110" s="77">
        <f t="shared" si="39"/>
        <v>930.28000000000065</v>
      </c>
      <c r="Q110" s="77">
        <f t="shared" si="39"/>
        <v>772.13240000000042</v>
      </c>
      <c r="R110" s="77">
        <f t="shared" si="39"/>
        <v>732.88282199999958</v>
      </c>
      <c r="S110" s="77">
        <f t="shared" si="39"/>
        <v>680.76930666000044</v>
      </c>
    </row>
    <row r="111" spans="1:20" s="4" customFormat="1" x14ac:dyDescent="0.2">
      <c r="A111" s="8" t="s">
        <v>416</v>
      </c>
      <c r="B111" s="2" t="s">
        <v>197</v>
      </c>
      <c r="C111" s="8" t="s">
        <v>417</v>
      </c>
      <c r="D111" s="10"/>
      <c r="E111" s="106">
        <v>0</v>
      </c>
      <c r="F111" s="8"/>
      <c r="G111" s="46" t="s">
        <v>193</v>
      </c>
      <c r="H111" s="107">
        <f t="shared" ref="H111:S111" si="40">H110/H33</f>
        <v>-0.93133370295590368</v>
      </c>
      <c r="I111" s="108">
        <f t="shared" si="40"/>
        <v>-0.89433747691927379</v>
      </c>
      <c r="J111" s="108">
        <f t="shared" si="40"/>
        <v>-1.0004923595835626</v>
      </c>
      <c r="K111" s="108">
        <f t="shared" si="40"/>
        <v>0.10759131275564819</v>
      </c>
      <c r="L111" s="108">
        <f t="shared" si="40"/>
        <v>0.47762936249075999</v>
      </c>
      <c r="M111" s="108">
        <f t="shared" si="40"/>
        <v>0.10055831992380748</v>
      </c>
      <c r="N111" s="108">
        <f t="shared" si="40"/>
        <v>5.8428246013667424E-2</v>
      </c>
      <c r="O111" s="108">
        <f t="shared" si="40"/>
        <v>0.13489089706854751</v>
      </c>
      <c r="P111" s="108">
        <f t="shared" si="40"/>
        <v>9.7733065226115731E-2</v>
      </c>
      <c r="Q111" s="108">
        <f t="shared" si="40"/>
        <v>8.0281207206510719E-2</v>
      </c>
      <c r="R111" s="108">
        <f t="shared" si="40"/>
        <v>7.5845152580284458E-2</v>
      </c>
      <c r="S111" s="108">
        <f t="shared" si="40"/>
        <v>6.9745456046737597E-2</v>
      </c>
    </row>
    <row r="112" spans="1:20" s="4" customFormat="1" x14ac:dyDescent="0.2">
      <c r="A112" s="8" t="s">
        <v>418</v>
      </c>
      <c r="B112" s="2" t="s">
        <v>200</v>
      </c>
      <c r="C112" s="34" t="s">
        <v>195</v>
      </c>
      <c r="D112" s="10"/>
      <c r="E112" s="109"/>
      <c r="F112" s="8"/>
      <c r="G112" s="110" t="s">
        <v>196</v>
      </c>
      <c r="H112" s="111">
        <f t="shared" ref="H112:S112" si="41">-H33/(H38+H41)</f>
        <v>0.47773044524742642</v>
      </c>
      <c r="I112" s="111">
        <f t="shared" si="41"/>
        <v>0.48681961019829478</v>
      </c>
      <c r="J112" s="111">
        <f t="shared" si="41"/>
        <v>0.4597847609322826</v>
      </c>
      <c r="K112" s="111">
        <f t="shared" si="41"/>
        <v>1.0431758348119795</v>
      </c>
      <c r="L112" s="111">
        <f t="shared" si="41"/>
        <v>1.7958511930765211</v>
      </c>
      <c r="M112" s="111">
        <f t="shared" si="41"/>
        <v>1.0303864020623323</v>
      </c>
      <c r="N112" s="111">
        <f t="shared" si="41"/>
        <v>0.99625553160104396</v>
      </c>
      <c r="O112" s="111">
        <f t="shared" si="41"/>
        <v>1.0804953560371517</v>
      </c>
      <c r="P112" s="111">
        <f t="shared" si="41"/>
        <v>1.0416138669117889</v>
      </c>
      <c r="Q112" s="111">
        <f t="shared" si="41"/>
        <v>1.0236418835607508</v>
      </c>
      <c r="R112" s="111">
        <f t="shared" si="41"/>
        <v>1.0192914369198312</v>
      </c>
      <c r="S112" s="111">
        <f t="shared" si="41"/>
        <v>1.0135793672544133</v>
      </c>
    </row>
    <row r="113" spans="1:20" s="4" customFormat="1" x14ac:dyDescent="0.2">
      <c r="A113" s="8" t="s">
        <v>419</v>
      </c>
      <c r="B113" s="2" t="s">
        <v>420</v>
      </c>
      <c r="C113" s="8" t="s">
        <v>198</v>
      </c>
      <c r="D113" s="10"/>
      <c r="E113" s="109"/>
      <c r="F113" s="8"/>
      <c r="G113" s="103" t="s">
        <v>199</v>
      </c>
      <c r="H113" s="105">
        <f t="shared" ref="H113:S113" si="42">H46</f>
        <v>-3417.1230000000005</v>
      </c>
      <c r="I113" s="105">
        <f t="shared" si="42"/>
        <v>-3411.1470000000008</v>
      </c>
      <c r="J113" s="105">
        <f t="shared" si="42"/>
        <v>-3720.282999999999</v>
      </c>
      <c r="K113" s="105">
        <f t="shared" si="42"/>
        <v>319.93000000000029</v>
      </c>
      <c r="L113" s="105">
        <f t="shared" si="42"/>
        <v>7288.9089999999997</v>
      </c>
      <c r="M113" s="105">
        <f t="shared" si="42"/>
        <v>247.15400000000136</v>
      </c>
      <c r="N113" s="105">
        <f t="shared" si="42"/>
        <v>-33</v>
      </c>
      <c r="O113" s="105">
        <f t="shared" si="42"/>
        <v>676</v>
      </c>
      <c r="P113" s="105">
        <f t="shared" si="42"/>
        <v>380.28000000000065</v>
      </c>
      <c r="Q113" s="105">
        <f t="shared" si="42"/>
        <v>222.13240000000042</v>
      </c>
      <c r="R113" s="105">
        <f t="shared" si="42"/>
        <v>182.88282199999958</v>
      </c>
      <c r="S113" s="105">
        <f t="shared" si="42"/>
        <v>130.76930666000044</v>
      </c>
    </row>
    <row r="114" spans="1:20" s="4" customFormat="1" x14ac:dyDescent="0.2">
      <c r="A114" s="8" t="s">
        <v>421</v>
      </c>
      <c r="B114" s="2" t="s">
        <v>422</v>
      </c>
      <c r="C114" s="8" t="s">
        <v>201</v>
      </c>
      <c r="D114" s="106">
        <v>-0.3</v>
      </c>
      <c r="E114" s="106">
        <v>0</v>
      </c>
      <c r="F114" s="8"/>
      <c r="G114" s="110" t="s">
        <v>202</v>
      </c>
      <c r="H114" s="112">
        <f t="shared" ref="H114:S114" si="43">H46/H33</f>
        <v>-1.0932306281674795</v>
      </c>
      <c r="I114" s="113">
        <f t="shared" si="43"/>
        <v>-1.054148968223924</v>
      </c>
      <c r="J114" s="113">
        <f t="shared" si="43"/>
        <v>-1.1749307175217161</v>
      </c>
      <c r="K114" s="113">
        <f t="shared" si="43"/>
        <v>4.1388837213394016E-2</v>
      </c>
      <c r="L114" s="113">
        <f t="shared" si="43"/>
        <v>0.44316099025617317</v>
      </c>
      <c r="M114" s="113">
        <f t="shared" si="43"/>
        <v>2.9490298010060707E-2</v>
      </c>
      <c r="N114" s="113">
        <f t="shared" si="43"/>
        <v>-3.7585421412300681E-3</v>
      </c>
      <c r="O114" s="113">
        <f t="shared" si="43"/>
        <v>7.4498567335243557E-2</v>
      </c>
      <c r="P114" s="113">
        <f t="shared" si="43"/>
        <v>3.9951337279300135E-2</v>
      </c>
      <c r="Q114" s="113">
        <f t="shared" si="43"/>
        <v>2.3095854068135913E-2</v>
      </c>
      <c r="R114" s="113">
        <f t="shared" si="43"/>
        <v>1.8926320992284053E-2</v>
      </c>
      <c r="S114" s="113">
        <f t="shared" si="43"/>
        <v>1.3397438516528968E-2</v>
      </c>
    </row>
    <row r="115" spans="1:20" s="4" customFormat="1" x14ac:dyDescent="0.2">
      <c r="A115" s="8" t="s">
        <v>423</v>
      </c>
      <c r="B115" s="2" t="s">
        <v>424</v>
      </c>
      <c r="C115" s="8" t="s">
        <v>204</v>
      </c>
      <c r="D115" s="10"/>
      <c r="E115" s="109"/>
      <c r="F115" s="8"/>
      <c r="G115" s="46" t="s">
        <v>205</v>
      </c>
      <c r="H115" s="105">
        <f t="shared" ref="H115:S115" si="44">H29+H30</f>
        <v>0</v>
      </c>
      <c r="I115" s="105">
        <f t="shared" si="44"/>
        <v>0</v>
      </c>
      <c r="J115" s="105">
        <f t="shared" si="44"/>
        <v>0</v>
      </c>
      <c r="K115" s="105">
        <f t="shared" si="44"/>
        <v>0</v>
      </c>
      <c r="L115" s="105">
        <f t="shared" si="44"/>
        <v>5974.7759999999998</v>
      </c>
      <c r="M115" s="105">
        <f t="shared" si="44"/>
        <v>5958.8559999999998</v>
      </c>
      <c r="N115" s="105">
        <f t="shared" si="44"/>
        <v>5639</v>
      </c>
      <c r="O115" s="105">
        <f t="shared" si="44"/>
        <v>6001</v>
      </c>
      <c r="P115" s="105">
        <f t="shared" si="44"/>
        <v>6381.2800000000007</v>
      </c>
      <c r="Q115" s="105">
        <f t="shared" si="44"/>
        <v>6603.4124000000011</v>
      </c>
      <c r="R115" s="105">
        <f t="shared" si="44"/>
        <v>6786.2952220000006</v>
      </c>
      <c r="S115" s="105">
        <f t="shared" si="44"/>
        <v>6917.0645286600011</v>
      </c>
    </row>
    <row r="116" spans="1:20" s="4" customFormat="1" x14ac:dyDescent="0.2">
      <c r="A116" s="8"/>
      <c r="B116" s="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</row>
    <row r="117" spans="1:20" s="4" customFormat="1" x14ac:dyDescent="0.2">
      <c r="A117" s="8"/>
      <c r="B117" s="2"/>
      <c r="C117" s="10"/>
      <c r="D117" s="10"/>
      <c r="E117" s="8"/>
      <c r="F117" s="8"/>
      <c r="G117" s="94" t="s">
        <v>206</v>
      </c>
      <c r="H117" s="87">
        <f t="shared" ref="H117:S117" si="45">H105</f>
        <v>2011</v>
      </c>
      <c r="I117" s="87">
        <f t="shared" si="45"/>
        <v>2012</v>
      </c>
      <c r="J117" s="87">
        <f t="shared" si="45"/>
        <v>2013</v>
      </c>
      <c r="K117" s="87">
        <f t="shared" si="45"/>
        <v>2014</v>
      </c>
      <c r="L117" s="87">
        <f t="shared" si="45"/>
        <v>2015</v>
      </c>
      <c r="M117" s="87">
        <f t="shared" si="45"/>
        <v>2016</v>
      </c>
      <c r="N117" s="87">
        <f t="shared" si="45"/>
        <v>2017</v>
      </c>
      <c r="O117" s="87">
        <f t="shared" si="45"/>
        <v>2018</v>
      </c>
      <c r="P117" s="87">
        <f t="shared" si="45"/>
        <v>2019</v>
      </c>
      <c r="Q117" s="87">
        <f t="shared" si="45"/>
        <v>2020</v>
      </c>
      <c r="R117" s="87">
        <f t="shared" si="45"/>
        <v>2021</v>
      </c>
      <c r="S117" s="87">
        <f t="shared" si="45"/>
        <v>2022</v>
      </c>
    </row>
    <row r="118" spans="1:20" s="4" customFormat="1" x14ac:dyDescent="0.2">
      <c r="A118" s="34" t="s">
        <v>425</v>
      </c>
      <c r="B118" s="2" t="s">
        <v>426</v>
      </c>
      <c r="C118" s="10" t="s">
        <v>208</v>
      </c>
      <c r="D118" s="10"/>
      <c r="E118" s="109"/>
      <c r="F118" s="37"/>
      <c r="G118" s="103" t="s">
        <v>209</v>
      </c>
      <c r="H118" s="105">
        <f t="shared" ref="H118:S118" si="46">H6+H12</f>
        <v>21.997</v>
      </c>
      <c r="I118" s="77">
        <f t="shared" si="46"/>
        <v>64.602999999999994</v>
      </c>
      <c r="J118" s="77">
        <f t="shared" si="46"/>
        <v>87.647000000000006</v>
      </c>
      <c r="K118" s="77">
        <f t="shared" si="46"/>
        <v>374.863</v>
      </c>
      <c r="L118" s="77">
        <f t="shared" si="46"/>
        <v>132.35599999999999</v>
      </c>
      <c r="M118" s="77">
        <f t="shared" si="46"/>
        <v>245.82499999999999</v>
      </c>
      <c r="N118" s="77">
        <f t="shared" si="46"/>
        <v>75</v>
      </c>
      <c r="O118" s="77">
        <f t="shared" si="46"/>
        <v>135</v>
      </c>
      <c r="P118" s="77">
        <f t="shared" si="46"/>
        <v>150</v>
      </c>
      <c r="Q118" s="77">
        <f t="shared" si="46"/>
        <v>180</v>
      </c>
      <c r="R118" s="77">
        <f t="shared" si="46"/>
        <v>170</v>
      </c>
      <c r="S118" s="77">
        <f t="shared" si="46"/>
        <v>188</v>
      </c>
    </row>
    <row r="119" spans="1:20" s="4" customFormat="1" x14ac:dyDescent="0.2">
      <c r="A119" s="8" t="s">
        <v>427</v>
      </c>
      <c r="B119" s="2" t="s">
        <v>428</v>
      </c>
      <c r="C119" s="8" t="s">
        <v>42</v>
      </c>
      <c r="D119" s="10"/>
      <c r="E119" s="109"/>
      <c r="F119" s="37"/>
      <c r="G119" s="110" t="s">
        <v>211</v>
      </c>
      <c r="H119" s="105">
        <f t="shared" ref="H119:S119" si="47">H19</f>
        <v>13131.633000000002</v>
      </c>
      <c r="I119" s="105">
        <f t="shared" si="47"/>
        <v>11512.879000000001</v>
      </c>
      <c r="J119" s="105">
        <f t="shared" si="47"/>
        <v>9914.094000000001</v>
      </c>
      <c r="K119" s="105">
        <f t="shared" si="47"/>
        <v>9697.2379999999994</v>
      </c>
      <c r="L119" s="105">
        <f t="shared" si="47"/>
        <v>2969.6860000000001</v>
      </c>
      <c r="M119" s="105">
        <f t="shared" si="47"/>
        <v>2979.3720000000003</v>
      </c>
      <c r="N119" s="105">
        <f t="shared" si="47"/>
        <v>2583</v>
      </c>
      <c r="O119" s="105">
        <f t="shared" si="47"/>
        <v>1969</v>
      </c>
      <c r="P119" s="105">
        <f t="shared" si="47"/>
        <v>1529</v>
      </c>
      <c r="Q119" s="105">
        <f t="shared" si="47"/>
        <v>1224</v>
      </c>
      <c r="R119" s="105">
        <f t="shared" si="47"/>
        <v>1077</v>
      </c>
      <c r="S119" s="105">
        <f t="shared" si="47"/>
        <v>950</v>
      </c>
    </row>
    <row r="120" spans="1:20" s="4" customFormat="1" x14ac:dyDescent="0.2">
      <c r="A120" s="8" t="s">
        <v>429</v>
      </c>
      <c r="B120" s="2" t="s">
        <v>203</v>
      </c>
      <c r="C120" s="8" t="s">
        <v>430</v>
      </c>
      <c r="D120" s="10"/>
      <c r="E120" s="109"/>
      <c r="F120" s="37"/>
      <c r="G120" s="110" t="s">
        <v>212</v>
      </c>
      <c r="H120" s="105">
        <f t="shared" ref="H120:S120" si="48">H119-H118</f>
        <v>13109.636000000002</v>
      </c>
      <c r="I120" s="77">
        <f t="shared" si="48"/>
        <v>11448.276000000002</v>
      </c>
      <c r="J120" s="77">
        <f t="shared" si="48"/>
        <v>9826.4470000000001</v>
      </c>
      <c r="K120" s="77">
        <f t="shared" si="48"/>
        <v>9322.375</v>
      </c>
      <c r="L120" s="77">
        <f t="shared" si="48"/>
        <v>2837.33</v>
      </c>
      <c r="M120" s="77">
        <f>M119-M118</f>
        <v>2733.5470000000005</v>
      </c>
      <c r="N120" s="77">
        <f t="shared" si="48"/>
        <v>2508</v>
      </c>
      <c r="O120" s="77">
        <f t="shared" si="48"/>
        <v>1834</v>
      </c>
      <c r="P120" s="77">
        <f t="shared" si="48"/>
        <v>1379</v>
      </c>
      <c r="Q120" s="77">
        <f t="shared" si="48"/>
        <v>1044</v>
      </c>
      <c r="R120" s="77">
        <f t="shared" si="48"/>
        <v>907</v>
      </c>
      <c r="S120" s="77">
        <f t="shared" si="48"/>
        <v>762</v>
      </c>
    </row>
    <row r="121" spans="1:20" s="4" customFormat="1" x14ac:dyDescent="0.2">
      <c r="A121" s="34" t="s">
        <v>431</v>
      </c>
      <c r="B121" s="2" t="s">
        <v>207</v>
      </c>
      <c r="C121" s="8" t="s">
        <v>432</v>
      </c>
      <c r="D121" s="10"/>
      <c r="E121" s="106">
        <v>0.4</v>
      </c>
      <c r="F121" s="114" t="s">
        <v>433</v>
      </c>
      <c r="G121" s="46" t="s">
        <v>213</v>
      </c>
      <c r="H121" s="115">
        <f t="shared" ref="H121:S121" si="49">H120/H33</f>
        <v>4.1941292717081016</v>
      </c>
      <c r="I121" s="108">
        <f t="shared" si="49"/>
        <v>3.5378681520739828</v>
      </c>
      <c r="J121" s="108">
        <f t="shared" si="49"/>
        <v>3.1033645624268682</v>
      </c>
      <c r="K121" s="108">
        <f t="shared" si="49"/>
        <v>1.2060208836845987</v>
      </c>
      <c r="L121" s="108">
        <f t="shared" si="49"/>
        <v>0.17250784342122366</v>
      </c>
      <c r="M121" s="108">
        <f t="shared" si="49"/>
        <v>0.32616553102319601</v>
      </c>
      <c r="N121" s="108">
        <f t="shared" si="49"/>
        <v>0.28564920273348521</v>
      </c>
      <c r="O121" s="108">
        <f t="shared" si="49"/>
        <v>0.20211593564029093</v>
      </c>
      <c r="P121" s="108">
        <f t="shared" si="49"/>
        <v>0.14487455061574311</v>
      </c>
      <c r="Q121" s="108">
        <f t="shared" si="49"/>
        <v>0.10854819759356964</v>
      </c>
      <c r="R121" s="108">
        <f t="shared" si="49"/>
        <v>9.3864327727847932E-2</v>
      </c>
      <c r="S121" s="108">
        <f t="shared" si="49"/>
        <v>7.8067617014579954E-2</v>
      </c>
    </row>
    <row r="122" spans="1:20" s="4" customFormat="1" x14ac:dyDescent="0.2">
      <c r="A122" s="8" t="s">
        <v>434</v>
      </c>
      <c r="B122" s="2" t="s">
        <v>210</v>
      </c>
      <c r="C122" s="8" t="s">
        <v>435</v>
      </c>
      <c r="D122" s="116">
        <v>0</v>
      </c>
      <c r="E122" s="116">
        <v>5</v>
      </c>
      <c r="F122" s="37"/>
      <c r="G122" s="100" t="s">
        <v>215</v>
      </c>
      <c r="H122" s="111">
        <f t="shared" ref="H122:S122" si="50">H120/H110</f>
        <v>-4.5033582038281326</v>
      </c>
      <c r="I122" s="111">
        <f t="shared" si="50"/>
        <v>-3.9558536272692995</v>
      </c>
      <c r="J122" s="111">
        <f t="shared" si="50"/>
        <v>-3.1018373430843482</v>
      </c>
      <c r="K122" s="111">
        <f t="shared" si="50"/>
        <v>11.209277522466948</v>
      </c>
      <c r="L122" s="111">
        <f t="shared" si="50"/>
        <v>0.3611751223199996</v>
      </c>
      <c r="M122" s="111">
        <f>M120/M110</f>
        <v>3.2435459469721644</v>
      </c>
      <c r="N122" s="111">
        <f t="shared" si="50"/>
        <v>4.8888888888888893</v>
      </c>
      <c r="O122" s="111">
        <f t="shared" si="50"/>
        <v>1.4983660130718954</v>
      </c>
      <c r="P122" s="111">
        <f t="shared" si="50"/>
        <v>1.4823494001805897</v>
      </c>
      <c r="Q122" s="111">
        <f t="shared" si="50"/>
        <v>1.3520997176131961</v>
      </c>
      <c r="R122" s="111">
        <f t="shared" si="50"/>
        <v>1.2375784678986521</v>
      </c>
      <c r="S122" s="111">
        <f t="shared" si="50"/>
        <v>1.1193219091185744</v>
      </c>
    </row>
    <row r="123" spans="1:20" s="4" customFormat="1" x14ac:dyDescent="0.2">
      <c r="A123" s="8" t="s">
        <v>436</v>
      </c>
      <c r="B123" s="2" t="s">
        <v>437</v>
      </c>
      <c r="C123" s="8" t="s">
        <v>217</v>
      </c>
      <c r="D123" s="10"/>
      <c r="E123" s="109"/>
      <c r="F123" s="37"/>
      <c r="G123" s="110" t="s">
        <v>218</v>
      </c>
      <c r="H123" s="105">
        <f t="shared" ref="H123:S123" si="51">-(H75+H77+H78+H79+H80+H81)</f>
        <v>1634.4749999999999</v>
      </c>
      <c r="I123" s="105">
        <f t="shared" si="51"/>
        <v>2183.7860000000001</v>
      </c>
      <c r="J123" s="105">
        <f t="shared" si="51"/>
        <v>2210.721</v>
      </c>
      <c r="K123" s="105">
        <f t="shared" si="51"/>
        <v>933.86899999999991</v>
      </c>
      <c r="L123" s="105">
        <f t="shared" si="51"/>
        <v>7709.0439999999999</v>
      </c>
      <c r="M123" s="105">
        <f t="shared" si="51"/>
        <v>639.12200000000007</v>
      </c>
      <c r="N123" s="105">
        <f t="shared" si="51"/>
        <v>638</v>
      </c>
      <c r="O123" s="105">
        <f t="shared" si="51"/>
        <v>639</v>
      </c>
      <c r="P123" s="105">
        <f t="shared" si="51"/>
        <v>639</v>
      </c>
      <c r="Q123" s="105">
        <f t="shared" si="51"/>
        <v>639</v>
      </c>
      <c r="R123" s="105">
        <f t="shared" si="51"/>
        <v>169</v>
      </c>
      <c r="S123" s="105">
        <f t="shared" si="51"/>
        <v>0</v>
      </c>
    </row>
    <row r="124" spans="1:20" s="4" customFormat="1" x14ac:dyDescent="0.2">
      <c r="A124" s="8" t="s">
        <v>438</v>
      </c>
      <c r="B124" s="2" t="s">
        <v>439</v>
      </c>
      <c r="C124" s="8" t="s">
        <v>440</v>
      </c>
      <c r="D124" s="10"/>
      <c r="E124" s="116">
        <v>1.2</v>
      </c>
      <c r="F124" s="114" t="s">
        <v>433</v>
      </c>
      <c r="G124" s="110" t="s">
        <v>220</v>
      </c>
      <c r="H124" s="117">
        <f t="shared" ref="H124:S124" si="52">H110/H123</f>
        <v>-1.7810489606754465</v>
      </c>
      <c r="I124" s="111">
        <f t="shared" si="52"/>
        <v>-1.3252255486572406</v>
      </c>
      <c r="J124" s="111">
        <f t="shared" si="52"/>
        <v>-1.4329913182169975</v>
      </c>
      <c r="K124" s="111">
        <f t="shared" si="52"/>
        <v>0.89055959668861517</v>
      </c>
      <c r="L124" s="111">
        <f t="shared" si="52"/>
        <v>1.0190406229358659</v>
      </c>
      <c r="M124" s="111">
        <f t="shared" si="52"/>
        <v>1.3186293070806532</v>
      </c>
      <c r="N124" s="111">
        <f t="shared" si="52"/>
        <v>0.8040752351097179</v>
      </c>
      <c r="O124" s="111">
        <f t="shared" si="52"/>
        <v>1.9154929577464788</v>
      </c>
      <c r="P124" s="111">
        <f t="shared" si="52"/>
        <v>1.4558372456964017</v>
      </c>
      <c r="Q124" s="111">
        <f t="shared" si="52"/>
        <v>1.2083449139280131</v>
      </c>
      <c r="R124" s="111">
        <f t="shared" si="52"/>
        <v>4.3365847455621278</v>
      </c>
      <c r="S124" s="111" t="e">
        <f t="shared" si="52"/>
        <v>#DIV/0!</v>
      </c>
    </row>
    <row r="125" spans="1:20" s="4" customFormat="1" x14ac:dyDescent="0.2">
      <c r="A125" s="38" t="s">
        <v>441</v>
      </c>
      <c r="B125" s="2" t="s">
        <v>442</v>
      </c>
      <c r="C125" s="8" t="s">
        <v>222</v>
      </c>
      <c r="D125" s="10"/>
      <c r="E125" s="116">
        <v>0</v>
      </c>
      <c r="F125" s="37"/>
      <c r="G125" s="103" t="s">
        <v>223</v>
      </c>
      <c r="H125" s="105">
        <f t="shared" ref="H125:S125" si="53">H5-H20</f>
        <v>-2318.5859999999998</v>
      </c>
      <c r="I125" s="105">
        <f t="shared" si="53"/>
        <v>-1892.2629999999999</v>
      </c>
      <c r="J125" s="105">
        <f t="shared" si="53"/>
        <v>-1077.018</v>
      </c>
      <c r="K125" s="105">
        <f t="shared" si="53"/>
        <v>-1347.9789999999998</v>
      </c>
      <c r="L125" s="105">
        <f t="shared" si="53"/>
        <v>-1013.6310000000001</v>
      </c>
      <c r="M125" s="105">
        <f t="shared" si="53"/>
        <v>-1105.0160000000001</v>
      </c>
      <c r="N125" s="105">
        <f t="shared" si="53"/>
        <v>486</v>
      </c>
      <c r="O125" s="105">
        <f t="shared" si="53"/>
        <v>585</v>
      </c>
      <c r="P125" s="105">
        <f t="shared" si="53"/>
        <v>569</v>
      </c>
      <c r="Q125" s="105">
        <f t="shared" si="53"/>
        <v>530</v>
      </c>
      <c r="R125" s="105">
        <f t="shared" si="53"/>
        <v>610</v>
      </c>
      <c r="S125" s="105">
        <f t="shared" si="53"/>
        <v>658</v>
      </c>
    </row>
    <row r="126" spans="1:20" s="4" customFormat="1" x14ac:dyDescent="0.2">
      <c r="A126" s="34" t="s">
        <v>443</v>
      </c>
      <c r="B126" s="2" t="s">
        <v>444</v>
      </c>
      <c r="C126" s="8" t="s">
        <v>225</v>
      </c>
      <c r="D126" s="10"/>
      <c r="E126" s="116">
        <v>1</v>
      </c>
      <c r="F126" s="114" t="s">
        <v>433</v>
      </c>
      <c r="G126" s="110" t="s">
        <v>226</v>
      </c>
      <c r="H126" s="117">
        <f t="shared" ref="H126:S126" si="54">H5/H20</f>
        <v>8.947370901311015E-2</v>
      </c>
      <c r="I126" s="117">
        <f t="shared" si="54"/>
        <v>0.12891949011124987</v>
      </c>
      <c r="J126" s="117">
        <f t="shared" si="54"/>
        <v>0.22193598164464234</v>
      </c>
      <c r="K126" s="117">
        <f t="shared" si="54"/>
        <v>0.31278820138882169</v>
      </c>
      <c r="L126" s="117">
        <f t="shared" si="54"/>
        <v>0.28637737767195481</v>
      </c>
      <c r="M126" s="117">
        <f t="shared" si="54"/>
        <v>0.37977593677735122</v>
      </c>
      <c r="N126" s="117" t="e">
        <f t="shared" si="54"/>
        <v>#DIV/0!</v>
      </c>
      <c r="O126" s="117" t="e">
        <f t="shared" si="54"/>
        <v>#DIV/0!</v>
      </c>
      <c r="P126" s="117" t="e">
        <f t="shared" si="54"/>
        <v>#DIV/0!</v>
      </c>
      <c r="Q126" s="117" t="e">
        <f t="shared" si="54"/>
        <v>#DIV/0!</v>
      </c>
      <c r="R126" s="117" t="e">
        <f t="shared" si="54"/>
        <v>#DIV/0!</v>
      </c>
      <c r="S126" s="117" t="e">
        <f t="shared" si="54"/>
        <v>#DIV/0!</v>
      </c>
    </row>
    <row r="127" spans="1:20" s="4" customFormat="1" x14ac:dyDescent="0.2">
      <c r="A127" s="34" t="s">
        <v>445</v>
      </c>
      <c r="B127" s="2" t="s">
        <v>214</v>
      </c>
      <c r="C127" s="34" t="s">
        <v>228</v>
      </c>
      <c r="D127" s="10"/>
      <c r="E127" s="116">
        <v>1</v>
      </c>
      <c r="F127" s="37"/>
      <c r="G127" s="46" t="s">
        <v>229</v>
      </c>
      <c r="H127" s="117">
        <f t="shared" ref="H127:S127" si="55">-H6/((H38+H41-H45+H47)/12)</f>
        <v>4.0026269305263006E-2</v>
      </c>
      <c r="I127" s="117">
        <f t="shared" si="55"/>
        <v>0.11530241234404331</v>
      </c>
      <c r="J127" s="117">
        <f t="shared" si="55"/>
        <v>0.15282542737150887</v>
      </c>
      <c r="K127" s="117">
        <f t="shared" si="55"/>
        <v>0.60464659268016152</v>
      </c>
      <c r="L127" s="117">
        <f t="shared" si="55"/>
        <v>0.16400435838191352</v>
      </c>
      <c r="M127" s="117">
        <f t="shared" si="55"/>
        <v>0.37813573276921264</v>
      </c>
      <c r="N127" s="117">
        <f t="shared" si="55"/>
        <v>0.10521393500116903</v>
      </c>
      <c r="O127" s="117">
        <f t="shared" si="55"/>
        <v>0.19843214110730034</v>
      </c>
      <c r="P127" s="117">
        <f t="shared" si="55"/>
        <v>0.20958746201227252</v>
      </c>
      <c r="Q127" s="117">
        <f t="shared" si="55"/>
        <v>0.24418602679376397</v>
      </c>
      <c r="R127" s="117">
        <f t="shared" si="55"/>
        <v>0.22844344904815231</v>
      </c>
      <c r="S127" s="117">
        <f t="shared" si="55"/>
        <v>0.24845814977973568</v>
      </c>
    </row>
    <row r="128" spans="1:20" s="4" customFormat="1" x14ac:dyDescent="0.2">
      <c r="A128" s="34"/>
      <c r="B128" s="2"/>
      <c r="C128" s="34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</row>
    <row r="129" spans="1:21" s="4" customFormat="1" x14ac:dyDescent="0.2">
      <c r="A129" s="8"/>
      <c r="B129" s="2"/>
      <c r="C129" s="8"/>
      <c r="D129" s="10"/>
      <c r="E129" s="9"/>
      <c r="F129" s="37"/>
      <c r="G129" s="94" t="s">
        <v>230</v>
      </c>
      <c r="H129" s="87">
        <f t="shared" ref="H129:S129" si="56">H117</f>
        <v>2011</v>
      </c>
      <c r="I129" s="87">
        <f t="shared" si="56"/>
        <v>2012</v>
      </c>
      <c r="J129" s="87">
        <f t="shared" si="56"/>
        <v>2013</v>
      </c>
      <c r="K129" s="87">
        <f t="shared" si="56"/>
        <v>2014</v>
      </c>
      <c r="L129" s="87">
        <f t="shared" si="56"/>
        <v>2015</v>
      </c>
      <c r="M129" s="87">
        <f t="shared" si="56"/>
        <v>2016</v>
      </c>
      <c r="N129" s="87">
        <f t="shared" si="56"/>
        <v>2017</v>
      </c>
      <c r="O129" s="87">
        <f t="shared" si="56"/>
        <v>2018</v>
      </c>
      <c r="P129" s="87">
        <f t="shared" si="56"/>
        <v>2019</v>
      </c>
      <c r="Q129" s="87">
        <f t="shared" si="56"/>
        <v>2020</v>
      </c>
      <c r="R129" s="87">
        <f t="shared" si="56"/>
        <v>2021</v>
      </c>
      <c r="S129" s="87">
        <f t="shared" si="56"/>
        <v>2022</v>
      </c>
    </row>
    <row r="130" spans="1:21" s="4" customFormat="1" x14ac:dyDescent="0.2">
      <c r="A130" s="34" t="s">
        <v>446</v>
      </c>
      <c r="B130" s="2" t="s">
        <v>216</v>
      </c>
      <c r="C130" s="34" t="s">
        <v>232</v>
      </c>
      <c r="D130" s="10"/>
      <c r="E130" s="106">
        <v>0.6</v>
      </c>
      <c r="F130" s="37"/>
      <c r="G130" s="103" t="s">
        <v>233</v>
      </c>
      <c r="H130" s="115">
        <f t="shared" ref="H130:S130" si="57">H17/H4</f>
        <v>0</v>
      </c>
      <c r="I130" s="115">
        <f t="shared" si="57"/>
        <v>0</v>
      </c>
      <c r="J130" s="115">
        <f t="shared" si="57"/>
        <v>0</v>
      </c>
      <c r="K130" s="115">
        <f t="shared" si="57"/>
        <v>0</v>
      </c>
      <c r="L130" s="115">
        <f t="shared" si="57"/>
        <v>0</v>
      </c>
      <c r="M130" s="115">
        <f t="shared" si="57"/>
        <v>0</v>
      </c>
      <c r="N130" s="115">
        <f t="shared" si="57"/>
        <v>0</v>
      </c>
      <c r="O130" s="115">
        <f t="shared" si="57"/>
        <v>0</v>
      </c>
      <c r="P130" s="115">
        <f t="shared" si="57"/>
        <v>0</v>
      </c>
      <c r="Q130" s="115">
        <f t="shared" si="57"/>
        <v>0</v>
      </c>
      <c r="R130" s="115">
        <f t="shared" si="57"/>
        <v>0</v>
      </c>
      <c r="S130" s="115">
        <f t="shared" si="57"/>
        <v>0</v>
      </c>
    </row>
    <row r="131" spans="1:21" s="4" customFormat="1" x14ac:dyDescent="0.2">
      <c r="A131" s="34" t="s">
        <v>447</v>
      </c>
      <c r="B131" s="2" t="s">
        <v>219</v>
      </c>
      <c r="C131" s="34" t="s">
        <v>235</v>
      </c>
      <c r="D131" s="10"/>
      <c r="E131" s="106">
        <v>0.4</v>
      </c>
      <c r="F131" s="37"/>
      <c r="G131" s="46" t="s">
        <v>236</v>
      </c>
      <c r="H131" s="115" t="e">
        <f t="shared" ref="H131:S131" si="58">H27/H17</f>
        <v>#DIV/0!</v>
      </c>
      <c r="I131" s="115" t="e">
        <f t="shared" si="58"/>
        <v>#DIV/0!</v>
      </c>
      <c r="J131" s="115" t="e">
        <f t="shared" si="58"/>
        <v>#DIV/0!</v>
      </c>
      <c r="K131" s="115" t="e">
        <f t="shared" si="58"/>
        <v>#DIV/0!</v>
      </c>
      <c r="L131" s="115" t="e">
        <f t="shared" si="58"/>
        <v>#DIV/0!</v>
      </c>
      <c r="M131" s="115" t="e">
        <f t="shared" si="58"/>
        <v>#DIV/0!</v>
      </c>
      <c r="N131" s="115" t="e">
        <f t="shared" si="58"/>
        <v>#DIV/0!</v>
      </c>
      <c r="O131" s="115" t="e">
        <f t="shared" si="58"/>
        <v>#DIV/0!</v>
      </c>
      <c r="P131" s="115" t="e">
        <f t="shared" si="58"/>
        <v>#DIV/0!</v>
      </c>
      <c r="Q131" s="115" t="e">
        <f t="shared" si="58"/>
        <v>#DIV/0!</v>
      </c>
      <c r="R131" s="115" t="e">
        <f t="shared" si="58"/>
        <v>#DIV/0!</v>
      </c>
      <c r="S131" s="115" t="e">
        <f t="shared" si="58"/>
        <v>#DIV/0!</v>
      </c>
    </row>
    <row r="132" spans="1:21" s="4" customFormat="1" x14ac:dyDescent="0.2">
      <c r="A132" s="34"/>
      <c r="B132" s="2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</row>
    <row r="133" spans="1:21" s="4" customFormat="1" x14ac:dyDescent="0.2">
      <c r="A133" s="8"/>
      <c r="B133" s="2"/>
      <c r="C133" s="8"/>
      <c r="D133" s="10"/>
      <c r="E133" s="9"/>
      <c r="F133" s="37"/>
      <c r="G133" s="94" t="s">
        <v>237</v>
      </c>
      <c r="H133" s="87">
        <f t="shared" ref="H133:S133" si="59">H117</f>
        <v>2011</v>
      </c>
      <c r="I133" s="87">
        <f t="shared" si="59"/>
        <v>2012</v>
      </c>
      <c r="J133" s="87">
        <f t="shared" si="59"/>
        <v>2013</v>
      </c>
      <c r="K133" s="87">
        <f t="shared" si="59"/>
        <v>2014</v>
      </c>
      <c r="L133" s="87">
        <f t="shared" si="59"/>
        <v>2015</v>
      </c>
      <c r="M133" s="87">
        <f t="shared" si="59"/>
        <v>2016</v>
      </c>
      <c r="N133" s="87">
        <f t="shared" si="59"/>
        <v>2017</v>
      </c>
      <c r="O133" s="87">
        <f t="shared" si="59"/>
        <v>2018</v>
      </c>
      <c r="P133" s="87">
        <f t="shared" si="59"/>
        <v>2019</v>
      </c>
      <c r="Q133" s="87">
        <f t="shared" si="59"/>
        <v>2020</v>
      </c>
      <c r="R133" s="87">
        <f t="shared" si="59"/>
        <v>2021</v>
      </c>
      <c r="S133" s="87">
        <f t="shared" si="59"/>
        <v>2022</v>
      </c>
    </row>
    <row r="134" spans="1:21" s="4" customFormat="1" x14ac:dyDescent="0.2">
      <c r="A134" s="34" t="s">
        <v>448</v>
      </c>
      <c r="B134" s="2" t="s">
        <v>221</v>
      </c>
      <c r="C134" s="39" t="s">
        <v>239</v>
      </c>
      <c r="D134" s="10"/>
      <c r="E134" s="109"/>
      <c r="F134" s="37"/>
      <c r="G134" s="110" t="s">
        <v>240</v>
      </c>
      <c r="H134" s="118">
        <f t="shared" ref="H134:S134" si="60">H10/H4</f>
        <v>0.98975941331854289</v>
      </c>
      <c r="I134" s="118">
        <f t="shared" si="60"/>
        <v>0.98723220787647314</v>
      </c>
      <c r="J134" s="118">
        <f t="shared" si="60"/>
        <v>0.98580844556630454</v>
      </c>
      <c r="K134" s="118">
        <f t="shared" si="60"/>
        <v>0.97156971862251085</v>
      </c>
      <c r="L134" s="118">
        <f t="shared" si="60"/>
        <v>0.98067527622001593</v>
      </c>
      <c r="M134" s="118">
        <f t="shared" si="60"/>
        <v>0.96784567688912304</v>
      </c>
      <c r="N134" s="118">
        <f t="shared" si="60"/>
        <v>0.97609091356324096</v>
      </c>
      <c r="O134" s="118">
        <f t="shared" si="60"/>
        <v>0.97085927770859282</v>
      </c>
      <c r="P134" s="118">
        <f t="shared" si="60"/>
        <v>0.97157132150886838</v>
      </c>
      <c r="Q134" s="118">
        <f t="shared" si="60"/>
        <v>0.97340959261489057</v>
      </c>
      <c r="R134" s="118">
        <f t="shared" si="60"/>
        <v>0.96945112179487181</v>
      </c>
      <c r="S134" s="118">
        <f t="shared" si="60"/>
        <v>0.96705387542559584</v>
      </c>
    </row>
    <row r="135" spans="1:21" s="4" customFormat="1" x14ac:dyDescent="0.2">
      <c r="A135" s="34" t="s">
        <v>449</v>
      </c>
      <c r="B135" s="2" t="s">
        <v>224</v>
      </c>
      <c r="C135" s="39" t="s">
        <v>242</v>
      </c>
      <c r="D135" s="10"/>
      <c r="E135" s="109"/>
      <c r="F135" s="37"/>
      <c r="G135" s="110" t="s">
        <v>243</v>
      </c>
      <c r="H135" s="118">
        <f t="shared" ref="H135:S135" si="61">-(H58)/H15</f>
        <v>4.1879396951217347E-2</v>
      </c>
      <c r="I135" s="118">
        <f t="shared" si="61"/>
        <v>3.4179428477024952E-3</v>
      </c>
      <c r="J135" s="118">
        <f t="shared" si="61"/>
        <v>1.1443979645195015E-2</v>
      </c>
      <c r="K135" s="118">
        <f t="shared" si="61"/>
        <v>8.8038944681136828E-3</v>
      </c>
      <c r="L135" s="118">
        <f t="shared" si="61"/>
        <v>1.1744275712581463E-2</v>
      </c>
      <c r="M135" s="118">
        <f t="shared" si="61"/>
        <v>1.5712157979463619E-2</v>
      </c>
      <c r="N135" s="118">
        <f t="shared" si="61"/>
        <v>1.0080137089864421E-3</v>
      </c>
      <c r="O135" s="118">
        <f t="shared" si="61"/>
        <v>1.0107747562852746E-2</v>
      </c>
      <c r="P135" s="118">
        <f t="shared" si="61"/>
        <v>2.6020775480818676E-2</v>
      </c>
      <c r="Q135" s="118">
        <f t="shared" si="61"/>
        <v>2.6079785589114526E-2</v>
      </c>
      <c r="R135" s="118">
        <f t="shared" si="61"/>
        <v>2.6139063952887696E-2</v>
      </c>
      <c r="S135" s="118">
        <f t="shared" si="61"/>
        <v>2.6198612405508956E-2</v>
      </c>
    </row>
    <row r="136" spans="1:21" s="4" customFormat="1" x14ac:dyDescent="0.2">
      <c r="A136" s="34" t="s">
        <v>450</v>
      </c>
      <c r="B136" s="2" t="s">
        <v>227</v>
      </c>
      <c r="C136" s="8" t="s">
        <v>245</v>
      </c>
      <c r="D136" s="10"/>
      <c r="E136" s="109"/>
      <c r="F136" s="37"/>
      <c r="G136" s="103" t="s">
        <v>246</v>
      </c>
      <c r="H136" s="111">
        <f t="shared" ref="H136:S136" si="62">H33/H4</f>
        <v>0.14049067511426597</v>
      </c>
      <c r="I136" s="111">
        <f t="shared" si="62"/>
        <v>0.14752732589901774</v>
      </c>
      <c r="J136" s="111">
        <f t="shared" si="62"/>
        <v>0.14627103637751668</v>
      </c>
      <c r="K136" s="111">
        <f t="shared" si="62"/>
        <v>0.35818716248192639</v>
      </c>
      <c r="L136" s="111">
        <f t="shared" si="62"/>
        <v>0.78138364340055211</v>
      </c>
      <c r="M136" s="111">
        <f t="shared" si="62"/>
        <v>0.39827262420247894</v>
      </c>
      <c r="N136" s="111">
        <f t="shared" si="62"/>
        <v>0.43193781669700398</v>
      </c>
      <c r="O136" s="111">
        <f t="shared" si="62"/>
        <v>0.45200498132004979</v>
      </c>
      <c r="P136" s="111">
        <f t="shared" si="62"/>
        <v>0.4755723207594304</v>
      </c>
      <c r="Q136" s="111">
        <f t="shared" si="62"/>
        <v>0.48253298213927354</v>
      </c>
      <c r="R136" s="111">
        <f t="shared" si="62"/>
        <v>0.483918410556891</v>
      </c>
      <c r="S136" s="111">
        <f t="shared" si="62"/>
        <v>0.48872267708091333</v>
      </c>
    </row>
    <row r="137" spans="1:21" s="4" customFormat="1" x14ac:dyDescent="0.2">
      <c r="A137" s="34" t="s">
        <v>451</v>
      </c>
      <c r="B137" s="2" t="s">
        <v>231</v>
      </c>
      <c r="C137" s="39" t="s">
        <v>248</v>
      </c>
      <c r="D137" s="10"/>
      <c r="E137" s="109"/>
      <c r="F137" s="37"/>
      <c r="G137" s="46" t="s">
        <v>249</v>
      </c>
      <c r="H137" s="111">
        <f t="shared" ref="H137:S137" si="63">H33/H15</f>
        <v>0.14560053803581152</v>
      </c>
      <c r="I137" s="111">
        <f t="shared" si="63"/>
        <v>0.15326700261147258</v>
      </c>
      <c r="J137" s="111">
        <f t="shared" si="63"/>
        <v>0.15215383948558842</v>
      </c>
      <c r="K137" s="111">
        <f t="shared" si="63"/>
        <v>0.36866851201349016</v>
      </c>
      <c r="L137" s="111">
        <f t="shared" si="63"/>
        <v>0.79678122039781851</v>
      </c>
      <c r="M137" s="111">
        <f t="shared" si="63"/>
        <v>0.41150426531078599</v>
      </c>
      <c r="N137" s="111">
        <f t="shared" si="63"/>
        <v>0.44251801824504811</v>
      </c>
      <c r="O137" s="111">
        <f t="shared" si="63"/>
        <v>0.46557208825038482</v>
      </c>
      <c r="P137" s="111">
        <f t="shared" si="63"/>
        <v>0.48948781240357914</v>
      </c>
      <c r="Q137" s="111">
        <f t="shared" si="63"/>
        <v>0.49571422533759407</v>
      </c>
      <c r="R137" s="111">
        <f t="shared" si="63"/>
        <v>0.49916741512552948</v>
      </c>
      <c r="S137" s="111">
        <f t="shared" si="63"/>
        <v>0.505372750681371</v>
      </c>
    </row>
    <row r="138" spans="1:21" s="4" customFormat="1" x14ac:dyDescent="0.2">
      <c r="A138" s="8" t="s">
        <v>452</v>
      </c>
      <c r="B138" s="2" t="s">
        <v>234</v>
      </c>
      <c r="C138" s="39" t="s">
        <v>251</v>
      </c>
      <c r="D138" s="106">
        <v>0.5</v>
      </c>
      <c r="E138" s="106">
        <f>1/3</f>
        <v>0.33333333333333331</v>
      </c>
      <c r="F138" s="114" t="s">
        <v>433</v>
      </c>
      <c r="G138" s="100" t="s">
        <v>252</v>
      </c>
      <c r="H138" s="118">
        <f t="shared" ref="H138:S138" si="64">H27/H4</f>
        <v>0.40977520762045855</v>
      </c>
      <c r="I138" s="118">
        <f t="shared" si="64"/>
        <v>0.47512249132196888</v>
      </c>
      <c r="J138" s="118">
        <f t="shared" si="64"/>
        <v>0.54201875312220205</v>
      </c>
      <c r="K138" s="118">
        <f t="shared" si="64"/>
        <v>0.55064826778198162</v>
      </c>
      <c r="L138" s="118">
        <f t="shared" si="64"/>
        <v>0.85891722618375099</v>
      </c>
      <c r="M138" s="118">
        <f t="shared" si="64"/>
        <v>0.85841517599804362</v>
      </c>
      <c r="N138" s="118">
        <f t="shared" si="64"/>
        <v>0.87292763319722533</v>
      </c>
      <c r="O138" s="118">
        <f t="shared" si="64"/>
        <v>0.90191780821917811</v>
      </c>
      <c r="P138" s="118">
        <f t="shared" si="64"/>
        <v>0.92362128403697219</v>
      </c>
      <c r="Q138" s="118">
        <f t="shared" si="64"/>
        <v>0.93861190046156939</v>
      </c>
      <c r="R138" s="118">
        <f t="shared" si="64"/>
        <v>0.94607848667868588</v>
      </c>
      <c r="S138" s="118">
        <f t="shared" si="64"/>
        <v>0.95243663772581622</v>
      </c>
    </row>
    <row r="139" spans="1:21" s="4" customFormat="1" x14ac:dyDescent="0.2">
      <c r="A139" s="8"/>
      <c r="B139" s="2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</row>
    <row r="140" spans="1:21" s="4" customFormat="1" x14ac:dyDescent="0.2">
      <c r="A140" s="40"/>
      <c r="B140" s="2"/>
      <c r="C140" s="2"/>
      <c r="D140" s="41"/>
      <c r="E140" s="42"/>
      <c r="F140" s="37"/>
      <c r="G140" s="94" t="s">
        <v>253</v>
      </c>
      <c r="H140" s="87">
        <f t="shared" ref="H140:S140" si="65">H133</f>
        <v>2011</v>
      </c>
      <c r="I140" s="87">
        <f t="shared" si="65"/>
        <v>2012</v>
      </c>
      <c r="J140" s="87">
        <f t="shared" si="65"/>
        <v>2013</v>
      </c>
      <c r="K140" s="87">
        <f t="shared" si="65"/>
        <v>2014</v>
      </c>
      <c r="L140" s="87">
        <f t="shared" si="65"/>
        <v>2015</v>
      </c>
      <c r="M140" s="87">
        <f t="shared" si="65"/>
        <v>2016</v>
      </c>
      <c r="N140" s="87">
        <f t="shared" si="65"/>
        <v>2017</v>
      </c>
      <c r="O140" s="87">
        <f t="shared" si="65"/>
        <v>2018</v>
      </c>
      <c r="P140" s="87">
        <f t="shared" si="65"/>
        <v>2019</v>
      </c>
      <c r="Q140" s="87">
        <f t="shared" si="65"/>
        <v>2020</v>
      </c>
      <c r="R140" s="87">
        <f t="shared" si="65"/>
        <v>2021</v>
      </c>
      <c r="S140" s="87">
        <f t="shared" si="65"/>
        <v>2022</v>
      </c>
    </row>
    <row r="141" spans="1:21" s="4" customFormat="1" x14ac:dyDescent="0.2">
      <c r="A141" s="8" t="s">
        <v>453</v>
      </c>
      <c r="B141" s="2" t="s">
        <v>238</v>
      </c>
      <c r="C141" s="8" t="s">
        <v>255</v>
      </c>
      <c r="D141" s="43"/>
      <c r="E141" s="106">
        <v>0.05</v>
      </c>
      <c r="F141" s="8"/>
      <c r="G141" s="103" t="s">
        <v>256</v>
      </c>
      <c r="H141" s="108">
        <f t="shared" ref="H141:S141" si="66">H35/H33</f>
        <v>0.71614394293010453</v>
      </c>
      <c r="I141" s="108">
        <f t="shared" si="66"/>
        <v>0.74887211539204401</v>
      </c>
      <c r="J141" s="108">
        <f t="shared" si="66"/>
        <v>0.81992935161074842</v>
      </c>
      <c r="K141" s="108">
        <f t="shared" si="66"/>
        <v>0.34662869789913453</v>
      </c>
      <c r="L141" s="108">
        <f t="shared" si="66"/>
        <v>0.21531399646220692</v>
      </c>
      <c r="M141" s="108">
        <f t="shared" si="66"/>
        <v>0.37958130301217369</v>
      </c>
      <c r="N141" s="108">
        <f t="shared" si="66"/>
        <v>0.39783599088838267</v>
      </c>
      <c r="O141" s="108">
        <f t="shared" si="66"/>
        <v>0.32907207405774741</v>
      </c>
      <c r="P141" s="108">
        <f t="shared" si="66"/>
        <v>0.32311332152484928</v>
      </c>
      <c r="Q141" s="108">
        <f t="shared" si="66"/>
        <v>0.32937176774087723</v>
      </c>
      <c r="R141" s="108">
        <f t="shared" si="66"/>
        <v>0.33767177788508634</v>
      </c>
      <c r="S141" s="108">
        <f t="shared" si="66"/>
        <v>0.3443139778302996</v>
      </c>
    </row>
    <row r="142" spans="1:21" s="4" customFormat="1" x14ac:dyDescent="0.2">
      <c r="A142" s="8" t="s">
        <v>454</v>
      </c>
      <c r="B142" s="2" t="s">
        <v>241</v>
      </c>
      <c r="C142" s="8" t="s">
        <v>258</v>
      </c>
      <c r="D142" s="10"/>
      <c r="E142" s="106">
        <v>0.95</v>
      </c>
      <c r="F142" s="8"/>
      <c r="G142" s="110" t="s">
        <v>259</v>
      </c>
      <c r="H142" s="118">
        <f t="shared" ref="H142:S142" si="67">(H36+H34)/H33</f>
        <v>0.28385317772500407</v>
      </c>
      <c r="I142" s="118">
        <f t="shared" si="67"/>
        <v>0.25079691278382532</v>
      </c>
      <c r="J142" s="118">
        <f t="shared" si="67"/>
        <v>0.18007064838925146</v>
      </c>
      <c r="K142" s="118">
        <f t="shared" si="67"/>
        <v>0.65337130210086547</v>
      </c>
      <c r="L142" s="118">
        <f t="shared" si="67"/>
        <v>0.78447053061180805</v>
      </c>
      <c r="M142" s="118">
        <f t="shared" si="67"/>
        <v>0.62041869698782626</v>
      </c>
      <c r="N142" s="118">
        <f t="shared" si="67"/>
        <v>0.60216400911161727</v>
      </c>
      <c r="O142" s="118">
        <f t="shared" si="67"/>
        <v>0.67092792594225259</v>
      </c>
      <c r="P142" s="118">
        <f t="shared" si="67"/>
        <v>0.67688667847515072</v>
      </c>
      <c r="Q142" s="118">
        <f t="shared" si="67"/>
        <v>0.67062823225912271</v>
      </c>
      <c r="R142" s="118">
        <f t="shared" si="67"/>
        <v>0.66232822211491371</v>
      </c>
      <c r="S142" s="118">
        <f t="shared" si="67"/>
        <v>0.6556860221697004</v>
      </c>
    </row>
    <row r="143" spans="1:21" s="4" customFormat="1" x14ac:dyDescent="0.2">
      <c r="A143" s="8" t="s">
        <v>455</v>
      </c>
      <c r="B143" s="2" t="s">
        <v>244</v>
      </c>
      <c r="C143" s="8" t="s">
        <v>261</v>
      </c>
      <c r="D143" s="10"/>
      <c r="E143" s="106">
        <v>0.95</v>
      </c>
      <c r="F143" s="8"/>
      <c r="G143" s="46" t="s">
        <v>262</v>
      </c>
      <c r="H143" s="108">
        <f t="shared" ref="H143:S143" si="68">H38/(H38+H41)</f>
        <v>1.9563387975302447E-5</v>
      </c>
      <c r="I143" s="108">
        <f t="shared" si="68"/>
        <v>1.9256598995768361E-5</v>
      </c>
      <c r="J143" s="108">
        <f t="shared" si="68"/>
        <v>1.8586637253313216E-5</v>
      </c>
      <c r="K143" s="108">
        <f t="shared" si="68"/>
        <v>0</v>
      </c>
      <c r="L143" s="108">
        <f t="shared" si="68"/>
        <v>0</v>
      </c>
      <c r="M143" s="108">
        <f t="shared" si="68"/>
        <v>0</v>
      </c>
      <c r="N143" s="108">
        <f t="shared" si="68"/>
        <v>0</v>
      </c>
      <c r="O143" s="108">
        <f t="shared" si="68"/>
        <v>0</v>
      </c>
      <c r="P143" s="108">
        <f t="shared" si="68"/>
        <v>0</v>
      </c>
      <c r="Q143" s="108">
        <f t="shared" si="68"/>
        <v>0</v>
      </c>
      <c r="R143" s="108">
        <f t="shared" si="68"/>
        <v>0</v>
      </c>
      <c r="S143" s="108">
        <f t="shared" si="68"/>
        <v>0</v>
      </c>
    </row>
    <row r="144" spans="1:21" s="4" customFormat="1" x14ac:dyDescent="0.2">
      <c r="A144" s="8"/>
      <c r="B144" s="2"/>
      <c r="C144" s="8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</row>
    <row r="145" spans="1:19" s="4" customFormat="1" x14ac:dyDescent="0.2">
      <c r="A145" s="40"/>
      <c r="B145" s="2"/>
      <c r="C145" s="119"/>
      <c r="D145" s="41"/>
      <c r="E145" s="42"/>
      <c r="F145" s="37"/>
      <c r="G145" s="94"/>
      <c r="H145" s="87">
        <f>H140</f>
        <v>2011</v>
      </c>
      <c r="I145" s="87">
        <f t="shared" ref="I145:S145" si="69">I140</f>
        <v>2012</v>
      </c>
      <c r="J145" s="87">
        <f t="shared" si="69"/>
        <v>2013</v>
      </c>
      <c r="K145" s="87">
        <f t="shared" si="69"/>
        <v>2014</v>
      </c>
      <c r="L145" s="87">
        <f t="shared" si="69"/>
        <v>2015</v>
      </c>
      <c r="M145" s="87">
        <f t="shared" si="69"/>
        <v>2016</v>
      </c>
      <c r="N145" s="87">
        <f t="shared" si="69"/>
        <v>2017</v>
      </c>
      <c r="O145" s="87">
        <f t="shared" si="69"/>
        <v>2018</v>
      </c>
      <c r="P145" s="87">
        <f t="shared" si="69"/>
        <v>2019</v>
      </c>
      <c r="Q145" s="87">
        <f t="shared" si="69"/>
        <v>2020</v>
      </c>
      <c r="R145" s="87">
        <f t="shared" si="69"/>
        <v>2021</v>
      </c>
      <c r="S145" s="87">
        <f t="shared" si="69"/>
        <v>2022</v>
      </c>
    </row>
    <row r="146" spans="1:19" s="4" customFormat="1" x14ac:dyDescent="0.2">
      <c r="A146" s="4" t="s">
        <v>456</v>
      </c>
      <c r="B146" s="2" t="s">
        <v>247</v>
      </c>
      <c r="C146" s="8" t="s">
        <v>264</v>
      </c>
      <c r="D146" s="120">
        <v>0.5</v>
      </c>
      <c r="E146" s="121" t="s">
        <v>265</v>
      </c>
      <c r="G146" s="103" t="s">
        <v>266</v>
      </c>
      <c r="H146" s="111">
        <f t="shared" ref="H146:S146" si="70">IF(H141&lt;$D$146,$E$146,H35/H4)</f>
        <v>0.10061154602124275</v>
      </c>
      <c r="I146" s="111">
        <f t="shared" si="70"/>
        <v>0.1104791006241289</v>
      </c>
      <c r="J146" s="111">
        <f t="shared" si="70"/>
        <v>0.11993191601644947</v>
      </c>
      <c r="K146" s="111" t="str">
        <f t="shared" si="70"/>
        <v>N/A</v>
      </c>
      <c r="L146" s="111" t="str">
        <f t="shared" si="70"/>
        <v>N/A</v>
      </c>
      <c r="M146" s="111" t="str">
        <f t="shared" si="70"/>
        <v>N/A</v>
      </c>
      <c r="N146" s="111" t="str">
        <f t="shared" si="70"/>
        <v>N/A</v>
      </c>
      <c r="O146" s="111" t="str">
        <f t="shared" si="70"/>
        <v>N/A</v>
      </c>
      <c r="P146" s="111" t="str">
        <f t="shared" si="70"/>
        <v>N/A</v>
      </c>
      <c r="Q146" s="111" t="str">
        <f t="shared" si="70"/>
        <v>N/A</v>
      </c>
      <c r="R146" s="111" t="str">
        <f t="shared" si="70"/>
        <v>N/A</v>
      </c>
      <c r="S146" s="111" t="str">
        <f t="shared" si="70"/>
        <v>N/A</v>
      </c>
    </row>
    <row r="147" spans="1:19" s="4" customFormat="1" x14ac:dyDescent="0.2">
      <c r="A147" s="4" t="s">
        <v>457</v>
      </c>
      <c r="B147" s="2" t="s">
        <v>250</v>
      </c>
      <c r="C147" s="8" t="s">
        <v>267</v>
      </c>
      <c r="D147" s="120">
        <v>0.5</v>
      </c>
      <c r="E147" s="121" t="s">
        <v>265</v>
      </c>
      <c r="G147" s="110" t="s">
        <v>268</v>
      </c>
      <c r="H147" s="111">
        <f t="shared" ref="H147:S147" si="71">IF(H141&lt;$D$147,$E$147,H35/H15)</f>
        <v>0.10427094340171073</v>
      </c>
      <c r="I147" s="111">
        <f t="shared" si="71"/>
        <v>0.11477738446545142</v>
      </c>
      <c r="J147" s="111">
        <f t="shared" si="71"/>
        <v>0.12475539895450441</v>
      </c>
      <c r="K147" s="111" t="str">
        <f t="shared" si="71"/>
        <v>N/A</v>
      </c>
      <c r="L147" s="111" t="str">
        <f t="shared" si="71"/>
        <v>N/A</v>
      </c>
      <c r="M147" s="111" t="str">
        <f t="shared" si="71"/>
        <v>N/A</v>
      </c>
      <c r="N147" s="111" t="str">
        <f t="shared" si="71"/>
        <v>N/A</v>
      </c>
      <c r="O147" s="111" t="str">
        <f t="shared" si="71"/>
        <v>N/A</v>
      </c>
      <c r="P147" s="111" t="str">
        <f t="shared" si="71"/>
        <v>N/A</v>
      </c>
      <c r="Q147" s="111" t="str">
        <f t="shared" si="71"/>
        <v>N/A</v>
      </c>
      <c r="R147" s="111" t="str">
        <f t="shared" si="71"/>
        <v>N/A</v>
      </c>
      <c r="S147" s="111" t="str">
        <f t="shared" si="71"/>
        <v>N/A</v>
      </c>
    </row>
    <row r="148" spans="1:19" s="4" customFormat="1" x14ac:dyDescent="0.2">
      <c r="A148" s="4" t="s">
        <v>458</v>
      </c>
      <c r="B148" s="2" t="s">
        <v>254</v>
      </c>
      <c r="C148" s="8" t="s">
        <v>201</v>
      </c>
      <c r="D148" s="120">
        <v>0.5</v>
      </c>
      <c r="E148" s="121" t="s">
        <v>265</v>
      </c>
      <c r="G148" s="103" t="s">
        <v>269</v>
      </c>
      <c r="H148" s="118">
        <f t="shared" ref="H148:S148" si="72">IF(H141&lt;$D$148,$E$148,H46/H33)</f>
        <v>-1.0932306281674795</v>
      </c>
      <c r="I148" s="118">
        <f t="shared" si="72"/>
        <v>-1.054148968223924</v>
      </c>
      <c r="J148" s="118">
        <f t="shared" si="72"/>
        <v>-1.1749307175217161</v>
      </c>
      <c r="K148" s="118" t="str">
        <f t="shared" si="72"/>
        <v>N/A</v>
      </c>
      <c r="L148" s="118" t="str">
        <f t="shared" si="72"/>
        <v>N/A</v>
      </c>
      <c r="M148" s="118" t="str">
        <f t="shared" si="72"/>
        <v>N/A</v>
      </c>
      <c r="N148" s="118" t="str">
        <f t="shared" si="72"/>
        <v>N/A</v>
      </c>
      <c r="O148" s="118" t="str">
        <f t="shared" si="72"/>
        <v>N/A</v>
      </c>
      <c r="P148" s="118" t="str">
        <f t="shared" si="72"/>
        <v>N/A</v>
      </c>
      <c r="Q148" s="118" t="str">
        <f t="shared" si="72"/>
        <v>N/A</v>
      </c>
      <c r="R148" s="118" t="str">
        <f t="shared" si="72"/>
        <v>N/A</v>
      </c>
      <c r="S148" s="118" t="str">
        <f t="shared" si="72"/>
        <v>N/A</v>
      </c>
    </row>
    <row r="149" spans="1:19" s="4" customFormat="1" x14ac:dyDescent="0.2">
      <c r="A149" s="4" t="s">
        <v>459</v>
      </c>
      <c r="B149" s="2" t="s">
        <v>257</v>
      </c>
      <c r="C149" s="8" t="s">
        <v>270</v>
      </c>
      <c r="D149" s="120">
        <v>0.5</v>
      </c>
      <c r="E149" s="121" t="s">
        <v>265</v>
      </c>
      <c r="G149" s="110" t="s">
        <v>271</v>
      </c>
      <c r="H149" s="118">
        <f t="shared" ref="H149:S149" si="73">IF(H141&lt;$D$148,$E$149,H51/H33)</f>
        <v>-1.2717429730387746</v>
      </c>
      <c r="I149" s="118">
        <f t="shared" si="73"/>
        <v>-1.2375796719639676</v>
      </c>
      <c r="J149" s="118">
        <f t="shared" si="73"/>
        <v>-1.3479349478979969</v>
      </c>
      <c r="K149" s="118" t="str">
        <f t="shared" si="73"/>
        <v>N/A</v>
      </c>
      <c r="L149" s="118" t="str">
        <f t="shared" si="73"/>
        <v>N/A</v>
      </c>
      <c r="M149" s="118" t="str">
        <f t="shared" si="73"/>
        <v>N/A</v>
      </c>
      <c r="N149" s="118" t="str">
        <f t="shared" si="73"/>
        <v>N/A</v>
      </c>
      <c r="O149" s="118" t="str">
        <f t="shared" si="73"/>
        <v>N/A</v>
      </c>
      <c r="P149" s="118" t="str">
        <f t="shared" si="73"/>
        <v>N/A</v>
      </c>
      <c r="Q149" s="118" t="str">
        <f t="shared" si="73"/>
        <v>N/A</v>
      </c>
      <c r="R149" s="118" t="str">
        <f t="shared" si="73"/>
        <v>N/A</v>
      </c>
      <c r="S149" s="118" t="str">
        <f t="shared" si="73"/>
        <v>N/A</v>
      </c>
    </row>
    <row r="150" spans="1:19" s="4" customFormat="1" x14ac:dyDescent="0.2">
      <c r="A150" s="4" t="s">
        <v>460</v>
      </c>
      <c r="B150" s="2" t="s">
        <v>260</v>
      </c>
      <c r="C150" s="8" t="s">
        <v>272</v>
      </c>
      <c r="D150" s="120">
        <v>0.5</v>
      </c>
      <c r="E150" s="121" t="s">
        <v>265</v>
      </c>
      <c r="G150" s="110" t="s">
        <v>273</v>
      </c>
      <c r="H150" s="118">
        <f t="shared" ref="H150:S150" si="74">IF(H141&lt;$D$150,$E$150,H51/H4)</f>
        <v>-0.17866802885404118</v>
      </c>
      <c r="I150" s="118">
        <f t="shared" si="74"/>
        <v>-0.1825768195918277</v>
      </c>
      <c r="J150" s="118">
        <f t="shared" si="74"/>
        <v>-0.19716384179851398</v>
      </c>
      <c r="K150" s="118" t="str">
        <f t="shared" si="74"/>
        <v>N/A</v>
      </c>
      <c r="L150" s="118" t="str">
        <f t="shared" si="74"/>
        <v>N/A</v>
      </c>
      <c r="M150" s="118" t="str">
        <f t="shared" si="74"/>
        <v>N/A</v>
      </c>
      <c r="N150" s="118" t="str">
        <f t="shared" si="74"/>
        <v>N/A</v>
      </c>
      <c r="O150" s="118" t="str">
        <f t="shared" si="74"/>
        <v>N/A</v>
      </c>
      <c r="P150" s="118" t="str">
        <f t="shared" si="74"/>
        <v>N/A</v>
      </c>
      <c r="Q150" s="118" t="str">
        <f t="shared" si="74"/>
        <v>N/A</v>
      </c>
      <c r="R150" s="118" t="str">
        <f t="shared" si="74"/>
        <v>N/A</v>
      </c>
      <c r="S150" s="118" t="str">
        <f t="shared" si="74"/>
        <v>N/A</v>
      </c>
    </row>
    <row r="151" spans="1:19" s="4" customFormat="1" x14ac:dyDescent="0.2">
      <c r="A151" s="4" t="s">
        <v>461</v>
      </c>
      <c r="B151" s="2" t="s">
        <v>263</v>
      </c>
      <c r="C151" s="8" t="s">
        <v>274</v>
      </c>
      <c r="D151" s="120">
        <v>0.5</v>
      </c>
      <c r="E151" s="121" t="s">
        <v>265</v>
      </c>
      <c r="G151" s="46" t="s">
        <v>275</v>
      </c>
      <c r="H151" s="118">
        <f>IF(H141&lt;$D$151,$E$151,H51/H27)</f>
        <v>-0.43601473571706867</v>
      </c>
      <c r="I151" s="118">
        <f>IF(I141&lt;$D$151,$E$151,I51/((H27+I27)/2))</f>
        <v>-0.40993216035599189</v>
      </c>
      <c r="J151" s="118">
        <f>IF(J141&lt;$D$151,$E$151,J51/((I27+J27)/2))</f>
        <v>-0.38529594847965126</v>
      </c>
      <c r="K151" s="118" t="str">
        <f>IF(K141&lt;$D$151,$E$151,K51/((J27+K27)/2))</f>
        <v>N/A</v>
      </c>
      <c r="L151" s="118" t="str">
        <f>IF(L141&lt;$D$151,$E$151,L51/((K27+L27)/2))</f>
        <v>N/A</v>
      </c>
      <c r="M151" s="118" t="str">
        <f>IF(M141&lt;$D$151,$E$151,M51/((L27+M27)/2))</f>
        <v>N/A</v>
      </c>
      <c r="N151" s="118" t="str">
        <f t="shared" ref="N151:S151" si="75">IF(N141&lt;$D$151,$E$151,N51/((M27+N27)/2))</f>
        <v>N/A</v>
      </c>
      <c r="O151" s="118" t="str">
        <f t="shared" si="75"/>
        <v>N/A</v>
      </c>
      <c r="P151" s="118" t="str">
        <f t="shared" si="75"/>
        <v>N/A</v>
      </c>
      <c r="Q151" s="118" t="str">
        <f t="shared" si="75"/>
        <v>N/A</v>
      </c>
      <c r="R151" s="118" t="str">
        <f t="shared" si="75"/>
        <v>N/A</v>
      </c>
      <c r="S151" s="118" t="str">
        <f t="shared" si="75"/>
        <v>N/A</v>
      </c>
    </row>
    <row r="152" spans="1:19" s="4" customFormat="1" x14ac:dyDescent="0.2">
      <c r="A152" s="8"/>
      <c r="B152" s="2"/>
      <c r="C152" s="119"/>
      <c r="D152" s="41"/>
      <c r="E152" s="42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</row>
    <row r="153" spans="1:19" s="4" customFormat="1" x14ac:dyDescent="0.2">
      <c r="A153" s="8"/>
      <c r="B153" s="2"/>
      <c r="C153" s="10"/>
      <c r="D153" s="10"/>
      <c r="E153" s="9"/>
      <c r="F153" s="8"/>
      <c r="G153" s="94" t="s">
        <v>462</v>
      </c>
      <c r="H153" s="87">
        <f>H145</f>
        <v>2011</v>
      </c>
      <c r="I153" s="87">
        <f t="shared" ref="I153:S153" si="76">I145</f>
        <v>2012</v>
      </c>
      <c r="J153" s="87">
        <f t="shared" si="76"/>
        <v>2013</v>
      </c>
      <c r="K153" s="87">
        <f t="shared" si="76"/>
        <v>2014</v>
      </c>
      <c r="L153" s="87">
        <f t="shared" si="76"/>
        <v>2015</v>
      </c>
      <c r="M153" s="87">
        <f t="shared" si="76"/>
        <v>2016</v>
      </c>
      <c r="N153" s="87">
        <f t="shared" si="76"/>
        <v>2017</v>
      </c>
      <c r="O153" s="87">
        <f t="shared" si="76"/>
        <v>2018</v>
      </c>
      <c r="P153" s="87">
        <f t="shared" si="76"/>
        <v>2019</v>
      </c>
      <c r="Q153" s="87">
        <f t="shared" si="76"/>
        <v>2020</v>
      </c>
      <c r="R153" s="87">
        <f t="shared" si="76"/>
        <v>2021</v>
      </c>
      <c r="S153" s="87">
        <f t="shared" si="76"/>
        <v>2022</v>
      </c>
    </row>
    <row r="154" spans="1:19" s="4" customFormat="1" x14ac:dyDescent="0.2">
      <c r="A154" s="8"/>
      <c r="B154" s="2"/>
      <c r="C154" s="10"/>
      <c r="D154" s="10"/>
      <c r="E154" s="9"/>
      <c r="F154" s="8"/>
      <c r="G154" s="95" t="s">
        <v>276</v>
      </c>
      <c r="H154" s="96">
        <f t="shared" ref="H154:S154" si="77">H33</f>
        <v>3125.7109999999998</v>
      </c>
      <c r="I154" s="96">
        <f t="shared" si="77"/>
        <v>3235.9249999999997</v>
      </c>
      <c r="J154" s="96">
        <f t="shared" si="77"/>
        <v>3166.3850000000002</v>
      </c>
      <c r="K154" s="96">
        <f t="shared" si="77"/>
        <v>7729.8620000000001</v>
      </c>
      <c r="L154" s="96">
        <f>L33</f>
        <v>16447.542000000001</v>
      </c>
      <c r="M154" s="96">
        <f t="shared" si="77"/>
        <v>8380.8580000000002</v>
      </c>
      <c r="N154" s="96">
        <f t="shared" si="77"/>
        <v>8780</v>
      </c>
      <c r="O154" s="96">
        <f t="shared" si="77"/>
        <v>9074</v>
      </c>
      <c r="P154" s="96">
        <f t="shared" si="77"/>
        <v>9518.58</v>
      </c>
      <c r="Q154" s="96">
        <f t="shared" si="77"/>
        <v>9617.8474000000006</v>
      </c>
      <c r="R154" s="96">
        <f t="shared" si="77"/>
        <v>9662.8828219999996</v>
      </c>
      <c r="S154" s="96">
        <f t="shared" si="77"/>
        <v>9760.7693066600004</v>
      </c>
    </row>
    <row r="155" spans="1:19" s="4" customFormat="1" x14ac:dyDescent="0.2">
      <c r="A155" s="8"/>
      <c r="B155" s="2"/>
      <c r="C155" s="10"/>
      <c r="D155" s="10"/>
      <c r="E155" s="9"/>
      <c r="F155" s="8"/>
      <c r="G155" s="95" t="s">
        <v>277</v>
      </c>
      <c r="H155" s="96">
        <f t="shared" ref="H155:S156" si="78">H35</f>
        <v>2238.4589999999998</v>
      </c>
      <c r="I155" s="96">
        <f t="shared" si="78"/>
        <v>2423.2939999999999</v>
      </c>
      <c r="J155" s="96">
        <f t="shared" si="78"/>
        <v>2596.212</v>
      </c>
      <c r="K155" s="96">
        <f t="shared" si="78"/>
        <v>2679.3919999999998</v>
      </c>
      <c r="L155" s="96">
        <f t="shared" si="78"/>
        <v>3541.386</v>
      </c>
      <c r="M155" s="96">
        <f t="shared" si="78"/>
        <v>3181.2170000000001</v>
      </c>
      <c r="N155" s="96">
        <f t="shared" si="78"/>
        <v>3493</v>
      </c>
      <c r="O155" s="96">
        <f t="shared" si="78"/>
        <v>2986</v>
      </c>
      <c r="P155" s="96">
        <f t="shared" si="78"/>
        <v>3075.58</v>
      </c>
      <c r="Q155" s="96">
        <f t="shared" si="78"/>
        <v>3167.8474000000001</v>
      </c>
      <c r="R155" s="96">
        <f t="shared" si="78"/>
        <v>3262.882822</v>
      </c>
      <c r="S155" s="96">
        <f t="shared" si="78"/>
        <v>3360.76930666</v>
      </c>
    </row>
    <row r="156" spans="1:19" s="4" customFormat="1" x14ac:dyDescent="0.2">
      <c r="A156" s="8"/>
      <c r="B156" s="2"/>
      <c r="C156" s="10"/>
      <c r="D156" s="10"/>
      <c r="E156" s="9"/>
      <c r="F156" s="8"/>
      <c r="G156" s="95" t="s">
        <v>278</v>
      </c>
      <c r="H156" s="96">
        <f t="shared" si="78"/>
        <v>887.24300000000005</v>
      </c>
      <c r="I156" s="96">
        <f t="shared" si="78"/>
        <v>811.56</v>
      </c>
      <c r="J156" s="96">
        <f t="shared" si="78"/>
        <v>570.173</v>
      </c>
      <c r="K156" s="96">
        <f t="shared" si="78"/>
        <v>5050.47</v>
      </c>
      <c r="L156" s="96">
        <f t="shared" si="78"/>
        <v>12902.611999999999</v>
      </c>
      <c r="M156" s="96">
        <f t="shared" si="78"/>
        <v>5199.6409999999996</v>
      </c>
      <c r="N156" s="96">
        <f t="shared" si="78"/>
        <v>5287</v>
      </c>
      <c r="O156" s="96">
        <f t="shared" si="78"/>
        <v>6088</v>
      </c>
      <c r="P156" s="96">
        <f t="shared" si="78"/>
        <v>6443</v>
      </c>
      <c r="Q156" s="96">
        <f t="shared" si="78"/>
        <v>6450</v>
      </c>
      <c r="R156" s="96">
        <f t="shared" si="78"/>
        <v>6400</v>
      </c>
      <c r="S156" s="96">
        <f t="shared" si="78"/>
        <v>6400</v>
      </c>
    </row>
    <row r="157" spans="1:19" s="4" customFormat="1" x14ac:dyDescent="0.2">
      <c r="A157" s="8"/>
      <c r="B157" s="2"/>
      <c r="C157" s="10"/>
      <c r="D157" s="10"/>
      <c r="E157" s="9"/>
      <c r="F157" s="8"/>
      <c r="G157" s="95" t="s">
        <v>279</v>
      </c>
      <c r="H157" s="96">
        <f t="shared" ref="H157:S157" si="79">H38+H41</f>
        <v>-6542.8339999999998</v>
      </c>
      <c r="I157" s="96">
        <f t="shared" si="79"/>
        <v>-6647.0720000000001</v>
      </c>
      <c r="J157" s="96">
        <f t="shared" si="79"/>
        <v>-6886.6679999999988</v>
      </c>
      <c r="K157" s="96">
        <f t="shared" si="79"/>
        <v>-7409.9319999999998</v>
      </c>
      <c r="L157" s="96">
        <f t="shared" si="79"/>
        <v>-9158.6330000000016</v>
      </c>
      <c r="M157" s="96">
        <f t="shared" si="79"/>
        <v>-8133.7039999999988</v>
      </c>
      <c r="N157" s="96">
        <f t="shared" si="79"/>
        <v>-8813</v>
      </c>
      <c r="O157" s="96">
        <f t="shared" si="79"/>
        <v>-8398</v>
      </c>
      <c r="P157" s="96">
        <f t="shared" si="79"/>
        <v>-9138.2999999999993</v>
      </c>
      <c r="Q157" s="96">
        <f t="shared" si="79"/>
        <v>-9395.7150000000001</v>
      </c>
      <c r="R157" s="96">
        <f t="shared" si="79"/>
        <v>-9480</v>
      </c>
      <c r="S157" s="96">
        <f t="shared" si="79"/>
        <v>-9630</v>
      </c>
    </row>
    <row r="158" spans="1:19" s="4" customFormat="1" x14ac:dyDescent="0.2">
      <c r="A158" s="8"/>
      <c r="B158" s="2"/>
      <c r="C158" s="10"/>
      <c r="D158" s="10"/>
      <c r="E158" s="9"/>
      <c r="F158" s="8"/>
      <c r="G158" s="95" t="s">
        <v>280</v>
      </c>
      <c r="H158" s="96">
        <f t="shared" ref="H158:S158" si="80">H41</f>
        <v>-6542.7060000000001</v>
      </c>
      <c r="I158" s="96">
        <f t="shared" si="80"/>
        <v>-6646.9440000000004</v>
      </c>
      <c r="J158" s="96">
        <f t="shared" si="80"/>
        <v>-6886.5399999999991</v>
      </c>
      <c r="K158" s="96">
        <f t="shared" si="80"/>
        <v>-7409.9319999999998</v>
      </c>
      <c r="L158" s="96">
        <f t="shared" si="80"/>
        <v>-9158.6330000000016</v>
      </c>
      <c r="M158" s="96">
        <f t="shared" si="80"/>
        <v>-8133.7039999999988</v>
      </c>
      <c r="N158" s="96">
        <f t="shared" si="80"/>
        <v>-8813</v>
      </c>
      <c r="O158" s="96">
        <f t="shared" si="80"/>
        <v>-8398</v>
      </c>
      <c r="P158" s="96">
        <f t="shared" si="80"/>
        <v>-9138.2999999999993</v>
      </c>
      <c r="Q158" s="96">
        <f t="shared" si="80"/>
        <v>-9395.7150000000001</v>
      </c>
      <c r="R158" s="96">
        <f t="shared" si="80"/>
        <v>-9480</v>
      </c>
      <c r="S158" s="96">
        <f t="shared" si="80"/>
        <v>-9630</v>
      </c>
    </row>
    <row r="159" spans="1:19" s="4" customFormat="1" x14ac:dyDescent="0.2">
      <c r="A159" s="8"/>
      <c r="B159" s="2"/>
      <c r="C159" s="10"/>
      <c r="D159" s="10"/>
      <c r="E159" s="9"/>
      <c r="F159" s="8"/>
      <c r="G159" s="95" t="s">
        <v>281</v>
      </c>
      <c r="H159" s="96">
        <f t="shared" ref="H159:S159" si="81">H38</f>
        <v>-0.128</v>
      </c>
      <c r="I159" s="96">
        <f t="shared" si="81"/>
        <v>-0.128</v>
      </c>
      <c r="J159" s="96">
        <f t="shared" si="81"/>
        <v>-0.128</v>
      </c>
      <c r="K159" s="96">
        <f t="shared" si="81"/>
        <v>0</v>
      </c>
      <c r="L159" s="96">
        <f t="shared" si="81"/>
        <v>0</v>
      </c>
      <c r="M159" s="96">
        <f t="shared" si="81"/>
        <v>0</v>
      </c>
      <c r="N159" s="96">
        <f t="shared" si="81"/>
        <v>0</v>
      </c>
      <c r="O159" s="96">
        <f t="shared" si="81"/>
        <v>0</v>
      </c>
      <c r="P159" s="96">
        <f t="shared" si="81"/>
        <v>0</v>
      </c>
      <c r="Q159" s="96">
        <f t="shared" si="81"/>
        <v>0</v>
      </c>
      <c r="R159" s="96">
        <f t="shared" si="81"/>
        <v>0</v>
      </c>
      <c r="S159" s="96">
        <f t="shared" si="81"/>
        <v>0</v>
      </c>
    </row>
    <row r="160" spans="1:19" s="4" customFormat="1" x14ac:dyDescent="0.2">
      <c r="A160" s="8"/>
      <c r="B160" s="2"/>
      <c r="C160" s="10"/>
      <c r="D160" s="10"/>
      <c r="E160" s="9"/>
      <c r="F160" s="8"/>
      <c r="G160" s="95" t="s">
        <v>282</v>
      </c>
      <c r="H160" s="96">
        <f t="shared" ref="H160:S160" si="82">H46</f>
        <v>-3417.1230000000005</v>
      </c>
      <c r="I160" s="96">
        <f t="shared" si="82"/>
        <v>-3411.1470000000008</v>
      </c>
      <c r="J160" s="96">
        <f t="shared" si="82"/>
        <v>-3720.282999999999</v>
      </c>
      <c r="K160" s="96">
        <f t="shared" si="82"/>
        <v>319.93000000000029</v>
      </c>
      <c r="L160" s="96">
        <f t="shared" si="82"/>
        <v>7288.9089999999997</v>
      </c>
      <c r="M160" s="96">
        <f t="shared" si="82"/>
        <v>247.15400000000136</v>
      </c>
      <c r="N160" s="96">
        <f t="shared" si="82"/>
        <v>-33</v>
      </c>
      <c r="O160" s="96">
        <f t="shared" si="82"/>
        <v>676</v>
      </c>
      <c r="P160" s="96">
        <f t="shared" si="82"/>
        <v>380.28000000000065</v>
      </c>
      <c r="Q160" s="96">
        <f t="shared" si="82"/>
        <v>222.13240000000042</v>
      </c>
      <c r="R160" s="96">
        <f t="shared" si="82"/>
        <v>182.88282199999958</v>
      </c>
      <c r="S160" s="96">
        <f t="shared" si="82"/>
        <v>130.76930666000044</v>
      </c>
    </row>
    <row r="161" spans="1:19" s="4" customFormat="1" x14ac:dyDescent="0.2">
      <c r="A161" s="8"/>
      <c r="B161" s="2"/>
      <c r="C161" s="10"/>
      <c r="D161" s="10"/>
      <c r="E161" s="9"/>
      <c r="F161" s="8"/>
      <c r="G161" s="95" t="s">
        <v>283</v>
      </c>
      <c r="H161" s="96">
        <f t="shared" ref="H161:S161" si="83">H51</f>
        <v>-3975.1010000000006</v>
      </c>
      <c r="I161" s="96">
        <f t="shared" si="83"/>
        <v>-4004.7150000000011</v>
      </c>
      <c r="J161" s="96">
        <f t="shared" si="83"/>
        <v>-4268.0809999999992</v>
      </c>
      <c r="K161" s="96">
        <f t="shared" si="83"/>
        <v>-221.51899999999966</v>
      </c>
      <c r="L161" s="96">
        <f t="shared" si="83"/>
        <v>6196.2939999999999</v>
      </c>
      <c r="M161" s="96">
        <f t="shared" si="83"/>
        <v>-15.919999999998652</v>
      </c>
      <c r="N161" s="96">
        <f t="shared" si="83"/>
        <v>-320</v>
      </c>
      <c r="O161" s="96">
        <f t="shared" si="83"/>
        <v>362</v>
      </c>
      <c r="P161" s="96">
        <f t="shared" si="83"/>
        <v>380.28000000000065</v>
      </c>
      <c r="Q161" s="96">
        <f t="shared" si="83"/>
        <v>222.13240000000042</v>
      </c>
      <c r="R161" s="96">
        <f t="shared" si="83"/>
        <v>182.88282199999958</v>
      </c>
      <c r="S161" s="96">
        <f t="shared" si="83"/>
        <v>130.76930666000044</v>
      </c>
    </row>
    <row r="162" spans="1:19" s="4" customFormat="1" x14ac:dyDescent="0.2">
      <c r="A162" s="8"/>
      <c r="B162" s="2"/>
      <c r="C162" s="10"/>
      <c r="D162" s="10"/>
      <c r="E162" s="9"/>
      <c r="F162" s="8"/>
      <c r="G162" s="95" t="s">
        <v>284</v>
      </c>
      <c r="H162" s="96">
        <f t="shared" ref="H162:S163" si="84">H4</f>
        <v>22248.53</v>
      </c>
      <c r="I162" s="96">
        <f t="shared" si="84"/>
        <v>21934.411</v>
      </c>
      <c r="J162" s="96">
        <f t="shared" si="84"/>
        <v>21647.382000000001</v>
      </c>
      <c r="K162" s="96">
        <f t="shared" si="84"/>
        <v>21580.511000000002</v>
      </c>
      <c r="L162" s="96">
        <f t="shared" si="84"/>
        <v>21049.253000000001</v>
      </c>
      <c r="M162" s="96">
        <f t="shared" si="84"/>
        <v>21043.018</v>
      </c>
      <c r="N162" s="96">
        <f t="shared" si="84"/>
        <v>20327</v>
      </c>
      <c r="O162" s="96">
        <f t="shared" si="84"/>
        <v>20075</v>
      </c>
      <c r="P162" s="96">
        <f t="shared" si="84"/>
        <v>20015</v>
      </c>
      <c r="Q162" s="96">
        <f t="shared" si="84"/>
        <v>19932</v>
      </c>
      <c r="R162" s="96">
        <f t="shared" si="84"/>
        <v>19968</v>
      </c>
      <c r="S162" s="96">
        <f t="shared" si="84"/>
        <v>19972</v>
      </c>
    </row>
    <row r="163" spans="1:19" s="4" customFormat="1" x14ac:dyDescent="0.2">
      <c r="A163" s="8"/>
      <c r="B163" s="2"/>
      <c r="C163" s="10"/>
      <c r="D163" s="10"/>
      <c r="E163" s="9"/>
      <c r="F163" s="8"/>
      <c r="G163" s="95" t="s">
        <v>285</v>
      </c>
      <c r="H163" s="96">
        <f t="shared" si="84"/>
        <v>227.83799999999999</v>
      </c>
      <c r="I163" s="96">
        <f t="shared" si="84"/>
        <v>280.05399999999997</v>
      </c>
      <c r="J163" s="96">
        <f t="shared" si="84"/>
        <v>307.20999999999998</v>
      </c>
      <c r="K163" s="96">
        <f t="shared" si="84"/>
        <v>613.54000000000008</v>
      </c>
      <c r="L163" s="96">
        <f t="shared" si="84"/>
        <v>406.77099999999996</v>
      </c>
      <c r="M163" s="96">
        <f t="shared" si="84"/>
        <v>676.62400000000002</v>
      </c>
      <c r="N163" s="96">
        <f t="shared" si="84"/>
        <v>486</v>
      </c>
      <c r="O163" s="96">
        <f t="shared" si="84"/>
        <v>585</v>
      </c>
      <c r="P163" s="96">
        <f t="shared" si="84"/>
        <v>569</v>
      </c>
      <c r="Q163" s="96">
        <f t="shared" si="84"/>
        <v>530</v>
      </c>
      <c r="R163" s="96">
        <f t="shared" si="84"/>
        <v>610</v>
      </c>
      <c r="S163" s="96">
        <f t="shared" si="84"/>
        <v>658</v>
      </c>
    </row>
    <row r="164" spans="1:19" s="4" customFormat="1" x14ac:dyDescent="0.2">
      <c r="A164" s="8"/>
      <c r="B164" s="2"/>
      <c r="C164" s="10"/>
      <c r="D164" s="10"/>
      <c r="E164" s="9"/>
      <c r="F164" s="8"/>
      <c r="G164" s="95" t="s">
        <v>286</v>
      </c>
      <c r="H164" s="96">
        <f t="shared" ref="H164:S164" si="85">H10</f>
        <v>22020.691999999999</v>
      </c>
      <c r="I164" s="96">
        <f t="shared" si="85"/>
        <v>21654.357</v>
      </c>
      <c r="J164" s="96">
        <f t="shared" si="85"/>
        <v>21340.172000000002</v>
      </c>
      <c r="K164" s="96">
        <f t="shared" si="85"/>
        <v>20966.971000000001</v>
      </c>
      <c r="L164" s="96">
        <f t="shared" si="85"/>
        <v>20642.482</v>
      </c>
      <c r="M164" s="96">
        <f t="shared" si="85"/>
        <v>20366.394</v>
      </c>
      <c r="N164" s="96">
        <f t="shared" si="85"/>
        <v>19841</v>
      </c>
      <c r="O164" s="96">
        <f t="shared" si="85"/>
        <v>19490</v>
      </c>
      <c r="P164" s="96">
        <f t="shared" si="85"/>
        <v>19446</v>
      </c>
      <c r="Q164" s="96">
        <f t="shared" si="85"/>
        <v>19402</v>
      </c>
      <c r="R164" s="96">
        <f t="shared" si="85"/>
        <v>19358</v>
      </c>
      <c r="S164" s="96">
        <f t="shared" si="85"/>
        <v>19314</v>
      </c>
    </row>
    <row r="165" spans="1:19" s="4" customFormat="1" x14ac:dyDescent="0.2">
      <c r="A165" s="8"/>
      <c r="B165" s="2"/>
      <c r="C165" s="10"/>
      <c r="D165" s="10"/>
      <c r="E165" s="9"/>
      <c r="F165" s="8"/>
      <c r="G165" s="95" t="s">
        <v>287</v>
      </c>
      <c r="H165" s="96">
        <f t="shared" ref="H165:S166" si="86">H19</f>
        <v>13131.633000000002</v>
      </c>
      <c r="I165" s="96">
        <f t="shared" si="86"/>
        <v>11512.879000000001</v>
      </c>
      <c r="J165" s="96">
        <f t="shared" si="86"/>
        <v>9914.094000000001</v>
      </c>
      <c r="K165" s="96">
        <f t="shared" si="86"/>
        <v>9697.2379999999994</v>
      </c>
      <c r="L165" s="96">
        <f t="shared" si="86"/>
        <v>2969.6860000000001</v>
      </c>
      <c r="M165" s="96">
        <f t="shared" si="86"/>
        <v>2979.3720000000003</v>
      </c>
      <c r="N165" s="96">
        <f t="shared" si="86"/>
        <v>2583</v>
      </c>
      <c r="O165" s="96">
        <f t="shared" si="86"/>
        <v>1969</v>
      </c>
      <c r="P165" s="96">
        <f t="shared" si="86"/>
        <v>1529</v>
      </c>
      <c r="Q165" s="96">
        <f t="shared" si="86"/>
        <v>1224</v>
      </c>
      <c r="R165" s="96">
        <f t="shared" si="86"/>
        <v>1077</v>
      </c>
      <c r="S165" s="96">
        <f t="shared" si="86"/>
        <v>950</v>
      </c>
    </row>
    <row r="166" spans="1:19" s="4" customFormat="1" x14ac:dyDescent="0.2">
      <c r="A166" s="8"/>
      <c r="B166" s="2"/>
      <c r="C166" s="10"/>
      <c r="D166" s="10"/>
      <c r="E166" s="9"/>
      <c r="F166" s="8"/>
      <c r="G166" s="95" t="s">
        <v>288</v>
      </c>
      <c r="H166" s="96">
        <f t="shared" si="86"/>
        <v>2546.424</v>
      </c>
      <c r="I166" s="96">
        <f t="shared" si="86"/>
        <v>2172.317</v>
      </c>
      <c r="J166" s="96">
        <f t="shared" si="86"/>
        <v>1384.2280000000001</v>
      </c>
      <c r="K166" s="96">
        <f t="shared" si="86"/>
        <v>1961.519</v>
      </c>
      <c r="L166" s="96">
        <f t="shared" si="86"/>
        <v>1420.402</v>
      </c>
      <c r="M166" s="96">
        <f t="shared" si="86"/>
        <v>1781.64</v>
      </c>
      <c r="N166" s="96">
        <f t="shared" si="86"/>
        <v>0</v>
      </c>
      <c r="O166" s="96">
        <f t="shared" si="86"/>
        <v>0</v>
      </c>
      <c r="P166" s="96">
        <f t="shared" si="86"/>
        <v>0</v>
      </c>
      <c r="Q166" s="96">
        <f t="shared" si="86"/>
        <v>0</v>
      </c>
      <c r="R166" s="96">
        <f t="shared" si="86"/>
        <v>0</v>
      </c>
      <c r="S166" s="96">
        <f t="shared" si="86"/>
        <v>0</v>
      </c>
    </row>
    <row r="167" spans="1:19" s="4" customFormat="1" x14ac:dyDescent="0.2">
      <c r="A167" s="8"/>
      <c r="B167" s="2"/>
      <c r="C167" s="10"/>
      <c r="D167" s="10"/>
      <c r="E167" s="9"/>
      <c r="F167" s="8"/>
      <c r="G167" s="95" t="s">
        <v>289</v>
      </c>
      <c r="H167" s="96">
        <f t="shared" ref="H167:S167" si="87">H24</f>
        <v>12175.426000000001</v>
      </c>
      <c r="I167" s="96">
        <f t="shared" si="87"/>
        <v>10585.209000000001</v>
      </c>
      <c r="J167" s="96">
        <f t="shared" si="87"/>
        <v>8922.2860000000001</v>
      </c>
      <c r="K167" s="96">
        <f t="shared" si="87"/>
        <v>8529.866</v>
      </c>
      <c r="L167" s="96">
        <f t="shared" si="87"/>
        <v>1923.5030000000002</v>
      </c>
      <c r="M167" s="96">
        <f t="shared" si="87"/>
        <v>1549.2829999999999</v>
      </c>
      <c r="N167" s="96">
        <f t="shared" si="87"/>
        <v>1198</v>
      </c>
      <c r="O167" s="96">
        <f t="shared" si="87"/>
        <v>821</v>
      </c>
      <c r="P167" s="96">
        <f t="shared" si="87"/>
        <v>444</v>
      </c>
      <c r="Q167" s="96">
        <f t="shared" si="87"/>
        <v>67</v>
      </c>
      <c r="R167" s="96">
        <f t="shared" si="87"/>
        <v>0</v>
      </c>
      <c r="S167" s="96">
        <f t="shared" si="87"/>
        <v>0</v>
      </c>
    </row>
    <row r="168" spans="1:19" s="4" customFormat="1" x14ac:dyDescent="0.2">
      <c r="A168" s="8"/>
      <c r="B168" s="2"/>
      <c r="C168" s="10"/>
      <c r="D168" s="10"/>
      <c r="E168" s="9"/>
      <c r="F168" s="8"/>
      <c r="G168" s="95" t="s">
        <v>290</v>
      </c>
      <c r="H168" s="96">
        <f t="shared" ref="H168:S168" si="88">H27</f>
        <v>9116.8960000000006</v>
      </c>
      <c r="I168" s="96">
        <f t="shared" si="88"/>
        <v>10421.531999999999</v>
      </c>
      <c r="J168" s="96">
        <f t="shared" si="88"/>
        <v>11733.287</v>
      </c>
      <c r="K168" s="96">
        <f t="shared" si="88"/>
        <v>11883.271000000001</v>
      </c>
      <c r="L168" s="96">
        <f t="shared" si="88"/>
        <v>18079.565999999999</v>
      </c>
      <c r="M168" s="96">
        <f t="shared" si="88"/>
        <v>18063.646000000001</v>
      </c>
      <c r="N168" s="96">
        <f t="shared" si="88"/>
        <v>17744</v>
      </c>
      <c r="O168" s="96">
        <f t="shared" si="88"/>
        <v>18106</v>
      </c>
      <c r="P168" s="96">
        <f t="shared" si="88"/>
        <v>18486.28</v>
      </c>
      <c r="Q168" s="96">
        <f t="shared" si="88"/>
        <v>18708.412400000001</v>
      </c>
      <c r="R168" s="96">
        <f t="shared" si="88"/>
        <v>18891.295222000001</v>
      </c>
      <c r="S168" s="96">
        <f t="shared" si="88"/>
        <v>19022.064528660001</v>
      </c>
    </row>
    <row r="169" spans="1:19" s="4" customFormat="1" x14ac:dyDescent="0.2">
      <c r="A169" s="8"/>
      <c r="B169" s="2"/>
      <c r="C169" s="119"/>
      <c r="D169" s="41"/>
      <c r="E169" s="42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</row>
    <row r="170" spans="1:19" s="4" customFormat="1" x14ac:dyDescent="0.2">
      <c r="A170" s="8"/>
      <c r="B170" s="2"/>
      <c r="C170" s="119" t="s">
        <v>463</v>
      </c>
      <c r="D170" s="41"/>
      <c r="E170" s="42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</row>
    <row r="171" spans="1:19" s="4" customFormat="1" x14ac:dyDescent="0.2">
      <c r="A171" s="8"/>
      <c r="B171" s="2"/>
      <c r="C171" s="119"/>
      <c r="D171" s="41"/>
      <c r="E171" s="42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</row>
    <row r="172" spans="1:19" s="40" customFormat="1" x14ac:dyDescent="0.2">
      <c r="A172" s="29"/>
      <c r="B172" s="2"/>
      <c r="C172" s="29" t="s">
        <v>464</v>
      </c>
      <c r="D172" s="99"/>
      <c r="E172" s="30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</row>
    <row r="173" spans="1:19" s="4" customFormat="1" x14ac:dyDescent="0.2">
      <c r="A173" s="8"/>
      <c r="B173" s="2"/>
      <c r="C173" s="8"/>
      <c r="D173" s="10"/>
      <c r="E173" s="9"/>
      <c r="F173" s="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</row>
    <row r="174" spans="1:19" s="4" customFormat="1" x14ac:dyDescent="0.2">
      <c r="A174" s="8"/>
      <c r="B174" s="2"/>
      <c r="C174" s="8" t="s">
        <v>291</v>
      </c>
      <c r="D174" s="10"/>
      <c r="E174" s="9"/>
      <c r="F174" s="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</row>
    <row r="175" spans="1:19" s="4" customFormat="1" x14ac:dyDescent="0.2">
      <c r="A175" s="8"/>
      <c r="B175" s="2"/>
      <c r="C175" s="8" t="s">
        <v>292</v>
      </c>
      <c r="D175" s="10"/>
      <c r="E175" s="9"/>
      <c r="F175" s="12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  <c r="R175" s="44"/>
    </row>
    <row r="176" spans="1:19" s="4" customFormat="1" x14ac:dyDescent="0.2">
      <c r="A176" s="8"/>
      <c r="B176" s="2"/>
      <c r="C176" s="8"/>
      <c r="D176" s="10"/>
      <c r="E176" s="9"/>
      <c r="F176" s="12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</row>
    <row r="177" spans="1:7" s="4" customFormat="1" x14ac:dyDescent="0.2">
      <c r="A177" s="8"/>
      <c r="B177" s="2"/>
      <c r="C177" s="8" t="s">
        <v>293</v>
      </c>
      <c r="D177" s="10"/>
      <c r="E177" s="9"/>
      <c r="F177" s="12"/>
      <c r="G177" s="28"/>
    </row>
    <row r="178" spans="1:7" s="4" customFormat="1" x14ac:dyDescent="0.2">
      <c r="A178" s="8"/>
      <c r="B178" s="2"/>
      <c r="C178" s="8" t="s">
        <v>294</v>
      </c>
      <c r="D178" s="10"/>
      <c r="E178" s="9"/>
      <c r="F178" s="12"/>
      <c r="G178" s="28"/>
    </row>
    <row r="179" spans="1:7" s="4" customFormat="1" x14ac:dyDescent="0.2">
      <c r="A179" s="8"/>
      <c r="B179" s="2"/>
      <c r="C179" s="10"/>
      <c r="D179" s="10"/>
      <c r="E179" s="9"/>
      <c r="F179" s="8"/>
      <c r="G179" s="28"/>
    </row>
    <row r="180" spans="1:7" s="4" customFormat="1" x14ac:dyDescent="0.2">
      <c r="A180" s="8"/>
      <c r="B180" s="2"/>
      <c r="C180" s="10"/>
      <c r="D180" s="10"/>
      <c r="E180" s="9"/>
      <c r="F180" s="8"/>
      <c r="G180" s="28"/>
    </row>
    <row r="181" spans="1:7" s="4" customFormat="1" x14ac:dyDescent="0.2">
      <c r="A181" s="8"/>
      <c r="B181" s="2"/>
      <c r="C181" s="10"/>
      <c r="D181" s="10"/>
      <c r="E181" s="9"/>
      <c r="F181" s="8"/>
      <c r="G181" s="28"/>
    </row>
    <row r="182" spans="1:7" s="4" customFormat="1" x14ac:dyDescent="0.2">
      <c r="A182" s="8"/>
      <c r="B182" s="2"/>
      <c r="C182" s="10"/>
      <c r="D182" s="10"/>
      <c r="E182" s="9"/>
      <c r="F182" s="8"/>
      <c r="G182" s="28"/>
    </row>
    <row r="183" spans="1:7" s="4" customFormat="1" x14ac:dyDescent="0.2">
      <c r="A183" s="8"/>
      <c r="B183" s="2"/>
      <c r="C183" s="10"/>
      <c r="D183" s="10"/>
      <c r="E183" s="9"/>
      <c r="F183" s="8"/>
      <c r="G183" s="28"/>
    </row>
    <row r="184" spans="1:7" s="4" customFormat="1" x14ac:dyDescent="0.2">
      <c r="A184" s="8"/>
      <c r="B184" s="2"/>
      <c r="C184" s="10"/>
      <c r="D184" s="10"/>
      <c r="E184" s="9"/>
      <c r="F184" s="8"/>
      <c r="G184" s="28"/>
    </row>
    <row r="185" spans="1:7" s="4" customFormat="1" x14ac:dyDescent="0.2">
      <c r="A185" s="8"/>
      <c r="B185" s="2"/>
      <c r="C185" s="10"/>
      <c r="D185" s="10"/>
      <c r="E185" s="9"/>
      <c r="F185" s="8"/>
      <c r="G185" s="28"/>
    </row>
    <row r="186" spans="1:7" s="4" customFormat="1" x14ac:dyDescent="0.2">
      <c r="A186" s="8"/>
      <c r="B186" s="2"/>
      <c r="C186" s="10"/>
      <c r="D186" s="10"/>
      <c r="E186" s="9"/>
      <c r="F186" s="8"/>
      <c r="G186" s="28"/>
    </row>
    <row r="187" spans="1:7" s="4" customFormat="1" x14ac:dyDescent="0.2">
      <c r="A187" s="8"/>
      <c r="B187" s="2"/>
      <c r="C187" s="10"/>
      <c r="D187" s="10"/>
      <c r="E187" s="9"/>
      <c r="F187" s="8"/>
      <c r="G187" s="28"/>
    </row>
    <row r="188" spans="1:7" s="4" customFormat="1" x14ac:dyDescent="0.2">
      <c r="A188" s="8"/>
      <c r="B188" s="2"/>
      <c r="C188" s="10"/>
      <c r="D188" s="10"/>
      <c r="E188" s="9"/>
      <c r="F188" s="8"/>
      <c r="G188" s="28"/>
    </row>
    <row r="189" spans="1:7" s="4" customFormat="1" x14ac:dyDescent="0.2">
      <c r="A189" s="8"/>
      <c r="B189" s="2"/>
      <c r="C189" s="10"/>
      <c r="D189" s="10"/>
      <c r="E189" s="9"/>
      <c r="F189" s="8"/>
      <c r="G189" s="28"/>
    </row>
    <row r="190" spans="1:7" s="4" customFormat="1" x14ac:dyDescent="0.2">
      <c r="A190" s="8"/>
      <c r="B190" s="2"/>
      <c r="C190" s="10"/>
      <c r="D190" s="10"/>
      <c r="E190" s="9"/>
      <c r="F190" s="8"/>
      <c r="G190" s="28"/>
    </row>
    <row r="191" spans="1:7" s="4" customFormat="1" x14ac:dyDescent="0.2">
      <c r="A191" s="8"/>
      <c r="B191" s="2"/>
      <c r="C191" s="10"/>
      <c r="D191" s="10"/>
      <c r="E191" s="9"/>
      <c r="F191" s="8"/>
      <c r="G191" s="28"/>
    </row>
    <row r="192" spans="1:7" s="4" customFormat="1" x14ac:dyDescent="0.2">
      <c r="A192" s="8"/>
      <c r="B192" s="2"/>
      <c r="C192" s="10"/>
      <c r="D192" s="10"/>
      <c r="E192" s="9"/>
      <c r="F192" s="8"/>
      <c r="G192" s="28"/>
    </row>
    <row r="193" spans="1:7" s="4" customFormat="1" x14ac:dyDescent="0.2">
      <c r="A193" s="8"/>
      <c r="B193" s="2"/>
      <c r="C193" s="10"/>
      <c r="D193" s="10"/>
      <c r="E193" s="9"/>
      <c r="F193" s="8"/>
      <c r="G193" s="28"/>
    </row>
    <row r="194" spans="1:7" s="4" customFormat="1" x14ac:dyDescent="0.2">
      <c r="A194" s="8"/>
      <c r="B194" s="2"/>
      <c r="C194" s="10"/>
      <c r="D194" s="10"/>
      <c r="E194" s="9"/>
      <c r="F194" s="8"/>
      <c r="G194" s="28"/>
    </row>
    <row r="195" spans="1:7" s="4" customFormat="1" x14ac:dyDescent="0.2">
      <c r="A195" s="8"/>
      <c r="B195" s="2"/>
      <c r="C195" s="10"/>
      <c r="D195" s="10"/>
      <c r="E195" s="9"/>
      <c r="F195" s="8"/>
      <c r="G195" s="28"/>
    </row>
    <row r="196" spans="1:7" s="4" customFormat="1" x14ac:dyDescent="0.2">
      <c r="A196" s="8"/>
      <c r="B196" s="2"/>
      <c r="C196" s="10"/>
      <c r="D196" s="10"/>
      <c r="E196" s="9"/>
      <c r="F196" s="8"/>
      <c r="G196" s="28"/>
    </row>
    <row r="197" spans="1:7" s="4" customFormat="1" x14ac:dyDescent="0.2">
      <c r="A197" s="8"/>
      <c r="B197" s="2"/>
      <c r="C197" s="10"/>
      <c r="D197" s="10"/>
      <c r="E197" s="9"/>
      <c r="F197" s="8"/>
      <c r="G197" s="28"/>
    </row>
    <row r="198" spans="1:7" s="4" customFormat="1" x14ac:dyDescent="0.2">
      <c r="A198" s="8"/>
      <c r="B198" s="2"/>
      <c r="C198" s="10"/>
      <c r="D198" s="10"/>
      <c r="E198" s="9"/>
      <c r="F198" s="8"/>
      <c r="G198" s="28"/>
    </row>
    <row r="199" spans="1:7" s="4" customFormat="1" x14ac:dyDescent="0.2">
      <c r="A199" s="8"/>
      <c r="B199" s="2"/>
      <c r="C199" s="10"/>
      <c r="D199" s="10"/>
      <c r="E199" s="9"/>
      <c r="F199" s="8"/>
      <c r="G199" s="28"/>
    </row>
    <row r="200" spans="1:7" s="4" customFormat="1" x14ac:dyDescent="0.2">
      <c r="A200" s="8"/>
      <c r="B200" s="2"/>
      <c r="C200" s="10"/>
      <c r="D200" s="10"/>
      <c r="E200" s="9"/>
      <c r="F200" s="8"/>
      <c r="G200" s="28"/>
    </row>
    <row r="201" spans="1:7" s="4" customFormat="1" x14ac:dyDescent="0.2">
      <c r="A201" s="8"/>
      <c r="B201" s="2"/>
      <c r="C201" s="10"/>
      <c r="D201" s="10"/>
      <c r="E201" s="9"/>
      <c r="F201" s="8"/>
      <c r="G201" s="28"/>
    </row>
    <row r="202" spans="1:7" s="4" customFormat="1" x14ac:dyDescent="0.2">
      <c r="A202" s="8"/>
      <c r="B202" s="2"/>
      <c r="C202" s="10"/>
      <c r="D202" s="10"/>
      <c r="E202" s="9"/>
      <c r="F202" s="8"/>
      <c r="G202" s="28"/>
    </row>
  </sheetData>
  <mergeCells count="1">
    <mergeCell ref="D92:E92"/>
  </mergeCells>
  <conditionalFormatting sqref="H141:Q141">
    <cfRule type="cellIs" dxfId="1737" priority="51" stopIfTrue="1" operator="greaterThan">
      <formula>$E$141</formula>
    </cfRule>
    <cfRule type="cellIs" dxfId="1736" priority="52" stopIfTrue="1" operator="lessThanOrEqual">
      <formula>$E$141</formula>
    </cfRule>
  </conditionalFormatting>
  <conditionalFormatting sqref="H143:Q143">
    <cfRule type="cellIs" dxfId="1735" priority="49" stopIfTrue="1" operator="lessThanOrEqual">
      <formula>$E$143</formula>
    </cfRule>
    <cfRule type="cellIs" dxfId="1734" priority="50" stopIfTrue="1" operator="greaterThan">
      <formula>$E$143</formula>
    </cfRule>
  </conditionalFormatting>
  <conditionalFormatting sqref="H121:Q121">
    <cfRule type="cellIs" dxfId="1733" priority="47" operator="greaterThan">
      <formula>$E$121</formula>
    </cfRule>
    <cfRule type="cellIs" dxfId="1732" priority="48" operator="lessThanOrEqual">
      <formula>$E$121</formula>
    </cfRule>
  </conditionalFormatting>
  <conditionalFormatting sqref="H124:Q124">
    <cfRule type="cellIs" dxfId="1731" priority="45" stopIfTrue="1" operator="greaterThanOrEqual">
      <formula>$E$124</formula>
    </cfRule>
    <cfRule type="cellIs" dxfId="1730" priority="46" stopIfTrue="1" operator="lessThan">
      <formula>$E$124</formula>
    </cfRule>
  </conditionalFormatting>
  <conditionalFormatting sqref="H126:Q126">
    <cfRule type="cellIs" dxfId="1729" priority="43" stopIfTrue="1" operator="lessThan">
      <formula>$E$126</formula>
    </cfRule>
    <cfRule type="cellIs" dxfId="1728" priority="44" stopIfTrue="1" operator="greaterThanOrEqual">
      <formula>$E$126</formula>
    </cfRule>
  </conditionalFormatting>
  <conditionalFormatting sqref="H125:Q125">
    <cfRule type="cellIs" dxfId="1727" priority="41" stopIfTrue="1" operator="greaterThan">
      <formula>$E$125</formula>
    </cfRule>
    <cfRule type="cellIs" dxfId="1726" priority="42" stopIfTrue="1" operator="lessThanOrEqual">
      <formula>$E$125</formula>
    </cfRule>
  </conditionalFormatting>
  <conditionalFormatting sqref="H122:Q122">
    <cfRule type="cellIs" dxfId="1725" priority="30" stopIfTrue="1" operator="between">
      <formula>$D$122</formula>
      <formula>$E$122</formula>
    </cfRule>
    <cfRule type="cellIs" dxfId="1724" priority="39" stopIfTrue="1" operator="lessThanOrEqual">
      <formula>$D$122</formula>
    </cfRule>
    <cfRule type="cellIs" dxfId="1723" priority="40" stopIfTrue="1" operator="greaterThan">
      <formula>$E$122</formula>
    </cfRule>
  </conditionalFormatting>
  <conditionalFormatting sqref="H142:Q142">
    <cfRule type="cellIs" dxfId="1722" priority="37" stopIfTrue="1" operator="greaterThan">
      <formula>$E$142</formula>
    </cfRule>
    <cfRule type="cellIs" dxfId="1721" priority="38" stopIfTrue="1" operator="lessThanOrEqual">
      <formula>$E$142</formula>
    </cfRule>
  </conditionalFormatting>
  <conditionalFormatting sqref="H130:Q130">
    <cfRule type="cellIs" dxfId="1720" priority="35" stopIfTrue="1" operator="greaterThan">
      <formula>$E$130</formula>
    </cfRule>
    <cfRule type="cellIs" dxfId="1719" priority="36" stopIfTrue="1" operator="lessThanOrEqual">
      <formula>$E$130</formula>
    </cfRule>
  </conditionalFormatting>
  <conditionalFormatting sqref="H131:Q131">
    <cfRule type="cellIs" dxfId="1718" priority="33" stopIfTrue="1" operator="lessThan">
      <formula>$E$131</formula>
    </cfRule>
    <cfRule type="cellIs" dxfId="1717" priority="34" stopIfTrue="1" operator="greaterThanOrEqual">
      <formula>$E$131</formula>
    </cfRule>
  </conditionalFormatting>
  <conditionalFormatting sqref="H114:Q114">
    <cfRule type="cellIs" dxfId="1716" priority="53" stopIfTrue="1" operator="lessThan">
      <formula>$D$114</formula>
    </cfRule>
    <cfRule type="cellIs" dxfId="1715" priority="54" stopIfTrue="1" operator="between">
      <formula>$D$114</formula>
      <formula>$E$114</formula>
    </cfRule>
    <cfRule type="cellIs" dxfId="1714" priority="55" stopIfTrue="1" operator="greaterThan">
      <formula>$E$114</formula>
    </cfRule>
  </conditionalFormatting>
  <conditionalFormatting sqref="H138:Q138">
    <cfRule type="cellIs" dxfId="1713" priority="56" stopIfTrue="1" operator="lessThan">
      <formula>$E$138</formula>
    </cfRule>
    <cfRule type="cellIs" dxfId="1712" priority="57" stopIfTrue="1" operator="between">
      <formula>$D$138</formula>
      <formula>$E$138</formula>
    </cfRule>
    <cfRule type="cellIs" dxfId="1711" priority="58" stopIfTrue="1" operator="greaterThanOrEqual">
      <formula>$D$138</formula>
    </cfRule>
  </conditionalFormatting>
  <conditionalFormatting sqref="H111:Q111">
    <cfRule type="cellIs" dxfId="1710" priority="31" stopIfTrue="1" operator="lessThan">
      <formula>$E$111</formula>
    </cfRule>
    <cfRule type="cellIs" dxfId="1709" priority="32" stopIfTrue="1" operator="greaterThan">
      <formula>$E$111</formula>
    </cfRule>
  </conditionalFormatting>
  <conditionalFormatting sqref="R141:S141">
    <cfRule type="cellIs" dxfId="1708" priority="22" stopIfTrue="1" operator="greaterThan">
      <formula>$E$141</formula>
    </cfRule>
    <cfRule type="cellIs" dxfId="1707" priority="23" stopIfTrue="1" operator="lessThanOrEqual">
      <formula>$E$141</formula>
    </cfRule>
  </conditionalFormatting>
  <conditionalFormatting sqref="R143:S143">
    <cfRule type="cellIs" dxfId="1706" priority="20" stopIfTrue="1" operator="lessThanOrEqual">
      <formula>$E$143</formula>
    </cfRule>
    <cfRule type="cellIs" dxfId="1705" priority="21" stopIfTrue="1" operator="greaterThan">
      <formula>$E$143</formula>
    </cfRule>
  </conditionalFormatting>
  <conditionalFormatting sqref="R121:S121">
    <cfRule type="cellIs" dxfId="1704" priority="18" operator="greaterThan">
      <formula>$E$121</formula>
    </cfRule>
    <cfRule type="cellIs" dxfId="1703" priority="19" operator="lessThanOrEqual">
      <formula>$E$121</formula>
    </cfRule>
  </conditionalFormatting>
  <conditionalFormatting sqref="R124:S124">
    <cfRule type="cellIs" dxfId="1702" priority="16" stopIfTrue="1" operator="greaterThanOrEqual">
      <formula>$E$124</formula>
    </cfRule>
    <cfRule type="cellIs" dxfId="1701" priority="17" stopIfTrue="1" operator="lessThan">
      <formula>$E$124</formula>
    </cfRule>
  </conditionalFormatting>
  <conditionalFormatting sqref="R126:S126">
    <cfRule type="cellIs" dxfId="1700" priority="14" stopIfTrue="1" operator="lessThan">
      <formula>$E$126</formula>
    </cfRule>
    <cfRule type="cellIs" dxfId="1699" priority="15" stopIfTrue="1" operator="greaterThanOrEqual">
      <formula>$E$126</formula>
    </cfRule>
  </conditionalFormatting>
  <conditionalFormatting sqref="R125:S125">
    <cfRule type="cellIs" dxfId="1698" priority="12" stopIfTrue="1" operator="greaterThan">
      <formula>$E$125</formula>
    </cfRule>
    <cfRule type="cellIs" dxfId="1697" priority="13" stopIfTrue="1" operator="lessThanOrEqual">
      <formula>$E$125</formula>
    </cfRule>
  </conditionalFormatting>
  <conditionalFormatting sqref="R122:S122">
    <cfRule type="cellIs" dxfId="1696" priority="1" stopIfTrue="1" operator="between">
      <formula>$D$122</formula>
      <formula>$E$122</formula>
    </cfRule>
    <cfRule type="cellIs" dxfId="1695" priority="10" stopIfTrue="1" operator="lessThanOrEqual">
      <formula>$D$122</formula>
    </cfRule>
    <cfRule type="cellIs" dxfId="1694" priority="11" stopIfTrue="1" operator="greaterThan">
      <formula>$E$122</formula>
    </cfRule>
  </conditionalFormatting>
  <conditionalFormatting sqref="R142:S142">
    <cfRule type="cellIs" dxfId="1693" priority="8" stopIfTrue="1" operator="greaterThan">
      <formula>$E$142</formula>
    </cfRule>
    <cfRule type="cellIs" dxfId="1692" priority="9" stopIfTrue="1" operator="lessThanOrEqual">
      <formula>$E$142</formula>
    </cfRule>
  </conditionalFormatting>
  <conditionalFormatting sqref="R130:S130">
    <cfRule type="cellIs" dxfId="1691" priority="6" stopIfTrue="1" operator="greaterThan">
      <formula>$E$130</formula>
    </cfRule>
    <cfRule type="cellIs" dxfId="1690" priority="7" stopIfTrue="1" operator="lessThanOrEqual">
      <formula>$E$130</formula>
    </cfRule>
  </conditionalFormatting>
  <conditionalFormatting sqref="R131:S131">
    <cfRule type="cellIs" dxfId="1689" priority="4" stopIfTrue="1" operator="lessThan">
      <formula>$E$131</formula>
    </cfRule>
    <cfRule type="cellIs" dxfId="1688" priority="5" stopIfTrue="1" operator="greaterThanOrEqual">
      <formula>$E$131</formula>
    </cfRule>
  </conditionalFormatting>
  <conditionalFormatting sqref="R114:S114">
    <cfRule type="cellIs" dxfId="1687" priority="24" stopIfTrue="1" operator="lessThan">
      <formula>$D$114</formula>
    </cfRule>
    <cfRule type="cellIs" dxfId="1686" priority="25" stopIfTrue="1" operator="between">
      <formula>$D$114</formula>
      <formula>$E$114</formula>
    </cfRule>
    <cfRule type="cellIs" dxfId="1685" priority="26" stopIfTrue="1" operator="greaterThan">
      <formula>$E$114</formula>
    </cfRule>
  </conditionalFormatting>
  <conditionalFormatting sqref="R138:S138">
    <cfRule type="cellIs" dxfId="1684" priority="27" stopIfTrue="1" operator="lessThan">
      <formula>$E$138</formula>
    </cfRule>
    <cfRule type="cellIs" dxfId="1683" priority="28" stopIfTrue="1" operator="between">
      <formula>$D$138</formula>
      <formula>$E$138</formula>
    </cfRule>
    <cfRule type="cellIs" dxfId="1682" priority="29" stopIfTrue="1" operator="greaterThanOrEqual">
      <formula>$D$138</formula>
    </cfRule>
  </conditionalFormatting>
  <conditionalFormatting sqref="R111:S111">
    <cfRule type="cellIs" dxfId="1681" priority="2" stopIfTrue="1" operator="lessThan">
      <formula>$E$111</formula>
    </cfRule>
    <cfRule type="cellIs" dxfId="1680" priority="3" stopIfTrue="1" operator="greaterThan">
      <formula>$E$111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AE750C-D156-438C-B390-8A59362E3E28}">
  <dimension ref="A1:U202"/>
  <sheetViews>
    <sheetView workbookViewId="0">
      <selection activeCell="G2" sqref="G2"/>
    </sheetView>
  </sheetViews>
  <sheetFormatPr defaultRowHeight="11.25" outlineLevelCol="1" x14ac:dyDescent="0.2"/>
  <cols>
    <col min="1" max="1" width="7.7109375" style="47" customWidth="1"/>
    <col min="2" max="3" width="9.140625" style="47"/>
    <col min="4" max="4" width="4.5703125" style="47" bestFit="1" customWidth="1"/>
    <col min="5" max="5" width="9.140625" style="47"/>
    <col min="6" max="6" width="1.7109375" style="8" bestFit="1" customWidth="1"/>
    <col min="7" max="7" width="29" style="47" customWidth="1"/>
    <col min="8" max="12" width="7.85546875" style="47" hidden="1" customWidth="1" outlineLevel="1"/>
    <col min="13" max="13" width="8.7109375" style="47" bestFit="1" customWidth="1" collapsed="1"/>
    <col min="14" max="14" width="10.28515625" style="47" customWidth="1"/>
    <col min="15" max="19" width="8.7109375" style="47" bestFit="1" customWidth="1"/>
    <col min="20" max="16384" width="9.140625" style="47"/>
  </cols>
  <sheetData>
    <row r="1" spans="1:19" x14ac:dyDescent="0.2">
      <c r="A1" s="1"/>
      <c r="B1" s="2"/>
      <c r="C1" s="3"/>
      <c r="D1" s="3"/>
      <c r="E1" s="1"/>
      <c r="F1" s="1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</row>
    <row r="2" spans="1:19" x14ac:dyDescent="0.2">
      <c r="A2" s="3" t="s">
        <v>0</v>
      </c>
      <c r="B2" s="5" t="s">
        <v>1</v>
      </c>
      <c r="C2" s="3" t="s">
        <v>2</v>
      </c>
      <c r="D2" s="3"/>
      <c r="E2" s="1" t="s">
        <v>3</v>
      </c>
      <c r="F2" s="1"/>
      <c r="G2" s="185" t="s">
        <v>468</v>
      </c>
      <c r="H2" s="50"/>
      <c r="I2" s="51"/>
      <c r="J2" s="51"/>
      <c r="K2" s="50"/>
      <c r="L2" s="52"/>
      <c r="M2" s="71" t="s">
        <v>366</v>
      </c>
      <c r="N2" s="122" t="s">
        <v>469</v>
      </c>
      <c r="O2" s="72"/>
      <c r="P2" s="72"/>
      <c r="Q2" s="72"/>
      <c r="R2" s="73"/>
    </row>
    <row r="3" spans="1:19" x14ac:dyDescent="0.2">
      <c r="A3" s="1"/>
      <c r="B3" s="6"/>
      <c r="C3" s="3"/>
      <c r="D3" s="3"/>
      <c r="E3" s="1"/>
      <c r="F3" s="1"/>
      <c r="G3" s="53" t="s">
        <v>4</v>
      </c>
      <c r="H3" s="186">
        <v>40908</v>
      </c>
      <c r="I3" s="186">
        <v>41274</v>
      </c>
      <c r="J3" s="186">
        <v>41639</v>
      </c>
      <c r="K3" s="186">
        <v>42004</v>
      </c>
      <c r="L3" s="54">
        <v>42369</v>
      </c>
      <c r="M3" s="54">
        <v>42735</v>
      </c>
      <c r="N3" s="54">
        <v>43100</v>
      </c>
      <c r="O3" s="54">
        <v>43465</v>
      </c>
      <c r="P3" s="54">
        <v>43830</v>
      </c>
      <c r="Q3" s="54">
        <v>44196</v>
      </c>
      <c r="R3" s="54">
        <v>44561</v>
      </c>
      <c r="S3" s="54">
        <v>44926</v>
      </c>
    </row>
    <row r="4" spans="1:19" x14ac:dyDescent="0.2">
      <c r="A4" s="7"/>
      <c r="B4" s="2" t="s">
        <v>5</v>
      </c>
      <c r="C4" s="3">
        <v>1</v>
      </c>
      <c r="D4" s="3"/>
      <c r="E4" s="5"/>
      <c r="F4" s="7"/>
      <c r="G4" s="55" t="s">
        <v>6</v>
      </c>
      <c r="H4" s="187">
        <f t="shared" ref="H4:S4" si="0">H5+H10</f>
        <v>0</v>
      </c>
      <c r="I4" s="187">
        <f t="shared" si="0"/>
        <v>0</v>
      </c>
      <c r="J4" s="187">
        <f t="shared" si="0"/>
        <v>0</v>
      </c>
      <c r="K4" s="187">
        <f t="shared" si="0"/>
        <v>0</v>
      </c>
      <c r="L4" s="187">
        <f t="shared" si="0"/>
        <v>0</v>
      </c>
      <c r="M4" s="56">
        <f t="shared" si="0"/>
        <v>2097.7479999999996</v>
      </c>
      <c r="N4" s="56">
        <f t="shared" si="0"/>
        <v>2618.538</v>
      </c>
      <c r="O4" s="56">
        <f t="shared" si="0"/>
        <v>1986</v>
      </c>
      <c r="P4" s="56">
        <f t="shared" si="0"/>
        <v>2136</v>
      </c>
      <c r="Q4" s="56">
        <f t="shared" si="0"/>
        <v>2386</v>
      </c>
      <c r="R4" s="56">
        <f t="shared" si="0"/>
        <v>2446</v>
      </c>
      <c r="S4" s="56">
        <f t="shared" si="0"/>
        <v>2476</v>
      </c>
    </row>
    <row r="5" spans="1:19" x14ac:dyDescent="0.2">
      <c r="A5" s="8"/>
      <c r="B5" s="2" t="s">
        <v>7</v>
      </c>
      <c r="C5" s="3">
        <v>10</v>
      </c>
      <c r="D5" s="3"/>
      <c r="E5" s="9"/>
      <c r="G5" s="57" t="s">
        <v>8</v>
      </c>
      <c r="H5" s="187">
        <f t="shared" ref="H5:R5" si="1">SUM(H6:H9)</f>
        <v>0</v>
      </c>
      <c r="I5" s="187">
        <f t="shared" si="1"/>
        <v>0</v>
      </c>
      <c r="J5" s="187">
        <f t="shared" si="1"/>
        <v>0</v>
      </c>
      <c r="K5" s="187">
        <f t="shared" si="1"/>
        <v>0</v>
      </c>
      <c r="L5" s="187">
        <f t="shared" si="1"/>
        <v>0</v>
      </c>
      <c r="M5" s="56">
        <f t="shared" si="1"/>
        <v>1522.1839999999997</v>
      </c>
      <c r="N5" s="56">
        <f t="shared" si="1"/>
        <v>1914.713</v>
      </c>
      <c r="O5" s="56">
        <f t="shared" si="1"/>
        <v>1164</v>
      </c>
      <c r="P5" s="56">
        <f t="shared" si="1"/>
        <v>1206</v>
      </c>
      <c r="Q5" s="56">
        <f t="shared" si="1"/>
        <v>1256</v>
      </c>
      <c r="R5" s="56">
        <f t="shared" si="1"/>
        <v>1316</v>
      </c>
      <c r="S5" s="56">
        <f>SUM(S6:S9)</f>
        <v>1376</v>
      </c>
    </row>
    <row r="6" spans="1:19" ht="12" x14ac:dyDescent="0.2">
      <c r="A6" s="8"/>
      <c r="B6" s="2" t="s">
        <v>9</v>
      </c>
      <c r="C6" s="10" t="s">
        <v>10</v>
      </c>
      <c r="D6" s="10"/>
      <c r="E6" s="11" t="s">
        <v>11</v>
      </c>
      <c r="G6" s="57" t="s">
        <v>12</v>
      </c>
      <c r="H6" s="187">
        <v>0</v>
      </c>
      <c r="I6" s="187">
        <v>0</v>
      </c>
      <c r="J6" s="187">
        <v>0</v>
      </c>
      <c r="K6" s="187">
        <v>0</v>
      </c>
      <c r="L6" s="187">
        <v>0</v>
      </c>
      <c r="M6" s="58">
        <v>1413.377</v>
      </c>
      <c r="N6" s="76">
        <v>1771.48</v>
      </c>
      <c r="O6" s="76">
        <v>894</v>
      </c>
      <c r="P6" s="76">
        <v>966</v>
      </c>
      <c r="Q6" s="76">
        <v>1016</v>
      </c>
      <c r="R6" s="76">
        <v>1076</v>
      </c>
      <c r="S6" s="58">
        <v>1136</v>
      </c>
    </row>
    <row r="7" spans="1:19" ht="12" x14ac:dyDescent="0.2">
      <c r="A7" s="8"/>
      <c r="B7" s="2" t="s">
        <v>13</v>
      </c>
      <c r="C7" s="10" t="s">
        <v>14</v>
      </c>
      <c r="D7" s="10"/>
      <c r="E7" s="11" t="s">
        <v>11</v>
      </c>
      <c r="G7" s="57" t="s">
        <v>15</v>
      </c>
      <c r="H7" s="187">
        <v>0</v>
      </c>
      <c r="I7" s="187">
        <v>0</v>
      </c>
      <c r="J7" s="187">
        <v>0</v>
      </c>
      <c r="K7" s="187">
        <v>0</v>
      </c>
      <c r="L7" s="187">
        <v>0</v>
      </c>
      <c r="M7" s="58">
        <v>92.936999999999998</v>
      </c>
      <c r="N7" s="76">
        <v>88.855999999999995</v>
      </c>
      <c r="O7" s="76">
        <v>190</v>
      </c>
      <c r="P7" s="76">
        <v>190</v>
      </c>
      <c r="Q7" s="76">
        <v>190</v>
      </c>
      <c r="R7" s="76">
        <v>190</v>
      </c>
      <c r="S7" s="76">
        <v>190</v>
      </c>
    </row>
    <row r="8" spans="1:19" ht="12" x14ac:dyDescent="0.2">
      <c r="A8" s="8"/>
      <c r="B8" s="2" t="s">
        <v>16</v>
      </c>
      <c r="C8" s="10" t="s">
        <v>17</v>
      </c>
      <c r="D8" s="10"/>
      <c r="E8" s="11" t="s">
        <v>11</v>
      </c>
      <c r="G8" s="57" t="s">
        <v>18</v>
      </c>
      <c r="H8" s="187">
        <v>0</v>
      </c>
      <c r="I8" s="187">
        <v>0</v>
      </c>
      <c r="J8" s="187">
        <v>0</v>
      </c>
      <c r="K8" s="187">
        <v>0</v>
      </c>
      <c r="L8" s="187">
        <v>0</v>
      </c>
      <c r="M8" s="58">
        <v>0</v>
      </c>
      <c r="N8" s="76">
        <v>0</v>
      </c>
      <c r="O8" s="76">
        <v>0</v>
      </c>
      <c r="P8" s="76">
        <v>0</v>
      </c>
      <c r="Q8" s="76">
        <v>0</v>
      </c>
      <c r="R8" s="76">
        <v>0</v>
      </c>
      <c r="S8" s="58">
        <v>0</v>
      </c>
    </row>
    <row r="9" spans="1:19" x14ac:dyDescent="0.2">
      <c r="A9" s="8"/>
      <c r="B9" s="2" t="s">
        <v>19</v>
      </c>
      <c r="C9" s="10">
        <v>108</v>
      </c>
      <c r="D9" s="10"/>
      <c r="E9" s="12"/>
      <c r="G9" s="57" t="s">
        <v>20</v>
      </c>
      <c r="H9" s="187">
        <v>0</v>
      </c>
      <c r="I9" s="187">
        <v>0</v>
      </c>
      <c r="J9" s="187">
        <v>0</v>
      </c>
      <c r="K9" s="187">
        <v>0</v>
      </c>
      <c r="L9" s="187">
        <v>0</v>
      </c>
      <c r="M9" s="58">
        <v>15.87</v>
      </c>
      <c r="N9" s="76">
        <v>54.377000000000002</v>
      </c>
      <c r="O9" s="76">
        <v>80</v>
      </c>
      <c r="P9" s="76">
        <v>50</v>
      </c>
      <c r="Q9" s="76">
        <v>50</v>
      </c>
      <c r="R9" s="76">
        <v>50</v>
      </c>
      <c r="S9" s="76">
        <v>50</v>
      </c>
    </row>
    <row r="10" spans="1:19" x14ac:dyDescent="0.2">
      <c r="A10" s="13"/>
      <c r="B10" s="2" t="s">
        <v>21</v>
      </c>
      <c r="C10" s="14">
        <v>15</v>
      </c>
      <c r="D10" s="14"/>
      <c r="E10" s="12"/>
      <c r="F10" s="13"/>
      <c r="G10" s="57" t="s">
        <v>22</v>
      </c>
      <c r="H10" s="187">
        <f t="shared" ref="H10:S10" si="2">SUM(H11:H16)</f>
        <v>0</v>
      </c>
      <c r="I10" s="187">
        <f t="shared" si="2"/>
        <v>0</v>
      </c>
      <c r="J10" s="187">
        <f t="shared" si="2"/>
        <v>0</v>
      </c>
      <c r="K10" s="187">
        <f t="shared" si="2"/>
        <v>0</v>
      </c>
      <c r="L10" s="187">
        <f t="shared" si="2"/>
        <v>0</v>
      </c>
      <c r="M10" s="56">
        <f t="shared" si="2"/>
        <v>575.56399999999996</v>
      </c>
      <c r="N10" s="77">
        <f t="shared" si="2"/>
        <v>703.82500000000005</v>
      </c>
      <c r="O10" s="77">
        <f t="shared" si="2"/>
        <v>822</v>
      </c>
      <c r="P10" s="77">
        <f t="shared" si="2"/>
        <v>930</v>
      </c>
      <c r="Q10" s="77">
        <f t="shared" si="2"/>
        <v>1130</v>
      </c>
      <c r="R10" s="77">
        <f t="shared" si="2"/>
        <v>1130</v>
      </c>
      <c r="S10" s="56">
        <f t="shared" si="2"/>
        <v>1100</v>
      </c>
    </row>
    <row r="11" spans="1:19" ht="12" x14ac:dyDescent="0.2">
      <c r="A11" s="13"/>
      <c r="B11" s="2" t="s">
        <v>23</v>
      </c>
      <c r="C11" s="14">
        <v>150</v>
      </c>
      <c r="D11" s="14"/>
      <c r="E11" s="11" t="s">
        <v>11</v>
      </c>
      <c r="F11" s="13"/>
      <c r="G11" s="57" t="s">
        <v>24</v>
      </c>
      <c r="H11" s="187">
        <v>0</v>
      </c>
      <c r="I11" s="187">
        <v>0</v>
      </c>
      <c r="J11" s="187">
        <v>0</v>
      </c>
      <c r="K11" s="187">
        <v>0</v>
      </c>
      <c r="L11" s="187">
        <v>0</v>
      </c>
      <c r="M11" s="58">
        <v>0</v>
      </c>
      <c r="N11" s="76">
        <v>0</v>
      </c>
      <c r="O11" s="76">
        <v>0</v>
      </c>
      <c r="P11" s="76">
        <v>0</v>
      </c>
      <c r="Q11" s="76">
        <v>0</v>
      </c>
      <c r="R11" s="76">
        <v>0</v>
      </c>
      <c r="S11" s="58">
        <v>0</v>
      </c>
    </row>
    <row r="12" spans="1:19" ht="12" x14ac:dyDescent="0.2">
      <c r="A12" s="13"/>
      <c r="B12" s="2" t="s">
        <v>25</v>
      </c>
      <c r="C12" s="14">
        <v>151</v>
      </c>
      <c r="D12" s="14"/>
      <c r="E12" s="11" t="s">
        <v>11</v>
      </c>
      <c r="F12" s="13"/>
      <c r="G12" s="57" t="s">
        <v>26</v>
      </c>
      <c r="H12" s="187">
        <v>0</v>
      </c>
      <c r="I12" s="187">
        <v>0</v>
      </c>
      <c r="J12" s="187">
        <v>0</v>
      </c>
      <c r="K12" s="187">
        <v>0</v>
      </c>
      <c r="L12" s="187">
        <v>0</v>
      </c>
      <c r="M12" s="58">
        <v>0</v>
      </c>
      <c r="N12" s="76">
        <v>0</v>
      </c>
      <c r="O12" s="76">
        <v>0</v>
      </c>
      <c r="P12" s="76">
        <v>0</v>
      </c>
      <c r="Q12" s="76">
        <v>0</v>
      </c>
      <c r="R12" s="76">
        <v>0</v>
      </c>
      <c r="S12" s="58">
        <v>0</v>
      </c>
    </row>
    <row r="13" spans="1:19" ht="12" x14ac:dyDescent="0.2">
      <c r="A13" s="8"/>
      <c r="B13" s="2" t="s">
        <v>27</v>
      </c>
      <c r="C13" s="10" t="s">
        <v>28</v>
      </c>
      <c r="D13" s="10"/>
      <c r="E13" s="11" t="s">
        <v>11</v>
      </c>
      <c r="G13" s="57" t="s">
        <v>29</v>
      </c>
      <c r="H13" s="187">
        <v>0</v>
      </c>
      <c r="I13" s="187">
        <v>0</v>
      </c>
      <c r="J13" s="187">
        <v>0</v>
      </c>
      <c r="K13" s="187">
        <v>0</v>
      </c>
      <c r="L13" s="187">
        <v>0</v>
      </c>
      <c r="M13" s="58">
        <v>0</v>
      </c>
      <c r="N13" s="76">
        <v>0</v>
      </c>
      <c r="O13" s="76">
        <v>0</v>
      </c>
      <c r="P13" s="76">
        <v>0</v>
      </c>
      <c r="Q13" s="76">
        <v>0</v>
      </c>
      <c r="R13" s="76">
        <v>0</v>
      </c>
      <c r="S13" s="58">
        <v>0</v>
      </c>
    </row>
    <row r="14" spans="1:19" ht="12" x14ac:dyDescent="0.2">
      <c r="A14" s="8"/>
      <c r="B14" s="2" t="s">
        <v>30</v>
      </c>
      <c r="C14" s="10">
        <v>154</v>
      </c>
      <c r="D14" s="10"/>
      <c r="E14" s="11" t="s">
        <v>11</v>
      </c>
      <c r="G14" s="57" t="s">
        <v>31</v>
      </c>
      <c r="H14" s="187">
        <v>0</v>
      </c>
      <c r="I14" s="187">
        <v>0</v>
      </c>
      <c r="J14" s="187">
        <v>0</v>
      </c>
      <c r="K14" s="187">
        <v>0</v>
      </c>
      <c r="L14" s="187">
        <v>0</v>
      </c>
      <c r="M14" s="58">
        <v>0</v>
      </c>
      <c r="N14" s="76">
        <v>0</v>
      </c>
      <c r="O14" s="76">
        <v>0</v>
      </c>
      <c r="P14" s="76">
        <v>0</v>
      </c>
      <c r="Q14" s="76">
        <v>0</v>
      </c>
      <c r="R14" s="76">
        <v>0</v>
      </c>
      <c r="S14" s="58">
        <v>0</v>
      </c>
    </row>
    <row r="15" spans="1:19" ht="12" x14ac:dyDescent="0.2">
      <c r="A15" s="8"/>
      <c r="B15" s="2" t="s">
        <v>32</v>
      </c>
      <c r="C15" s="10" t="s">
        <v>33</v>
      </c>
      <c r="D15" s="10"/>
      <c r="E15" s="11" t="s">
        <v>11</v>
      </c>
      <c r="G15" s="57" t="s">
        <v>34</v>
      </c>
      <c r="H15" s="187">
        <v>0</v>
      </c>
      <c r="I15" s="187">
        <v>0</v>
      </c>
      <c r="J15" s="187">
        <v>0</v>
      </c>
      <c r="K15" s="187">
        <v>0</v>
      </c>
      <c r="L15" s="187">
        <v>0</v>
      </c>
      <c r="M15" s="58">
        <v>575.56399999999996</v>
      </c>
      <c r="N15" s="76">
        <v>703.82500000000005</v>
      </c>
      <c r="O15" s="76">
        <v>822</v>
      </c>
      <c r="P15" s="76">
        <v>930</v>
      </c>
      <c r="Q15" s="76">
        <v>1130</v>
      </c>
      <c r="R15" s="76">
        <v>1130</v>
      </c>
      <c r="S15" s="58">
        <v>1100</v>
      </c>
    </row>
    <row r="16" spans="1:19" ht="12" x14ac:dyDescent="0.2">
      <c r="A16" s="8"/>
      <c r="B16" s="2" t="s">
        <v>35</v>
      </c>
      <c r="C16" s="10">
        <v>157</v>
      </c>
      <c r="D16" s="10"/>
      <c r="E16" s="11" t="s">
        <v>11</v>
      </c>
      <c r="G16" s="57" t="s">
        <v>36</v>
      </c>
      <c r="H16" s="187">
        <v>0</v>
      </c>
      <c r="I16" s="187">
        <v>0</v>
      </c>
      <c r="J16" s="187">
        <v>0</v>
      </c>
      <c r="K16" s="187">
        <v>0</v>
      </c>
      <c r="L16" s="187">
        <v>0</v>
      </c>
      <c r="M16" s="58">
        <v>0</v>
      </c>
      <c r="N16" s="76">
        <v>0</v>
      </c>
      <c r="O16" s="76">
        <v>0</v>
      </c>
      <c r="P16" s="76">
        <v>0</v>
      </c>
      <c r="Q16" s="76">
        <v>0</v>
      </c>
      <c r="R16" s="76">
        <v>0</v>
      </c>
      <c r="S16" s="58">
        <v>0</v>
      </c>
    </row>
    <row r="17" spans="1:19" ht="12" x14ac:dyDescent="0.2">
      <c r="A17" s="15"/>
      <c r="B17" s="2" t="s">
        <v>37</v>
      </c>
      <c r="C17" s="78" t="s">
        <v>38</v>
      </c>
      <c r="D17" s="15"/>
      <c r="E17" s="11" t="s">
        <v>11</v>
      </c>
      <c r="F17" s="16"/>
      <c r="G17" s="59" t="s">
        <v>39</v>
      </c>
      <c r="H17" s="188">
        <v>0</v>
      </c>
      <c r="I17" s="188">
        <v>0</v>
      </c>
      <c r="J17" s="188">
        <v>0</v>
      </c>
      <c r="K17" s="188">
        <v>0</v>
      </c>
      <c r="L17" s="188">
        <v>0</v>
      </c>
      <c r="M17" s="60">
        <v>0</v>
      </c>
      <c r="N17" s="80">
        <v>0</v>
      </c>
      <c r="O17" s="80">
        <v>0</v>
      </c>
      <c r="P17" s="80">
        <v>0</v>
      </c>
      <c r="Q17" s="80">
        <v>0</v>
      </c>
      <c r="R17" s="80">
        <v>0</v>
      </c>
      <c r="S17" s="60">
        <v>0</v>
      </c>
    </row>
    <row r="18" spans="1:19" x14ac:dyDescent="0.2">
      <c r="A18" s="8"/>
      <c r="B18" s="2" t="s">
        <v>40</v>
      </c>
      <c r="C18" s="10">
        <v>2</v>
      </c>
      <c r="D18" s="10"/>
      <c r="E18" s="12"/>
      <c r="G18" s="57" t="s">
        <v>41</v>
      </c>
      <c r="H18" s="187">
        <f t="shared" ref="H18:S18" si="3">H19+H27</f>
        <v>0</v>
      </c>
      <c r="I18" s="187">
        <f t="shared" si="3"/>
        <v>0</v>
      </c>
      <c r="J18" s="187">
        <f t="shared" si="3"/>
        <v>0</v>
      </c>
      <c r="K18" s="187">
        <f t="shared" si="3"/>
        <v>0</v>
      </c>
      <c r="L18" s="187">
        <f t="shared" si="3"/>
        <v>0</v>
      </c>
      <c r="M18" s="56">
        <f t="shared" si="3"/>
        <v>2097.748</v>
      </c>
      <c r="N18" s="77">
        <f t="shared" si="3"/>
        <v>2618.538</v>
      </c>
      <c r="O18" s="77">
        <f t="shared" si="3"/>
        <v>1985.7909999999997</v>
      </c>
      <c r="P18" s="77">
        <f t="shared" si="3"/>
        <v>2135.7910000000002</v>
      </c>
      <c r="Q18" s="77">
        <f t="shared" si="3"/>
        <v>2385.7889999999998</v>
      </c>
      <c r="R18" s="77">
        <f t="shared" si="3"/>
        <v>2445.7889999999998</v>
      </c>
      <c r="S18" s="56">
        <f t="shared" si="3"/>
        <v>2475.7889999999998</v>
      </c>
    </row>
    <row r="19" spans="1:19" x14ac:dyDescent="0.2">
      <c r="A19" s="8"/>
      <c r="B19" s="2" t="s">
        <v>42</v>
      </c>
      <c r="C19" s="10" t="s">
        <v>43</v>
      </c>
      <c r="D19" s="10"/>
      <c r="E19" s="12"/>
      <c r="G19" s="57" t="s">
        <v>44</v>
      </c>
      <c r="H19" s="187">
        <f t="shared" ref="H19:S19" si="4">SUM(H21:H26)</f>
        <v>0</v>
      </c>
      <c r="I19" s="187">
        <f t="shared" si="4"/>
        <v>0</v>
      </c>
      <c r="J19" s="187">
        <f t="shared" si="4"/>
        <v>0</v>
      </c>
      <c r="K19" s="187">
        <f t="shared" si="4"/>
        <v>0</v>
      </c>
      <c r="L19" s="187">
        <f t="shared" si="4"/>
        <v>0</v>
      </c>
      <c r="M19" s="56">
        <f t="shared" si="4"/>
        <v>495.50599999999997</v>
      </c>
      <c r="N19" s="77">
        <f t="shared" si="4"/>
        <v>487.21300000000002</v>
      </c>
      <c r="O19" s="77">
        <f t="shared" si="4"/>
        <v>550</v>
      </c>
      <c r="P19" s="77">
        <f t="shared" si="4"/>
        <v>550</v>
      </c>
      <c r="Q19" s="77">
        <f t="shared" si="4"/>
        <v>550</v>
      </c>
      <c r="R19" s="77">
        <f t="shared" si="4"/>
        <v>550</v>
      </c>
      <c r="S19" s="56">
        <f t="shared" si="4"/>
        <v>550</v>
      </c>
    </row>
    <row r="20" spans="1:19" ht="12" x14ac:dyDescent="0.2">
      <c r="A20" s="17"/>
      <c r="B20" s="2" t="s">
        <v>45</v>
      </c>
      <c r="C20" s="78" t="s">
        <v>46</v>
      </c>
      <c r="D20" s="15"/>
      <c r="E20" s="11" t="s">
        <v>11</v>
      </c>
      <c r="F20" s="17"/>
      <c r="G20" s="59" t="s">
        <v>47</v>
      </c>
      <c r="H20" s="189">
        <v>0</v>
      </c>
      <c r="I20" s="189">
        <v>0</v>
      </c>
      <c r="J20" s="189">
        <v>0</v>
      </c>
      <c r="K20" s="189">
        <v>0</v>
      </c>
      <c r="L20" s="189">
        <v>0</v>
      </c>
      <c r="M20" s="61">
        <v>495.50599999999997</v>
      </c>
      <c r="N20" s="82">
        <v>487.21300000000002</v>
      </c>
      <c r="O20" s="82">
        <v>550</v>
      </c>
      <c r="P20" s="82">
        <v>550</v>
      </c>
      <c r="Q20" s="82">
        <v>550</v>
      </c>
      <c r="R20" s="82">
        <v>550</v>
      </c>
      <c r="S20" s="82">
        <v>550</v>
      </c>
    </row>
    <row r="21" spans="1:19" ht="12" x14ac:dyDescent="0.2">
      <c r="A21" s="8"/>
      <c r="B21" s="2" t="s">
        <v>48</v>
      </c>
      <c r="C21" s="18" t="s">
        <v>49</v>
      </c>
      <c r="D21" s="18"/>
      <c r="E21" s="11" t="s">
        <v>11</v>
      </c>
      <c r="G21" s="57" t="s">
        <v>50</v>
      </c>
      <c r="H21" s="187">
        <v>0</v>
      </c>
      <c r="I21" s="187">
        <v>0</v>
      </c>
      <c r="J21" s="187">
        <v>0</v>
      </c>
      <c r="K21" s="187">
        <v>0</v>
      </c>
      <c r="L21" s="187">
        <v>0</v>
      </c>
      <c r="M21" s="58">
        <v>495.50599999999997</v>
      </c>
      <c r="N21" s="76">
        <v>487.21300000000002</v>
      </c>
      <c r="O21" s="76">
        <v>550</v>
      </c>
      <c r="P21" s="76">
        <v>550</v>
      </c>
      <c r="Q21" s="76">
        <v>550</v>
      </c>
      <c r="R21" s="76">
        <v>550</v>
      </c>
      <c r="S21" s="76">
        <v>550</v>
      </c>
    </row>
    <row r="22" spans="1:19" ht="12" x14ac:dyDescent="0.2">
      <c r="A22" s="8"/>
      <c r="B22" s="2" t="s">
        <v>51</v>
      </c>
      <c r="C22" s="10" t="s">
        <v>52</v>
      </c>
      <c r="D22" s="10"/>
      <c r="E22" s="11" t="s">
        <v>11</v>
      </c>
      <c r="G22" s="57" t="s">
        <v>53</v>
      </c>
      <c r="H22" s="187">
        <v>0</v>
      </c>
      <c r="I22" s="187">
        <v>0</v>
      </c>
      <c r="J22" s="187">
        <v>0</v>
      </c>
      <c r="K22" s="187">
        <v>0</v>
      </c>
      <c r="L22" s="187">
        <v>0</v>
      </c>
      <c r="M22" s="58">
        <v>0</v>
      </c>
      <c r="N22" s="76">
        <v>0</v>
      </c>
      <c r="O22" s="76">
        <v>0</v>
      </c>
      <c r="P22" s="76">
        <v>0</v>
      </c>
      <c r="Q22" s="76">
        <v>0</v>
      </c>
      <c r="R22" s="76">
        <v>0</v>
      </c>
      <c r="S22" s="58">
        <v>0</v>
      </c>
    </row>
    <row r="23" spans="1:19" ht="12" x14ac:dyDescent="0.2">
      <c r="A23" s="8"/>
      <c r="B23" s="2" t="s">
        <v>54</v>
      </c>
      <c r="C23" s="10">
        <v>257</v>
      </c>
      <c r="D23" s="10"/>
      <c r="E23" s="11" t="s">
        <v>11</v>
      </c>
      <c r="G23" s="57" t="s">
        <v>55</v>
      </c>
      <c r="H23" s="187">
        <v>0</v>
      </c>
      <c r="I23" s="187">
        <v>0</v>
      </c>
      <c r="J23" s="187">
        <v>0</v>
      </c>
      <c r="K23" s="187">
        <v>0</v>
      </c>
      <c r="L23" s="187">
        <v>0</v>
      </c>
      <c r="M23" s="58">
        <v>0</v>
      </c>
      <c r="N23" s="76">
        <v>0</v>
      </c>
      <c r="O23" s="76">
        <v>0</v>
      </c>
      <c r="P23" s="76">
        <v>0</v>
      </c>
      <c r="Q23" s="76">
        <v>0</v>
      </c>
      <c r="R23" s="76">
        <v>0</v>
      </c>
      <c r="S23" s="58">
        <v>0</v>
      </c>
    </row>
    <row r="24" spans="1:19" ht="12" x14ac:dyDescent="0.2">
      <c r="A24" s="19"/>
      <c r="B24" s="2" t="s">
        <v>56</v>
      </c>
      <c r="C24" s="10" t="s">
        <v>57</v>
      </c>
      <c r="D24" s="10"/>
      <c r="E24" s="11" t="s">
        <v>11</v>
      </c>
      <c r="F24" s="19"/>
      <c r="G24" s="57" t="s">
        <v>58</v>
      </c>
      <c r="H24" s="187">
        <v>0</v>
      </c>
      <c r="I24" s="187">
        <v>0</v>
      </c>
      <c r="J24" s="187">
        <v>0</v>
      </c>
      <c r="K24" s="187">
        <v>0</v>
      </c>
      <c r="L24" s="187">
        <v>0</v>
      </c>
      <c r="M24" s="58">
        <v>0</v>
      </c>
      <c r="N24" s="76">
        <v>0</v>
      </c>
      <c r="O24" s="76">
        <v>0</v>
      </c>
      <c r="P24" s="76">
        <v>0</v>
      </c>
      <c r="Q24" s="76">
        <v>0</v>
      </c>
      <c r="R24" s="76">
        <v>0</v>
      </c>
      <c r="S24" s="58">
        <v>0</v>
      </c>
    </row>
    <row r="25" spans="1:19" ht="12" x14ac:dyDescent="0.2">
      <c r="A25" s="19"/>
      <c r="B25" s="2" t="s">
        <v>59</v>
      </c>
      <c r="C25" s="10" t="s">
        <v>60</v>
      </c>
      <c r="D25" s="10"/>
      <c r="E25" s="11" t="s">
        <v>11</v>
      </c>
      <c r="F25" s="19"/>
      <c r="G25" s="57" t="s">
        <v>61</v>
      </c>
      <c r="H25" s="187">
        <v>0</v>
      </c>
      <c r="I25" s="187">
        <v>0</v>
      </c>
      <c r="J25" s="187">
        <v>0</v>
      </c>
      <c r="K25" s="187">
        <v>0</v>
      </c>
      <c r="L25" s="187">
        <v>0</v>
      </c>
      <c r="M25" s="58">
        <v>0</v>
      </c>
      <c r="N25" s="76">
        <v>0</v>
      </c>
      <c r="O25" s="76">
        <v>0</v>
      </c>
      <c r="P25" s="76">
        <v>0</v>
      </c>
      <c r="Q25" s="76">
        <v>0</v>
      </c>
      <c r="R25" s="76">
        <v>0</v>
      </c>
      <c r="S25" s="58">
        <v>0</v>
      </c>
    </row>
    <row r="26" spans="1:19" ht="12" x14ac:dyDescent="0.2">
      <c r="A26" s="8"/>
      <c r="B26" s="2" t="s">
        <v>62</v>
      </c>
      <c r="C26" s="10">
        <v>28</v>
      </c>
      <c r="D26" s="10"/>
      <c r="E26" s="11" t="s">
        <v>11</v>
      </c>
      <c r="G26" s="57" t="s">
        <v>63</v>
      </c>
      <c r="H26" s="187">
        <v>0</v>
      </c>
      <c r="I26" s="187">
        <v>0</v>
      </c>
      <c r="J26" s="187">
        <v>0</v>
      </c>
      <c r="K26" s="187">
        <v>0</v>
      </c>
      <c r="L26" s="187">
        <v>0</v>
      </c>
      <c r="M26" s="58">
        <v>0</v>
      </c>
      <c r="N26" s="76">
        <v>0</v>
      </c>
      <c r="O26" s="76">
        <v>0</v>
      </c>
      <c r="P26" s="76">
        <v>0</v>
      </c>
      <c r="Q26" s="76">
        <v>0</v>
      </c>
      <c r="R26" s="76">
        <v>0</v>
      </c>
      <c r="S26" s="58">
        <v>0</v>
      </c>
    </row>
    <row r="27" spans="1:19" x14ac:dyDescent="0.2">
      <c r="A27" s="8"/>
      <c r="B27" s="2" t="s">
        <v>64</v>
      </c>
      <c r="C27" s="10">
        <v>29</v>
      </c>
      <c r="D27" s="10"/>
      <c r="E27" s="12"/>
      <c r="G27" s="57" t="s">
        <v>65</v>
      </c>
      <c r="H27" s="187">
        <f t="shared" ref="H27:S27" si="5">SUM(H28:H30)</f>
        <v>0</v>
      </c>
      <c r="I27" s="187">
        <f t="shared" si="5"/>
        <v>0</v>
      </c>
      <c r="J27" s="187">
        <f t="shared" si="5"/>
        <v>0</v>
      </c>
      <c r="K27" s="187">
        <f t="shared" si="5"/>
        <v>0</v>
      </c>
      <c r="L27" s="187">
        <f t="shared" si="5"/>
        <v>0</v>
      </c>
      <c r="M27" s="56">
        <f t="shared" si="5"/>
        <v>1602.242</v>
      </c>
      <c r="N27" s="77">
        <f t="shared" si="5"/>
        <v>2131.3249999999998</v>
      </c>
      <c r="O27" s="77">
        <f t="shared" si="5"/>
        <v>1435.7909999999997</v>
      </c>
      <c r="P27" s="77">
        <f t="shared" si="5"/>
        <v>1585.7909999999999</v>
      </c>
      <c r="Q27" s="77">
        <f t="shared" si="5"/>
        <v>1835.789</v>
      </c>
      <c r="R27" s="77">
        <f t="shared" si="5"/>
        <v>1895.789</v>
      </c>
      <c r="S27" s="56">
        <f t="shared" si="5"/>
        <v>1925.789</v>
      </c>
    </row>
    <row r="28" spans="1:19" ht="12" x14ac:dyDescent="0.2">
      <c r="A28" s="8"/>
      <c r="B28" s="2" t="s">
        <v>66</v>
      </c>
      <c r="C28" s="8" t="s">
        <v>67</v>
      </c>
      <c r="D28" s="8"/>
      <c r="E28" s="11" t="s">
        <v>11</v>
      </c>
      <c r="G28" s="57" t="s">
        <v>68</v>
      </c>
      <c r="H28" s="187">
        <v>0</v>
      </c>
      <c r="I28" s="187">
        <v>0</v>
      </c>
      <c r="J28" s="187">
        <v>0</v>
      </c>
      <c r="K28" s="187">
        <v>0</v>
      </c>
      <c r="L28" s="187">
        <v>0</v>
      </c>
      <c r="M28" s="58">
        <v>1200.789</v>
      </c>
      <c r="N28" s="76">
        <v>1200.789</v>
      </c>
      <c r="O28" s="76">
        <v>1200.789</v>
      </c>
      <c r="P28" s="76">
        <v>1200.789</v>
      </c>
      <c r="Q28" s="76">
        <v>1200.789</v>
      </c>
      <c r="R28" s="76">
        <v>1200.789</v>
      </c>
      <c r="S28" s="76">
        <v>1200.789</v>
      </c>
    </row>
    <row r="29" spans="1:19" ht="12" x14ac:dyDescent="0.2">
      <c r="A29" s="8"/>
      <c r="B29" s="2" t="s">
        <v>69</v>
      </c>
      <c r="C29" s="10">
        <v>298</v>
      </c>
      <c r="D29" s="10"/>
      <c r="E29" s="11" t="s">
        <v>11</v>
      </c>
      <c r="G29" s="57" t="s">
        <v>70</v>
      </c>
      <c r="H29" s="187">
        <v>0</v>
      </c>
      <c r="I29" s="187">
        <v>0</v>
      </c>
      <c r="J29" s="187">
        <v>0</v>
      </c>
      <c r="K29" s="187">
        <v>0</v>
      </c>
      <c r="L29" s="187">
        <v>0</v>
      </c>
      <c r="M29" s="58">
        <v>0</v>
      </c>
      <c r="N29" s="76">
        <v>401.45299999999997</v>
      </c>
      <c r="O29" s="76">
        <v>930.53599999999994</v>
      </c>
      <c r="P29" s="76">
        <v>235.00200000000001</v>
      </c>
      <c r="Q29" s="76">
        <v>385</v>
      </c>
      <c r="R29" s="76">
        <v>635</v>
      </c>
      <c r="S29" s="58">
        <v>695</v>
      </c>
    </row>
    <row r="30" spans="1:19" ht="12" x14ac:dyDescent="0.2">
      <c r="A30" s="8"/>
      <c r="B30" s="2" t="s">
        <v>71</v>
      </c>
      <c r="C30" s="10">
        <v>299</v>
      </c>
      <c r="D30" s="10"/>
      <c r="E30" s="11" t="s">
        <v>72</v>
      </c>
      <c r="G30" s="57" t="s">
        <v>73</v>
      </c>
      <c r="H30" s="187">
        <v>0</v>
      </c>
      <c r="I30" s="187">
        <v>0</v>
      </c>
      <c r="J30" s="187">
        <v>0</v>
      </c>
      <c r="K30" s="187">
        <v>0</v>
      </c>
      <c r="L30" s="187">
        <v>0</v>
      </c>
      <c r="M30" s="58">
        <v>401.45299999999997</v>
      </c>
      <c r="N30" s="76">
        <v>529.08299999999997</v>
      </c>
      <c r="O30" s="76">
        <v>-695.53399999999999</v>
      </c>
      <c r="P30" s="76">
        <v>150</v>
      </c>
      <c r="Q30" s="76">
        <v>250</v>
      </c>
      <c r="R30" s="76">
        <v>60</v>
      </c>
      <c r="S30" s="58">
        <v>30</v>
      </c>
    </row>
    <row r="31" spans="1:19" x14ac:dyDescent="0.2">
      <c r="A31" s="20"/>
      <c r="B31" s="2" t="s">
        <v>368</v>
      </c>
      <c r="C31" s="83" t="s">
        <v>369</v>
      </c>
      <c r="D31" s="21"/>
      <c r="E31" s="22"/>
      <c r="F31" s="20"/>
      <c r="G31" s="62" t="s">
        <v>74</v>
      </c>
      <c r="H31" s="190">
        <f t="shared" ref="H31:S31" si="6">H4-H18</f>
        <v>0</v>
      </c>
      <c r="I31" s="190">
        <f t="shared" si="6"/>
        <v>0</v>
      </c>
      <c r="J31" s="190">
        <f t="shared" si="6"/>
        <v>0</v>
      </c>
      <c r="K31" s="190">
        <f t="shared" si="6"/>
        <v>0</v>
      </c>
      <c r="L31" s="190">
        <f t="shared" si="6"/>
        <v>0</v>
      </c>
      <c r="M31" s="63">
        <f t="shared" si="6"/>
        <v>0</v>
      </c>
      <c r="N31" s="85">
        <f t="shared" si="6"/>
        <v>0</v>
      </c>
      <c r="O31" s="85">
        <f t="shared" si="6"/>
        <v>0.2090000000002874</v>
      </c>
      <c r="P31" s="85">
        <f t="shared" si="6"/>
        <v>0.20899999999983265</v>
      </c>
      <c r="Q31" s="85">
        <f t="shared" si="6"/>
        <v>0.21100000000024011</v>
      </c>
      <c r="R31" s="85">
        <f t="shared" si="6"/>
        <v>0.21100000000024011</v>
      </c>
      <c r="S31" s="63">
        <f t="shared" si="6"/>
        <v>0.21100000000024011</v>
      </c>
    </row>
    <row r="32" spans="1:19" x14ac:dyDescent="0.2">
      <c r="A32" s="8"/>
      <c r="B32" s="2"/>
      <c r="C32" s="10"/>
      <c r="D32" s="10"/>
      <c r="E32" s="9"/>
      <c r="G32" s="53" t="s">
        <v>75</v>
      </c>
      <c r="H32" s="191">
        <v>2011</v>
      </c>
      <c r="I32" s="191">
        <f t="shared" ref="I32:S32" si="7">H32+1</f>
        <v>2012</v>
      </c>
      <c r="J32" s="191">
        <f t="shared" si="7"/>
        <v>2013</v>
      </c>
      <c r="K32" s="191">
        <f t="shared" si="7"/>
        <v>2014</v>
      </c>
      <c r="L32" s="191">
        <f t="shared" si="7"/>
        <v>2015</v>
      </c>
      <c r="M32" s="64">
        <f t="shared" si="7"/>
        <v>2016</v>
      </c>
      <c r="N32" s="87">
        <f t="shared" si="7"/>
        <v>2017</v>
      </c>
      <c r="O32" s="87">
        <f t="shared" si="7"/>
        <v>2018</v>
      </c>
      <c r="P32" s="87">
        <f t="shared" si="7"/>
        <v>2019</v>
      </c>
      <c r="Q32" s="87">
        <f t="shared" si="7"/>
        <v>2020</v>
      </c>
      <c r="R32" s="87">
        <f t="shared" si="7"/>
        <v>2021</v>
      </c>
      <c r="S32" s="64">
        <f t="shared" si="7"/>
        <v>2022</v>
      </c>
    </row>
    <row r="33" spans="1:19" x14ac:dyDescent="0.2">
      <c r="A33" s="8"/>
      <c r="B33" s="2" t="s">
        <v>76</v>
      </c>
      <c r="C33" s="10">
        <v>3</v>
      </c>
      <c r="D33" s="10"/>
      <c r="E33" s="9"/>
      <c r="G33" s="55" t="s">
        <v>77</v>
      </c>
      <c r="H33" s="187">
        <f t="shared" ref="H33:S33" si="8">SUM(H34:H37)</f>
        <v>0</v>
      </c>
      <c r="I33" s="187">
        <f t="shared" si="8"/>
        <v>0</v>
      </c>
      <c r="J33" s="187">
        <f t="shared" si="8"/>
        <v>0</v>
      </c>
      <c r="K33" s="187">
        <f t="shared" si="8"/>
        <v>0</v>
      </c>
      <c r="L33" s="187">
        <f t="shared" si="8"/>
        <v>0</v>
      </c>
      <c r="M33" s="56">
        <f t="shared" si="8"/>
        <v>2608.5590000000002</v>
      </c>
      <c r="N33" s="77">
        <f>SUM(N34:N37)</f>
        <v>6938.1809999999996</v>
      </c>
      <c r="O33" s="77">
        <f t="shared" si="8"/>
        <v>11163.647999999999</v>
      </c>
      <c r="P33" s="77">
        <f t="shared" si="8"/>
        <v>11394.964</v>
      </c>
      <c r="Q33" s="77">
        <f t="shared" si="8"/>
        <v>11819.304</v>
      </c>
      <c r="R33" s="77">
        <f t="shared" si="8"/>
        <v>11862.135</v>
      </c>
      <c r="S33" s="56">
        <f t="shared" si="8"/>
        <v>11985.768</v>
      </c>
    </row>
    <row r="34" spans="1:19" ht="12" x14ac:dyDescent="0.2">
      <c r="A34" s="8"/>
      <c r="B34" s="2" t="s">
        <v>78</v>
      </c>
      <c r="C34" s="10">
        <v>30</v>
      </c>
      <c r="D34" s="10"/>
      <c r="E34" s="11" t="s">
        <v>11</v>
      </c>
      <c r="G34" s="57" t="s">
        <v>79</v>
      </c>
      <c r="H34" s="187">
        <v>0</v>
      </c>
      <c r="I34" s="187">
        <v>0</v>
      </c>
      <c r="J34" s="187">
        <v>0</v>
      </c>
      <c r="K34" s="187">
        <v>0</v>
      </c>
      <c r="L34" s="187">
        <v>0</v>
      </c>
      <c r="M34" s="58">
        <v>0</v>
      </c>
      <c r="N34" s="76">
        <v>0</v>
      </c>
      <c r="O34" s="76">
        <v>0</v>
      </c>
      <c r="P34" s="76">
        <v>0</v>
      </c>
      <c r="Q34" s="76">
        <v>0</v>
      </c>
      <c r="R34" s="76">
        <v>0</v>
      </c>
      <c r="S34" s="58">
        <v>0</v>
      </c>
    </row>
    <row r="35" spans="1:19" ht="12" x14ac:dyDescent="0.2">
      <c r="A35" s="8"/>
      <c r="B35" s="2" t="s">
        <v>80</v>
      </c>
      <c r="C35" s="10">
        <v>32</v>
      </c>
      <c r="D35" s="10"/>
      <c r="E35" s="11" t="s">
        <v>11</v>
      </c>
      <c r="G35" s="57" t="s">
        <v>81</v>
      </c>
      <c r="H35" s="187">
        <v>0</v>
      </c>
      <c r="I35" s="187">
        <v>0</v>
      </c>
      <c r="J35" s="187">
        <v>0</v>
      </c>
      <c r="K35" s="187">
        <v>0</v>
      </c>
      <c r="L35" s="187">
        <v>0</v>
      </c>
      <c r="M35" s="58">
        <v>627.59799999999996</v>
      </c>
      <c r="N35" s="76">
        <v>1741.07</v>
      </c>
      <c r="O35" s="76">
        <v>1586.97</v>
      </c>
      <c r="P35" s="76">
        <v>1645.66</v>
      </c>
      <c r="Q35" s="76">
        <v>1700</v>
      </c>
      <c r="R35" s="76">
        <v>1762.8309999999999</v>
      </c>
      <c r="S35" s="58">
        <v>1836.4639999999999</v>
      </c>
    </row>
    <row r="36" spans="1:19" ht="12" x14ac:dyDescent="0.2">
      <c r="A36" s="13"/>
      <c r="B36" s="2" t="s">
        <v>82</v>
      </c>
      <c r="C36" s="10">
        <v>35</v>
      </c>
      <c r="D36" s="10"/>
      <c r="E36" s="11" t="s">
        <v>11</v>
      </c>
      <c r="F36" s="13"/>
      <c r="G36" s="57" t="s">
        <v>83</v>
      </c>
      <c r="H36" s="187">
        <v>0</v>
      </c>
      <c r="I36" s="187">
        <v>0</v>
      </c>
      <c r="J36" s="187">
        <v>0</v>
      </c>
      <c r="K36" s="187">
        <v>0</v>
      </c>
      <c r="L36" s="187">
        <v>0</v>
      </c>
      <c r="M36" s="58">
        <v>1975.43</v>
      </c>
      <c r="N36" s="76">
        <v>5195.28</v>
      </c>
      <c r="O36" s="76">
        <v>9576.6779999999999</v>
      </c>
      <c r="P36" s="76">
        <v>9749.3040000000001</v>
      </c>
      <c r="Q36" s="76">
        <v>10119.304</v>
      </c>
      <c r="R36" s="76">
        <v>10099.304</v>
      </c>
      <c r="S36" s="58">
        <v>10149.304</v>
      </c>
    </row>
    <row r="37" spans="1:19" ht="12" x14ac:dyDescent="0.2">
      <c r="A37" s="8"/>
      <c r="B37" s="2" t="s">
        <v>84</v>
      </c>
      <c r="C37" s="10">
        <v>38</v>
      </c>
      <c r="D37" s="10"/>
      <c r="E37" s="11" t="s">
        <v>72</v>
      </c>
      <c r="G37" s="57" t="s">
        <v>85</v>
      </c>
      <c r="H37" s="187">
        <v>0</v>
      </c>
      <c r="I37" s="187">
        <v>0</v>
      </c>
      <c r="J37" s="187">
        <v>0</v>
      </c>
      <c r="K37" s="187">
        <v>0</v>
      </c>
      <c r="L37" s="187">
        <v>0</v>
      </c>
      <c r="M37" s="58">
        <v>5.5309999999999997</v>
      </c>
      <c r="N37" s="76">
        <v>1.831</v>
      </c>
      <c r="O37" s="76">
        <v>0</v>
      </c>
      <c r="P37" s="76">
        <v>0</v>
      </c>
      <c r="Q37" s="76">
        <v>0</v>
      </c>
      <c r="R37" s="76">
        <v>0</v>
      </c>
      <c r="S37" s="58">
        <v>0</v>
      </c>
    </row>
    <row r="38" spans="1:19" x14ac:dyDescent="0.2">
      <c r="A38" s="8"/>
      <c r="B38" s="2" t="s">
        <v>86</v>
      </c>
      <c r="C38" s="10">
        <v>4</v>
      </c>
      <c r="D38" s="10"/>
      <c r="E38" s="23"/>
      <c r="G38" s="57" t="s">
        <v>87</v>
      </c>
      <c r="H38" s="187">
        <f t="shared" ref="H38:S38" si="9">H39+H40</f>
        <v>0</v>
      </c>
      <c r="I38" s="187">
        <f t="shared" si="9"/>
        <v>0</v>
      </c>
      <c r="J38" s="187">
        <f t="shared" si="9"/>
        <v>0</v>
      </c>
      <c r="K38" s="187">
        <f t="shared" si="9"/>
        <v>0</v>
      </c>
      <c r="L38" s="187">
        <f t="shared" si="9"/>
        <v>0</v>
      </c>
      <c r="M38" s="56">
        <f t="shared" si="9"/>
        <v>0</v>
      </c>
      <c r="N38" s="77">
        <f t="shared" si="9"/>
        <v>0</v>
      </c>
      <c r="O38" s="77">
        <f t="shared" si="9"/>
        <v>0</v>
      </c>
      <c r="P38" s="77">
        <f t="shared" si="9"/>
        <v>0</v>
      </c>
      <c r="Q38" s="77">
        <f t="shared" si="9"/>
        <v>0</v>
      </c>
      <c r="R38" s="77">
        <f t="shared" si="9"/>
        <v>0</v>
      </c>
      <c r="S38" s="56">
        <f t="shared" si="9"/>
        <v>0</v>
      </c>
    </row>
    <row r="39" spans="1:19" ht="12" x14ac:dyDescent="0.2">
      <c r="A39" s="8"/>
      <c r="B39" s="2" t="s">
        <v>88</v>
      </c>
      <c r="C39" s="10">
        <v>41</v>
      </c>
      <c r="D39" s="10"/>
      <c r="E39" s="11" t="s">
        <v>89</v>
      </c>
      <c r="G39" s="57" t="s">
        <v>90</v>
      </c>
      <c r="H39" s="187">
        <v>0</v>
      </c>
      <c r="I39" s="187">
        <v>0</v>
      </c>
      <c r="J39" s="187">
        <v>0</v>
      </c>
      <c r="K39" s="187">
        <v>0</v>
      </c>
      <c r="L39" s="187">
        <v>0</v>
      </c>
      <c r="M39" s="58">
        <v>0</v>
      </c>
      <c r="N39" s="76">
        <v>0</v>
      </c>
      <c r="O39" s="76">
        <v>0</v>
      </c>
      <c r="P39" s="76">
        <v>0</v>
      </c>
      <c r="Q39" s="76">
        <v>0</v>
      </c>
      <c r="R39" s="76">
        <v>0</v>
      </c>
      <c r="S39" s="58">
        <v>0</v>
      </c>
    </row>
    <row r="40" spans="1:19" ht="12" x14ac:dyDescent="0.2">
      <c r="A40" s="8"/>
      <c r="B40" s="2" t="s">
        <v>91</v>
      </c>
      <c r="C40" s="10">
        <v>45</v>
      </c>
      <c r="D40" s="10"/>
      <c r="E40" s="11" t="s">
        <v>89</v>
      </c>
      <c r="G40" s="57" t="s">
        <v>92</v>
      </c>
      <c r="H40" s="187">
        <v>0</v>
      </c>
      <c r="I40" s="187">
        <v>0</v>
      </c>
      <c r="J40" s="187">
        <v>0</v>
      </c>
      <c r="K40" s="187">
        <v>0</v>
      </c>
      <c r="L40" s="187">
        <v>0</v>
      </c>
      <c r="M40" s="58">
        <v>0</v>
      </c>
      <c r="N40" s="76">
        <v>0</v>
      </c>
      <c r="O40" s="76">
        <v>0</v>
      </c>
      <c r="P40" s="76">
        <v>0</v>
      </c>
      <c r="Q40" s="76">
        <v>0</v>
      </c>
      <c r="R40" s="76">
        <v>0</v>
      </c>
      <c r="S40" s="58">
        <v>0</v>
      </c>
    </row>
    <row r="41" spans="1:19" x14ac:dyDescent="0.2">
      <c r="A41" s="13"/>
      <c r="B41" s="2" t="s">
        <v>93</v>
      </c>
      <c r="C41" s="10" t="s">
        <v>94</v>
      </c>
      <c r="D41" s="10"/>
      <c r="E41" s="23"/>
      <c r="F41" s="13"/>
      <c r="G41" s="57" t="s">
        <v>95</v>
      </c>
      <c r="H41" s="187">
        <f t="shared" ref="H41:S41" si="10">SUM(H42:H45)</f>
        <v>0</v>
      </c>
      <c r="I41" s="187">
        <f t="shared" si="10"/>
        <v>0</v>
      </c>
      <c r="J41" s="187">
        <f t="shared" si="10"/>
        <v>0</v>
      </c>
      <c r="K41" s="187">
        <f t="shared" si="10"/>
        <v>0</v>
      </c>
      <c r="L41" s="187">
        <f t="shared" si="10"/>
        <v>0</v>
      </c>
      <c r="M41" s="56">
        <f t="shared" si="10"/>
        <v>-2207.6839999999997</v>
      </c>
      <c r="N41" s="77">
        <f t="shared" si="10"/>
        <v>-6409.0959999999995</v>
      </c>
      <c r="O41" s="77">
        <f t="shared" si="10"/>
        <v>-11859.182000000001</v>
      </c>
      <c r="P41" s="77">
        <f t="shared" si="10"/>
        <v>-11244.964</v>
      </c>
      <c r="Q41" s="77">
        <f t="shared" si="10"/>
        <v>-11569.304</v>
      </c>
      <c r="R41" s="77">
        <f t="shared" si="10"/>
        <v>-11802.135</v>
      </c>
      <c r="S41" s="56">
        <f t="shared" si="10"/>
        <v>-11955.768</v>
      </c>
    </row>
    <row r="42" spans="1:19" ht="12" x14ac:dyDescent="0.2">
      <c r="A42" s="8"/>
      <c r="B42" s="2" t="s">
        <v>96</v>
      </c>
      <c r="C42" s="10">
        <v>50</v>
      </c>
      <c r="D42" s="10"/>
      <c r="E42" s="11" t="s">
        <v>89</v>
      </c>
      <c r="G42" s="57" t="s">
        <v>97</v>
      </c>
      <c r="H42" s="187">
        <v>0</v>
      </c>
      <c r="I42" s="187">
        <v>0</v>
      </c>
      <c r="J42" s="187">
        <v>0</v>
      </c>
      <c r="K42" s="187">
        <v>0</v>
      </c>
      <c r="L42" s="187">
        <v>0</v>
      </c>
      <c r="M42" s="58">
        <v>-1068.5260000000001</v>
      </c>
      <c r="N42" s="76">
        <v>-2612.223</v>
      </c>
      <c r="O42" s="76">
        <v>-2871.5039999999999</v>
      </c>
      <c r="P42" s="76">
        <v>-3058.654</v>
      </c>
      <c r="Q42" s="76">
        <v>-3279.76</v>
      </c>
      <c r="R42" s="76">
        <v>-3466.34</v>
      </c>
      <c r="S42" s="58">
        <v>-3607.16</v>
      </c>
    </row>
    <row r="43" spans="1:19" ht="12" x14ac:dyDescent="0.2">
      <c r="A43" s="8"/>
      <c r="B43" s="2" t="s">
        <v>98</v>
      </c>
      <c r="C43" s="10">
        <v>55</v>
      </c>
      <c r="D43" s="10"/>
      <c r="E43" s="11" t="s">
        <v>89</v>
      </c>
      <c r="G43" s="57" t="s">
        <v>99</v>
      </c>
      <c r="H43" s="187">
        <v>0</v>
      </c>
      <c r="I43" s="187">
        <v>0</v>
      </c>
      <c r="J43" s="187">
        <v>0</v>
      </c>
      <c r="K43" s="187">
        <v>0</v>
      </c>
      <c r="L43" s="187">
        <v>0</v>
      </c>
      <c r="M43" s="58">
        <v>-1097.6210000000001</v>
      </c>
      <c r="N43" s="76">
        <v>-3763.7840000000001</v>
      </c>
      <c r="O43" s="76">
        <v>-8957.6779999999999</v>
      </c>
      <c r="P43" s="76">
        <v>-8144.31</v>
      </c>
      <c r="Q43" s="76">
        <v>-8239.5439999999999</v>
      </c>
      <c r="R43" s="76">
        <v>-8275.7950000000001</v>
      </c>
      <c r="S43" s="58">
        <v>-8288.6080000000002</v>
      </c>
    </row>
    <row r="44" spans="1:19" ht="12" x14ac:dyDescent="0.2">
      <c r="A44" s="13"/>
      <c r="B44" s="2" t="s">
        <v>100</v>
      </c>
      <c r="C44" s="10">
        <v>60</v>
      </c>
      <c r="D44" s="10"/>
      <c r="E44" s="11" t="s">
        <v>89</v>
      </c>
      <c r="F44" s="13"/>
      <c r="G44" s="57" t="s">
        <v>101</v>
      </c>
      <c r="H44" s="187">
        <v>0</v>
      </c>
      <c r="I44" s="187">
        <v>0</v>
      </c>
      <c r="J44" s="187">
        <v>0</v>
      </c>
      <c r="K44" s="187">
        <v>0</v>
      </c>
      <c r="L44" s="187">
        <v>0</v>
      </c>
      <c r="M44" s="58">
        <v>-2.7210000000000001</v>
      </c>
      <c r="N44" s="76">
        <v>-7.1959999999999997</v>
      </c>
      <c r="O44" s="76">
        <v>0</v>
      </c>
      <c r="P44" s="76">
        <v>0</v>
      </c>
      <c r="Q44" s="76">
        <v>0</v>
      </c>
      <c r="R44" s="76">
        <v>0</v>
      </c>
      <c r="S44" s="58">
        <v>0</v>
      </c>
    </row>
    <row r="45" spans="1:19" ht="12" x14ac:dyDescent="0.2">
      <c r="A45" s="8"/>
      <c r="B45" s="2" t="s">
        <v>102</v>
      </c>
      <c r="C45" s="10">
        <v>61</v>
      </c>
      <c r="D45" s="10"/>
      <c r="E45" s="11" t="s">
        <v>89</v>
      </c>
      <c r="G45" s="57" t="s">
        <v>103</v>
      </c>
      <c r="H45" s="187">
        <v>0</v>
      </c>
      <c r="I45" s="187">
        <v>0</v>
      </c>
      <c r="J45" s="187">
        <v>0</v>
      </c>
      <c r="K45" s="187">
        <v>0</v>
      </c>
      <c r="L45" s="187">
        <v>0</v>
      </c>
      <c r="M45" s="58">
        <v>-38.816000000000003</v>
      </c>
      <c r="N45" s="76">
        <v>-25.893000000000001</v>
      </c>
      <c r="O45" s="76">
        <v>-30</v>
      </c>
      <c r="P45" s="76">
        <v>-42</v>
      </c>
      <c r="Q45" s="76">
        <v>-50</v>
      </c>
      <c r="R45" s="76">
        <v>-60</v>
      </c>
      <c r="S45" s="58">
        <v>-60</v>
      </c>
    </row>
    <row r="46" spans="1:19" x14ac:dyDescent="0.2">
      <c r="A46" s="8"/>
      <c r="B46" s="2" t="s">
        <v>104</v>
      </c>
      <c r="C46" s="10"/>
      <c r="D46" s="10"/>
      <c r="E46" s="9"/>
      <c r="G46" s="57" t="s">
        <v>105</v>
      </c>
      <c r="H46" s="187">
        <f t="shared" ref="H46:S46" si="11">H33+H38+H41</f>
        <v>0</v>
      </c>
      <c r="I46" s="187">
        <f t="shared" si="11"/>
        <v>0</v>
      </c>
      <c r="J46" s="187">
        <f t="shared" si="11"/>
        <v>0</v>
      </c>
      <c r="K46" s="187">
        <f t="shared" si="11"/>
        <v>0</v>
      </c>
      <c r="L46" s="187">
        <f t="shared" si="11"/>
        <v>0</v>
      </c>
      <c r="M46" s="56">
        <f t="shared" si="11"/>
        <v>400.87500000000045</v>
      </c>
      <c r="N46" s="77">
        <f t="shared" si="11"/>
        <v>529.08500000000004</v>
      </c>
      <c r="O46" s="77">
        <f t="shared" si="11"/>
        <v>-695.53400000000147</v>
      </c>
      <c r="P46" s="77">
        <f t="shared" si="11"/>
        <v>150</v>
      </c>
      <c r="Q46" s="77">
        <f t="shared" si="11"/>
        <v>250</v>
      </c>
      <c r="R46" s="77">
        <f t="shared" si="11"/>
        <v>60</v>
      </c>
      <c r="S46" s="56">
        <f t="shared" si="11"/>
        <v>30</v>
      </c>
    </row>
    <row r="47" spans="1:19" ht="12" x14ac:dyDescent="0.2">
      <c r="A47" s="8"/>
      <c r="B47" s="2" t="s">
        <v>106</v>
      </c>
      <c r="C47" s="10">
        <v>65</v>
      </c>
      <c r="D47" s="10"/>
      <c r="E47" s="11" t="s">
        <v>72</v>
      </c>
      <c r="G47" s="57" t="s">
        <v>107</v>
      </c>
      <c r="H47" s="187">
        <v>0</v>
      </c>
      <c r="I47" s="187">
        <v>0</v>
      </c>
      <c r="J47" s="187">
        <v>0</v>
      </c>
      <c r="K47" s="187">
        <v>0</v>
      </c>
      <c r="L47" s="187">
        <v>3.7999999999999999E-2</v>
      </c>
      <c r="M47" s="58">
        <v>0.57899999999999996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</row>
    <row r="48" spans="1:19" x14ac:dyDescent="0.2">
      <c r="A48" s="8"/>
      <c r="B48" s="2" t="s">
        <v>108</v>
      </c>
      <c r="C48" s="10"/>
      <c r="D48" s="10"/>
      <c r="E48" s="9"/>
      <c r="G48" s="57" t="s">
        <v>109</v>
      </c>
      <c r="H48" s="187">
        <f t="shared" ref="H48:S48" si="12">H46+H47</f>
        <v>0</v>
      </c>
      <c r="I48" s="187">
        <f t="shared" si="12"/>
        <v>0</v>
      </c>
      <c r="J48" s="187">
        <f t="shared" si="12"/>
        <v>0</v>
      </c>
      <c r="K48" s="187">
        <f t="shared" si="12"/>
        <v>0</v>
      </c>
      <c r="L48" s="187">
        <f t="shared" si="12"/>
        <v>3.7999999999999999E-2</v>
      </c>
      <c r="M48" s="56">
        <f t="shared" si="12"/>
        <v>401.45400000000046</v>
      </c>
      <c r="N48" s="77">
        <f t="shared" si="12"/>
        <v>529.08500000000004</v>
      </c>
      <c r="O48" s="77">
        <f t="shared" si="12"/>
        <v>-695.53400000000147</v>
      </c>
      <c r="P48" s="77">
        <f t="shared" si="12"/>
        <v>150</v>
      </c>
      <c r="Q48" s="77">
        <f t="shared" si="12"/>
        <v>250</v>
      </c>
      <c r="R48" s="77">
        <f t="shared" si="12"/>
        <v>60</v>
      </c>
      <c r="S48" s="56">
        <f t="shared" si="12"/>
        <v>30</v>
      </c>
    </row>
    <row r="49" spans="1:19" ht="12" x14ac:dyDescent="0.2">
      <c r="A49" s="8"/>
      <c r="B49" s="2" t="s">
        <v>110</v>
      </c>
      <c r="C49" s="10">
        <v>68</v>
      </c>
      <c r="D49" s="10"/>
      <c r="E49" s="11" t="s">
        <v>89</v>
      </c>
      <c r="G49" s="57" t="s">
        <v>111</v>
      </c>
      <c r="H49" s="187">
        <v>0</v>
      </c>
      <c r="I49" s="187">
        <v>0</v>
      </c>
      <c r="J49" s="187">
        <v>0</v>
      </c>
      <c r="K49" s="187">
        <v>0</v>
      </c>
      <c r="L49" s="187">
        <v>0</v>
      </c>
      <c r="M49" s="58">
        <v>0</v>
      </c>
      <c r="N49" s="76">
        <v>0</v>
      </c>
      <c r="O49" s="76">
        <v>0</v>
      </c>
      <c r="P49" s="76">
        <v>0</v>
      </c>
      <c r="Q49" s="76">
        <v>0</v>
      </c>
      <c r="R49" s="76">
        <v>0</v>
      </c>
      <c r="S49" s="58">
        <v>0</v>
      </c>
    </row>
    <row r="50" spans="1:19" ht="12" x14ac:dyDescent="0.2">
      <c r="A50" s="8"/>
      <c r="B50" s="2" t="s">
        <v>112</v>
      </c>
      <c r="C50" s="10">
        <v>69</v>
      </c>
      <c r="D50" s="10"/>
      <c r="E50" s="11" t="s">
        <v>11</v>
      </c>
      <c r="G50" s="57" t="s">
        <v>113</v>
      </c>
      <c r="H50" s="187">
        <v>0</v>
      </c>
      <c r="I50" s="187">
        <v>0</v>
      </c>
      <c r="J50" s="187">
        <v>0</v>
      </c>
      <c r="K50" s="187">
        <v>0</v>
      </c>
      <c r="L50" s="187">
        <v>0</v>
      </c>
      <c r="M50" s="58">
        <v>0</v>
      </c>
      <c r="N50" s="76">
        <v>0</v>
      </c>
      <c r="O50" s="76">
        <v>0</v>
      </c>
      <c r="P50" s="76">
        <v>0</v>
      </c>
      <c r="Q50" s="76">
        <v>0</v>
      </c>
      <c r="R50" s="76">
        <v>0</v>
      </c>
      <c r="S50" s="58">
        <v>0</v>
      </c>
    </row>
    <row r="51" spans="1:19" x14ac:dyDescent="0.2">
      <c r="A51" s="8"/>
      <c r="B51" s="2" t="s">
        <v>114</v>
      </c>
      <c r="C51" s="10"/>
      <c r="D51" s="10"/>
      <c r="E51" s="9"/>
      <c r="G51" s="57" t="s">
        <v>115</v>
      </c>
      <c r="H51" s="187">
        <f t="shared" ref="H51:S51" si="13">H48+H49+H50</f>
        <v>0</v>
      </c>
      <c r="I51" s="187">
        <f t="shared" si="13"/>
        <v>0</v>
      </c>
      <c r="J51" s="187">
        <f t="shared" si="13"/>
        <v>0</v>
      </c>
      <c r="K51" s="187">
        <f t="shared" si="13"/>
        <v>0</v>
      </c>
      <c r="L51" s="187">
        <f t="shared" si="13"/>
        <v>3.7999999999999999E-2</v>
      </c>
      <c r="M51" s="56">
        <f t="shared" si="13"/>
        <v>401.45400000000046</v>
      </c>
      <c r="N51" s="77">
        <f t="shared" si="13"/>
        <v>529.08500000000004</v>
      </c>
      <c r="O51" s="77">
        <f t="shared" si="13"/>
        <v>-695.53400000000147</v>
      </c>
      <c r="P51" s="77">
        <f t="shared" si="13"/>
        <v>150</v>
      </c>
      <c r="Q51" s="77">
        <f t="shared" si="13"/>
        <v>250</v>
      </c>
      <c r="R51" s="77">
        <f t="shared" si="13"/>
        <v>60</v>
      </c>
      <c r="S51" s="56">
        <f t="shared" si="13"/>
        <v>30</v>
      </c>
    </row>
    <row r="52" spans="1:19" x14ac:dyDescent="0.2">
      <c r="A52" s="24"/>
      <c r="B52" s="2" t="s">
        <v>370</v>
      </c>
      <c r="C52" s="83" t="s">
        <v>371</v>
      </c>
      <c r="D52" s="25"/>
      <c r="E52" s="26"/>
      <c r="F52" s="24"/>
      <c r="G52" s="62" t="s">
        <v>116</v>
      </c>
      <c r="H52" s="190">
        <f t="shared" ref="H52:S52" si="14">H30-H51</f>
        <v>0</v>
      </c>
      <c r="I52" s="190">
        <f t="shared" si="14"/>
        <v>0</v>
      </c>
      <c r="J52" s="190">
        <f t="shared" si="14"/>
        <v>0</v>
      </c>
      <c r="K52" s="190">
        <f t="shared" si="14"/>
        <v>0</v>
      </c>
      <c r="L52" s="190">
        <f t="shared" si="14"/>
        <v>-3.7999999999999999E-2</v>
      </c>
      <c r="M52" s="63">
        <f>M30-M51</f>
        <v>-1.0000000004879439E-3</v>
      </c>
      <c r="N52" s="85">
        <f t="shared" si="14"/>
        <v>-2.0000000000663931E-3</v>
      </c>
      <c r="O52" s="85">
        <f t="shared" si="14"/>
        <v>1.4779288903810084E-12</v>
      </c>
      <c r="P52" s="85">
        <f t="shared" si="14"/>
        <v>0</v>
      </c>
      <c r="Q52" s="85">
        <f t="shared" si="14"/>
        <v>0</v>
      </c>
      <c r="R52" s="85">
        <f t="shared" si="14"/>
        <v>0</v>
      </c>
      <c r="S52" s="63">
        <f t="shared" si="14"/>
        <v>0</v>
      </c>
    </row>
    <row r="53" spans="1:19" x14ac:dyDescent="0.2">
      <c r="A53" s="8"/>
      <c r="B53" s="2"/>
      <c r="C53" s="10"/>
      <c r="D53" s="10"/>
      <c r="E53" s="9"/>
      <c r="G53" s="65" t="s">
        <v>117</v>
      </c>
      <c r="H53" s="48"/>
      <c r="I53" s="48"/>
      <c r="J53" s="48"/>
      <c r="K53" s="48"/>
      <c r="L53" s="48"/>
      <c r="M53" s="48"/>
      <c r="N53" s="4"/>
      <c r="O53" s="4"/>
      <c r="P53" s="4"/>
      <c r="Q53" s="4"/>
      <c r="R53" s="4"/>
      <c r="S53" s="48"/>
    </row>
    <row r="54" spans="1:19" ht="12" x14ac:dyDescent="0.2">
      <c r="A54" s="8"/>
      <c r="B54" s="2"/>
      <c r="C54" s="10">
        <v>90</v>
      </c>
      <c r="D54" s="10"/>
      <c r="E54" s="11" t="s">
        <v>11</v>
      </c>
      <c r="G54" s="65" t="s">
        <v>118</v>
      </c>
      <c r="H54" s="187">
        <v>0</v>
      </c>
      <c r="I54" s="187">
        <v>0</v>
      </c>
      <c r="J54" s="187">
        <v>0</v>
      </c>
      <c r="K54" s="187">
        <v>0</v>
      </c>
      <c r="L54" s="187">
        <v>0</v>
      </c>
      <c r="M54" s="58">
        <v>119</v>
      </c>
      <c r="N54" s="76">
        <v>123</v>
      </c>
      <c r="O54" s="76">
        <v>126</v>
      </c>
      <c r="P54" s="76">
        <v>126</v>
      </c>
      <c r="Q54" s="76">
        <v>126</v>
      </c>
      <c r="R54" s="76">
        <v>126</v>
      </c>
      <c r="S54" s="58">
        <v>126</v>
      </c>
    </row>
    <row r="55" spans="1:19" ht="12" x14ac:dyDescent="0.2">
      <c r="A55" s="8"/>
      <c r="B55" s="2"/>
      <c r="C55" s="10"/>
      <c r="D55" s="10"/>
      <c r="E55" s="11" t="s">
        <v>11</v>
      </c>
      <c r="G55" s="65" t="s">
        <v>119</v>
      </c>
      <c r="H55" s="187"/>
      <c r="I55" s="187"/>
      <c r="J55" s="187"/>
      <c r="K55" s="187"/>
      <c r="L55" s="192"/>
      <c r="M55" s="66"/>
      <c r="N55" s="88"/>
      <c r="O55" s="88"/>
      <c r="P55" s="88"/>
      <c r="Q55" s="88"/>
      <c r="R55" s="88"/>
      <c r="S55" s="66"/>
    </row>
    <row r="56" spans="1:19" x14ac:dyDescent="0.2">
      <c r="A56" s="8"/>
      <c r="B56" s="2"/>
      <c r="C56" s="10"/>
      <c r="D56" s="10"/>
      <c r="E56" s="9"/>
      <c r="G56" s="67"/>
      <c r="H56" s="48"/>
      <c r="I56" s="48"/>
      <c r="J56" s="48"/>
      <c r="K56" s="48"/>
      <c r="L56" s="48"/>
      <c r="M56" s="48"/>
      <c r="N56" s="4"/>
      <c r="O56" s="4"/>
      <c r="P56" s="4"/>
      <c r="Q56" s="4"/>
      <c r="R56" s="4"/>
      <c r="S56" s="48"/>
    </row>
    <row r="57" spans="1:19" x14ac:dyDescent="0.2">
      <c r="A57" s="8"/>
      <c r="B57" s="2"/>
      <c r="C57" s="10"/>
      <c r="D57" s="29" t="s">
        <v>120</v>
      </c>
      <c r="E57" s="30" t="s">
        <v>3</v>
      </c>
      <c r="F57" s="9"/>
      <c r="G57" s="53" t="s">
        <v>121</v>
      </c>
      <c r="H57" s="64">
        <f t="shared" ref="H57:S57" si="15">H32</f>
        <v>2011</v>
      </c>
      <c r="I57" s="64">
        <f t="shared" si="15"/>
        <v>2012</v>
      </c>
      <c r="J57" s="64">
        <f t="shared" si="15"/>
        <v>2013</v>
      </c>
      <c r="K57" s="64">
        <f t="shared" si="15"/>
        <v>2014</v>
      </c>
      <c r="L57" s="64">
        <f t="shared" si="15"/>
        <v>2015</v>
      </c>
      <c r="M57" s="64">
        <f t="shared" si="15"/>
        <v>2016</v>
      </c>
      <c r="N57" s="87">
        <f t="shared" si="15"/>
        <v>2017</v>
      </c>
      <c r="O57" s="87">
        <f t="shared" si="15"/>
        <v>2018</v>
      </c>
      <c r="P57" s="87">
        <f t="shared" si="15"/>
        <v>2019</v>
      </c>
      <c r="Q57" s="87">
        <f t="shared" si="15"/>
        <v>2020</v>
      </c>
      <c r="R57" s="87">
        <f t="shared" si="15"/>
        <v>2021</v>
      </c>
      <c r="S57" s="64">
        <f t="shared" si="15"/>
        <v>2022</v>
      </c>
    </row>
    <row r="58" spans="1:19" ht="12" x14ac:dyDescent="0.2">
      <c r="A58" s="8"/>
      <c r="B58" s="31" t="s">
        <v>122</v>
      </c>
      <c r="C58" s="8" t="s">
        <v>123</v>
      </c>
      <c r="D58" s="32" t="s">
        <v>124</v>
      </c>
      <c r="E58" s="11" t="s">
        <v>89</v>
      </c>
      <c r="F58" s="12"/>
      <c r="G58" s="55" t="s">
        <v>125</v>
      </c>
      <c r="H58" s="187">
        <v>0</v>
      </c>
      <c r="I58" s="187">
        <v>0</v>
      </c>
      <c r="J58" s="187">
        <v>0</v>
      </c>
      <c r="K58" s="187">
        <v>0</v>
      </c>
      <c r="L58" s="187">
        <v>0</v>
      </c>
      <c r="M58" s="58">
        <v>-0.82699999999999996</v>
      </c>
      <c r="N58" s="76">
        <v>-154.155</v>
      </c>
      <c r="O58" s="76">
        <v>-147.78700000000001</v>
      </c>
      <c r="P58" s="76">
        <v>-150</v>
      </c>
      <c r="Q58" s="76">
        <v>-250</v>
      </c>
      <c r="R58" s="76">
        <v>-60</v>
      </c>
      <c r="S58" s="58">
        <v>-30</v>
      </c>
    </row>
    <row r="59" spans="1:19" ht="12" x14ac:dyDescent="0.2">
      <c r="A59" s="8"/>
      <c r="B59" s="31" t="s">
        <v>126</v>
      </c>
      <c r="C59" s="33" t="s">
        <v>127</v>
      </c>
      <c r="D59" s="32" t="s">
        <v>128</v>
      </c>
      <c r="E59" s="11" t="s">
        <v>11</v>
      </c>
      <c r="F59" s="12"/>
      <c r="G59" s="68" t="s">
        <v>129</v>
      </c>
      <c r="H59" s="187">
        <v>0.377</v>
      </c>
      <c r="I59" s="187">
        <v>0.377</v>
      </c>
      <c r="J59" s="187">
        <v>0.377</v>
      </c>
      <c r="K59" s="187">
        <v>0.377</v>
      </c>
      <c r="L59" s="187">
        <v>0.377</v>
      </c>
      <c r="M59" s="58">
        <v>0.377</v>
      </c>
      <c r="N59" s="76">
        <v>0</v>
      </c>
      <c r="O59" s="76">
        <v>0</v>
      </c>
      <c r="P59" s="76">
        <v>0</v>
      </c>
      <c r="Q59" s="76">
        <v>0</v>
      </c>
      <c r="R59" s="76">
        <v>0</v>
      </c>
      <c r="S59" s="58">
        <v>0</v>
      </c>
    </row>
    <row r="60" spans="1:19" ht="12" x14ac:dyDescent="0.2">
      <c r="A60" s="8"/>
      <c r="B60" s="31" t="s">
        <v>130</v>
      </c>
      <c r="C60" s="34" t="s">
        <v>372</v>
      </c>
      <c r="D60" s="32" t="s">
        <v>131</v>
      </c>
      <c r="E60" s="11" t="s">
        <v>11</v>
      </c>
      <c r="F60" s="12"/>
      <c r="G60" s="57" t="s">
        <v>132</v>
      </c>
      <c r="H60" s="187">
        <v>0</v>
      </c>
      <c r="I60" s="187">
        <v>0</v>
      </c>
      <c r="J60" s="187">
        <v>0</v>
      </c>
      <c r="K60" s="187">
        <v>0</v>
      </c>
      <c r="L60" s="187">
        <v>0</v>
      </c>
      <c r="M60" s="58">
        <v>8.3030000000000008</v>
      </c>
      <c r="N60" s="76">
        <v>12.782</v>
      </c>
      <c r="O60" s="76">
        <v>45.786999999999999</v>
      </c>
      <c r="P60" s="76">
        <v>0</v>
      </c>
      <c r="Q60" s="76">
        <v>0</v>
      </c>
      <c r="R60" s="76">
        <v>0</v>
      </c>
      <c r="S60" s="76">
        <v>0</v>
      </c>
    </row>
    <row r="61" spans="1:19" ht="12" x14ac:dyDescent="0.2">
      <c r="A61" s="8"/>
      <c r="B61" s="31" t="s">
        <v>133</v>
      </c>
      <c r="C61" s="34" t="s">
        <v>134</v>
      </c>
      <c r="D61" s="34" t="s">
        <v>135</v>
      </c>
      <c r="E61" s="11" t="s">
        <v>89</v>
      </c>
      <c r="F61" s="12"/>
      <c r="G61" s="57" t="s">
        <v>136</v>
      </c>
      <c r="H61" s="187">
        <v>0</v>
      </c>
      <c r="I61" s="187">
        <v>0</v>
      </c>
      <c r="J61" s="187">
        <v>0</v>
      </c>
      <c r="K61" s="187">
        <v>0</v>
      </c>
      <c r="L61" s="187">
        <v>0</v>
      </c>
      <c r="M61" s="58">
        <v>0</v>
      </c>
      <c r="N61" s="76">
        <v>0</v>
      </c>
      <c r="O61" s="76">
        <v>0</v>
      </c>
      <c r="P61" s="76">
        <v>0</v>
      </c>
      <c r="Q61" s="76">
        <v>0</v>
      </c>
      <c r="R61" s="76">
        <v>0</v>
      </c>
      <c r="S61" s="58">
        <v>0</v>
      </c>
    </row>
    <row r="62" spans="1:19" ht="12" x14ac:dyDescent="0.2">
      <c r="A62" s="8"/>
      <c r="B62" s="31" t="s">
        <v>137</v>
      </c>
      <c r="C62" s="10">
        <v>253800</v>
      </c>
      <c r="D62" s="34" t="s">
        <v>131</v>
      </c>
      <c r="E62" s="11" t="s">
        <v>11</v>
      </c>
      <c r="F62" s="12"/>
      <c r="G62" s="57" t="s">
        <v>138</v>
      </c>
      <c r="H62" s="187">
        <v>0</v>
      </c>
      <c r="I62" s="187">
        <v>0</v>
      </c>
      <c r="J62" s="187">
        <v>0</v>
      </c>
      <c r="K62" s="187">
        <v>0</v>
      </c>
      <c r="L62" s="187">
        <v>0</v>
      </c>
      <c r="M62" s="58">
        <v>0</v>
      </c>
      <c r="N62" s="76">
        <v>0</v>
      </c>
      <c r="O62" s="76">
        <v>0</v>
      </c>
      <c r="P62" s="76">
        <v>0</v>
      </c>
      <c r="Q62" s="76">
        <v>0</v>
      </c>
      <c r="R62" s="76">
        <v>0</v>
      </c>
      <c r="S62" s="58">
        <v>0</v>
      </c>
    </row>
    <row r="63" spans="1:19" ht="12" x14ac:dyDescent="0.2">
      <c r="A63" s="8"/>
      <c r="B63" s="31" t="s">
        <v>139</v>
      </c>
      <c r="C63" s="10">
        <v>150</v>
      </c>
      <c r="D63" s="34" t="s">
        <v>135</v>
      </c>
      <c r="E63" s="11" t="s">
        <v>89</v>
      </c>
      <c r="F63" s="12"/>
      <c r="G63" s="57" t="s">
        <v>140</v>
      </c>
      <c r="H63" s="187">
        <v>0</v>
      </c>
      <c r="I63" s="187">
        <v>0</v>
      </c>
      <c r="J63" s="187">
        <v>0</v>
      </c>
      <c r="K63" s="187">
        <v>0</v>
      </c>
      <c r="L63" s="187">
        <v>0</v>
      </c>
      <c r="M63" s="58">
        <v>0</v>
      </c>
      <c r="N63" s="76">
        <v>0</v>
      </c>
      <c r="O63" s="76">
        <v>0</v>
      </c>
      <c r="P63" s="76">
        <v>0</v>
      </c>
      <c r="Q63" s="76">
        <v>0</v>
      </c>
      <c r="R63" s="76">
        <v>0</v>
      </c>
      <c r="S63" s="58">
        <v>0</v>
      </c>
    </row>
    <row r="64" spans="1:19" ht="12" x14ac:dyDescent="0.2">
      <c r="A64" s="8"/>
      <c r="B64" s="31" t="s">
        <v>141</v>
      </c>
      <c r="C64" s="34" t="s">
        <v>142</v>
      </c>
      <c r="D64" s="34" t="s">
        <v>131</v>
      </c>
      <c r="E64" s="11" t="s">
        <v>11</v>
      </c>
      <c r="F64" s="12"/>
      <c r="G64" s="57" t="s">
        <v>143</v>
      </c>
      <c r="H64" s="187">
        <v>0</v>
      </c>
      <c r="I64" s="187">
        <v>0</v>
      </c>
      <c r="J64" s="187">
        <v>0</v>
      </c>
      <c r="K64" s="187">
        <v>0</v>
      </c>
      <c r="L64" s="187">
        <v>0</v>
      </c>
      <c r="M64" s="58">
        <v>0</v>
      </c>
      <c r="N64" s="76">
        <v>0</v>
      </c>
      <c r="O64" s="76">
        <v>0</v>
      </c>
      <c r="P64" s="76">
        <v>0</v>
      </c>
      <c r="Q64" s="76">
        <v>0</v>
      </c>
      <c r="R64" s="76">
        <v>0</v>
      </c>
      <c r="S64" s="58">
        <v>0</v>
      </c>
    </row>
    <row r="65" spans="1:19" ht="12" x14ac:dyDescent="0.2">
      <c r="A65" s="8"/>
      <c r="B65" s="31" t="s">
        <v>144</v>
      </c>
      <c r="C65" s="8" t="s">
        <v>373</v>
      </c>
      <c r="D65" s="34" t="s">
        <v>135</v>
      </c>
      <c r="E65" s="11" t="s">
        <v>89</v>
      </c>
      <c r="F65" s="12"/>
      <c r="G65" s="57" t="s">
        <v>145</v>
      </c>
      <c r="H65" s="187">
        <v>0</v>
      </c>
      <c r="I65" s="187">
        <v>0</v>
      </c>
      <c r="J65" s="187">
        <v>0</v>
      </c>
      <c r="K65" s="187">
        <v>0</v>
      </c>
      <c r="L65" s="187">
        <v>0</v>
      </c>
      <c r="M65" s="58">
        <v>0</v>
      </c>
      <c r="N65" s="76">
        <v>0</v>
      </c>
      <c r="O65" s="76">
        <v>0</v>
      </c>
      <c r="P65" s="76">
        <v>0</v>
      </c>
      <c r="Q65" s="76">
        <v>0</v>
      </c>
      <c r="R65" s="76">
        <v>0</v>
      </c>
      <c r="S65" s="58">
        <v>0</v>
      </c>
    </row>
    <row r="66" spans="1:19" ht="12" x14ac:dyDescent="0.2">
      <c r="A66" s="8"/>
      <c r="B66" s="31" t="s">
        <v>146</v>
      </c>
      <c r="C66" s="8" t="s">
        <v>373</v>
      </c>
      <c r="D66" s="34" t="s">
        <v>131</v>
      </c>
      <c r="E66" s="11" t="s">
        <v>11</v>
      </c>
      <c r="F66" s="12"/>
      <c r="G66" s="57" t="s">
        <v>147</v>
      </c>
      <c r="H66" s="187">
        <v>0</v>
      </c>
      <c r="I66" s="187">
        <v>0</v>
      </c>
      <c r="J66" s="187">
        <v>0</v>
      </c>
      <c r="K66" s="187">
        <v>0</v>
      </c>
      <c r="L66" s="187">
        <v>0</v>
      </c>
      <c r="M66" s="58">
        <v>0</v>
      </c>
      <c r="N66" s="76">
        <v>0</v>
      </c>
      <c r="O66" s="76">
        <v>0</v>
      </c>
      <c r="P66" s="76">
        <v>0</v>
      </c>
      <c r="Q66" s="76">
        <v>0</v>
      </c>
      <c r="R66" s="76">
        <v>0</v>
      </c>
      <c r="S66" s="58">
        <v>0</v>
      </c>
    </row>
    <row r="67" spans="1:19" ht="12" x14ac:dyDescent="0.2">
      <c r="A67" s="8"/>
      <c r="B67" s="31" t="s">
        <v>148</v>
      </c>
      <c r="C67" s="8" t="s">
        <v>149</v>
      </c>
      <c r="D67" s="34" t="s">
        <v>135</v>
      </c>
      <c r="E67" s="11" t="s">
        <v>89</v>
      </c>
      <c r="F67" s="12"/>
      <c r="G67" s="57" t="s">
        <v>150</v>
      </c>
      <c r="H67" s="187">
        <v>0</v>
      </c>
      <c r="I67" s="187">
        <v>0</v>
      </c>
      <c r="J67" s="187">
        <v>0</v>
      </c>
      <c r="K67" s="187">
        <v>0</v>
      </c>
      <c r="L67" s="187">
        <v>0</v>
      </c>
      <c r="M67" s="58">
        <v>0</v>
      </c>
      <c r="N67" s="76">
        <v>0</v>
      </c>
      <c r="O67" s="76">
        <v>0</v>
      </c>
      <c r="P67" s="76">
        <v>0</v>
      </c>
      <c r="Q67" s="76">
        <v>0</v>
      </c>
      <c r="R67" s="76">
        <v>0</v>
      </c>
      <c r="S67" s="58">
        <v>0</v>
      </c>
    </row>
    <row r="68" spans="1:19" ht="12" x14ac:dyDescent="0.2">
      <c r="A68" s="8"/>
      <c r="B68" s="31" t="s">
        <v>151</v>
      </c>
      <c r="C68" s="8" t="s">
        <v>149</v>
      </c>
      <c r="D68" s="34" t="s">
        <v>131</v>
      </c>
      <c r="E68" s="11" t="s">
        <v>11</v>
      </c>
      <c r="F68" s="12"/>
      <c r="G68" s="57" t="s">
        <v>152</v>
      </c>
      <c r="H68" s="187">
        <v>0</v>
      </c>
      <c r="I68" s="187">
        <v>0</v>
      </c>
      <c r="J68" s="187">
        <v>0</v>
      </c>
      <c r="K68" s="187">
        <v>0</v>
      </c>
      <c r="L68" s="187">
        <v>0</v>
      </c>
      <c r="M68" s="58">
        <v>0</v>
      </c>
      <c r="N68" s="76">
        <v>0</v>
      </c>
      <c r="O68" s="76">
        <v>0</v>
      </c>
      <c r="P68" s="76">
        <v>0</v>
      </c>
      <c r="Q68" s="76">
        <v>0</v>
      </c>
      <c r="R68" s="76">
        <v>0</v>
      </c>
      <c r="S68" s="58">
        <v>0</v>
      </c>
    </row>
    <row r="69" spans="1:19" ht="12" x14ac:dyDescent="0.2">
      <c r="A69" s="8"/>
      <c r="B69" s="31" t="s">
        <v>153</v>
      </c>
      <c r="C69" s="34" t="s">
        <v>142</v>
      </c>
      <c r="D69" s="34" t="s">
        <v>131</v>
      </c>
      <c r="E69" s="11" t="s">
        <v>11</v>
      </c>
      <c r="F69" s="12"/>
      <c r="G69" s="57" t="s">
        <v>154</v>
      </c>
      <c r="H69" s="187">
        <v>0</v>
      </c>
      <c r="I69" s="187">
        <v>0</v>
      </c>
      <c r="J69" s="187">
        <v>0</v>
      </c>
      <c r="K69" s="187">
        <v>0</v>
      </c>
      <c r="L69" s="187">
        <v>0</v>
      </c>
      <c r="M69" s="58">
        <v>0</v>
      </c>
      <c r="N69" s="76">
        <v>0</v>
      </c>
      <c r="O69" s="76">
        <v>0</v>
      </c>
      <c r="P69" s="76">
        <v>0</v>
      </c>
      <c r="Q69" s="76">
        <v>0</v>
      </c>
      <c r="R69" s="76">
        <v>0</v>
      </c>
      <c r="S69" s="58">
        <v>0</v>
      </c>
    </row>
    <row r="70" spans="1:19" ht="12" x14ac:dyDescent="0.2">
      <c r="A70" s="8"/>
      <c r="B70" s="31" t="s">
        <v>155</v>
      </c>
      <c r="C70" s="35" t="s">
        <v>156</v>
      </c>
      <c r="D70" s="8"/>
      <c r="E70" s="11" t="s">
        <v>72</v>
      </c>
      <c r="F70" s="12"/>
      <c r="G70" s="57" t="s">
        <v>107</v>
      </c>
      <c r="H70" s="187">
        <v>0</v>
      </c>
      <c r="I70" s="187">
        <v>0</v>
      </c>
      <c r="J70" s="187">
        <v>0</v>
      </c>
      <c r="K70" s="187">
        <v>0</v>
      </c>
      <c r="L70" s="187">
        <v>0</v>
      </c>
      <c r="M70" s="58">
        <v>0.57899999999999996</v>
      </c>
      <c r="N70" s="76">
        <v>0</v>
      </c>
      <c r="O70" s="76">
        <v>0</v>
      </c>
      <c r="P70" s="76">
        <v>0</v>
      </c>
      <c r="Q70" s="76">
        <v>0</v>
      </c>
      <c r="R70" s="76">
        <v>0</v>
      </c>
      <c r="S70" s="58">
        <v>0</v>
      </c>
    </row>
    <row r="71" spans="1:19" x14ac:dyDescent="0.2">
      <c r="A71" s="8"/>
      <c r="B71" s="31" t="s">
        <v>157</v>
      </c>
      <c r="C71" s="10"/>
      <c r="D71" s="8"/>
      <c r="E71" s="12"/>
      <c r="F71" s="12"/>
      <c r="G71" s="69" t="s">
        <v>158</v>
      </c>
      <c r="H71" s="187">
        <f t="shared" ref="H71:S71" si="16">SUM(H58:H70)</f>
        <v>0.377</v>
      </c>
      <c r="I71" s="187">
        <f t="shared" si="16"/>
        <v>0.377</v>
      </c>
      <c r="J71" s="187">
        <f t="shared" si="16"/>
        <v>0.377</v>
      </c>
      <c r="K71" s="187">
        <f t="shared" si="16"/>
        <v>0.377</v>
      </c>
      <c r="L71" s="187">
        <f t="shared" si="16"/>
        <v>0.377</v>
      </c>
      <c r="M71" s="56">
        <f t="shared" si="16"/>
        <v>8.4320000000000004</v>
      </c>
      <c r="N71" s="77">
        <f t="shared" si="16"/>
        <v>-141.37299999999999</v>
      </c>
      <c r="O71" s="77">
        <f t="shared" si="16"/>
        <v>-102</v>
      </c>
      <c r="P71" s="77">
        <f t="shared" si="16"/>
        <v>-150</v>
      </c>
      <c r="Q71" s="77">
        <f t="shared" si="16"/>
        <v>-250</v>
      </c>
      <c r="R71" s="77">
        <f t="shared" si="16"/>
        <v>-60</v>
      </c>
      <c r="S71" s="56">
        <f t="shared" si="16"/>
        <v>-30</v>
      </c>
    </row>
    <row r="72" spans="1:19" x14ac:dyDescent="0.2">
      <c r="A72" s="8"/>
      <c r="B72" s="2"/>
      <c r="C72" s="10"/>
      <c r="D72" s="8"/>
      <c r="E72" s="9"/>
      <c r="G72" s="67"/>
      <c r="H72" s="48"/>
      <c r="I72" s="48"/>
      <c r="J72" s="48"/>
      <c r="K72" s="48"/>
      <c r="L72" s="48"/>
      <c r="M72" s="48"/>
      <c r="N72" s="4"/>
      <c r="O72" s="4"/>
      <c r="P72" s="4"/>
      <c r="Q72" s="4"/>
      <c r="R72" s="4"/>
      <c r="S72" s="48"/>
    </row>
    <row r="73" spans="1:19" x14ac:dyDescent="0.2">
      <c r="A73" s="8"/>
      <c r="B73" s="2"/>
      <c r="C73" s="10"/>
      <c r="D73" s="29" t="s">
        <v>120</v>
      </c>
      <c r="E73" s="30" t="s">
        <v>3</v>
      </c>
      <c r="F73" s="9"/>
      <c r="G73" s="53" t="s">
        <v>159</v>
      </c>
      <c r="H73" s="64">
        <f t="shared" ref="H73:S73" si="17">H57</f>
        <v>2011</v>
      </c>
      <c r="I73" s="64">
        <f t="shared" si="17"/>
        <v>2012</v>
      </c>
      <c r="J73" s="64">
        <f t="shared" si="17"/>
        <v>2013</v>
      </c>
      <c r="K73" s="64">
        <f t="shared" si="17"/>
        <v>2014</v>
      </c>
      <c r="L73" s="64">
        <f t="shared" si="17"/>
        <v>2015</v>
      </c>
      <c r="M73" s="64">
        <f t="shared" si="17"/>
        <v>2016</v>
      </c>
      <c r="N73" s="87">
        <f t="shared" si="17"/>
        <v>2017</v>
      </c>
      <c r="O73" s="87">
        <f t="shared" si="17"/>
        <v>2018</v>
      </c>
      <c r="P73" s="87">
        <f t="shared" si="17"/>
        <v>2019</v>
      </c>
      <c r="Q73" s="87">
        <f t="shared" si="17"/>
        <v>2020</v>
      </c>
      <c r="R73" s="87">
        <f t="shared" si="17"/>
        <v>2021</v>
      </c>
      <c r="S73" s="64">
        <f t="shared" si="17"/>
        <v>2022</v>
      </c>
    </row>
    <row r="74" spans="1:19" ht="12" x14ac:dyDescent="0.2">
      <c r="A74" s="8"/>
      <c r="B74" s="2" t="s">
        <v>160</v>
      </c>
      <c r="C74" s="34" t="s">
        <v>161</v>
      </c>
      <c r="D74" s="34" t="s">
        <v>128</v>
      </c>
      <c r="E74" s="11" t="s">
        <v>11</v>
      </c>
      <c r="G74" s="55" t="s">
        <v>162</v>
      </c>
      <c r="H74" s="187">
        <v>0</v>
      </c>
      <c r="I74" s="187">
        <v>0</v>
      </c>
      <c r="J74" s="187">
        <v>0</v>
      </c>
      <c r="K74" s="187">
        <v>0</v>
      </c>
      <c r="L74" s="187">
        <v>0</v>
      </c>
      <c r="M74" s="58">
        <v>0</v>
      </c>
      <c r="N74" s="76">
        <v>0</v>
      </c>
      <c r="O74" s="76">
        <v>0</v>
      </c>
      <c r="P74" s="76">
        <v>0</v>
      </c>
      <c r="Q74" s="76">
        <v>0</v>
      </c>
      <c r="R74" s="76">
        <v>0</v>
      </c>
      <c r="S74" s="58">
        <v>0</v>
      </c>
    </row>
    <row r="75" spans="1:19" ht="12" x14ac:dyDescent="0.2">
      <c r="A75" s="8"/>
      <c r="B75" s="2" t="s">
        <v>163</v>
      </c>
      <c r="C75" s="34" t="s">
        <v>161</v>
      </c>
      <c r="D75" s="34" t="s">
        <v>124</v>
      </c>
      <c r="E75" s="11" t="s">
        <v>89</v>
      </c>
      <c r="F75" s="12"/>
      <c r="G75" s="57" t="s">
        <v>164</v>
      </c>
      <c r="H75" s="187">
        <v>0</v>
      </c>
      <c r="I75" s="187">
        <v>0</v>
      </c>
      <c r="J75" s="187">
        <v>0</v>
      </c>
      <c r="K75" s="187">
        <v>0</v>
      </c>
      <c r="L75" s="187">
        <v>0</v>
      </c>
      <c r="M75" s="58">
        <v>0</v>
      </c>
      <c r="N75" s="76">
        <v>0</v>
      </c>
      <c r="O75" s="76">
        <v>0</v>
      </c>
      <c r="P75" s="76">
        <v>0</v>
      </c>
      <c r="Q75" s="76">
        <v>0</v>
      </c>
      <c r="R75" s="76">
        <v>0</v>
      </c>
      <c r="S75" s="58">
        <v>0</v>
      </c>
    </row>
    <row r="76" spans="1:19" ht="12" x14ac:dyDescent="0.2">
      <c r="A76" s="8"/>
      <c r="B76" s="2" t="s">
        <v>165</v>
      </c>
      <c r="C76" s="34" t="s">
        <v>166</v>
      </c>
      <c r="D76" s="34" t="s">
        <v>131</v>
      </c>
      <c r="E76" s="11" t="s">
        <v>11</v>
      </c>
      <c r="G76" s="57" t="s">
        <v>167</v>
      </c>
      <c r="H76" s="187">
        <v>0</v>
      </c>
      <c r="I76" s="187">
        <v>0</v>
      </c>
      <c r="J76" s="187">
        <v>0</v>
      </c>
      <c r="K76" s="187">
        <v>0</v>
      </c>
      <c r="L76" s="187">
        <v>0</v>
      </c>
      <c r="M76" s="58">
        <v>0</v>
      </c>
      <c r="N76" s="76">
        <v>0</v>
      </c>
      <c r="O76" s="76">
        <v>0</v>
      </c>
      <c r="P76" s="76">
        <v>0</v>
      </c>
      <c r="Q76" s="76">
        <v>0</v>
      </c>
      <c r="R76" s="76">
        <v>0</v>
      </c>
      <c r="S76" s="58">
        <v>0</v>
      </c>
    </row>
    <row r="77" spans="1:19" ht="12" x14ac:dyDescent="0.2">
      <c r="A77" s="8"/>
      <c r="B77" s="2" t="s">
        <v>168</v>
      </c>
      <c r="C77" s="34" t="s">
        <v>166</v>
      </c>
      <c r="D77" s="34" t="s">
        <v>135</v>
      </c>
      <c r="E77" s="11" t="s">
        <v>89</v>
      </c>
      <c r="F77" s="12"/>
      <c r="G77" s="57" t="s">
        <v>169</v>
      </c>
      <c r="H77" s="187">
        <v>0</v>
      </c>
      <c r="I77" s="187">
        <v>0</v>
      </c>
      <c r="J77" s="187">
        <v>0</v>
      </c>
      <c r="K77" s="187">
        <v>0</v>
      </c>
      <c r="L77" s="187">
        <v>0</v>
      </c>
      <c r="M77" s="58">
        <v>0</v>
      </c>
      <c r="N77" s="76">
        <v>0</v>
      </c>
      <c r="O77" s="76">
        <v>0</v>
      </c>
      <c r="P77" s="76">
        <v>0</v>
      </c>
      <c r="Q77" s="76">
        <v>0</v>
      </c>
      <c r="R77" s="76">
        <v>0</v>
      </c>
      <c r="S77" s="58">
        <v>0</v>
      </c>
    </row>
    <row r="78" spans="1:19" ht="12" x14ac:dyDescent="0.2">
      <c r="A78" s="8"/>
      <c r="B78" s="2" t="s">
        <v>170</v>
      </c>
      <c r="C78" s="34" t="s">
        <v>171</v>
      </c>
      <c r="D78" s="34" t="s">
        <v>135</v>
      </c>
      <c r="E78" s="11" t="s">
        <v>89</v>
      </c>
      <c r="F78" s="12"/>
      <c r="G78" s="57" t="s">
        <v>172</v>
      </c>
      <c r="H78" s="187">
        <v>0</v>
      </c>
      <c r="I78" s="187">
        <v>0</v>
      </c>
      <c r="J78" s="187">
        <v>0</v>
      </c>
      <c r="K78" s="187">
        <v>0</v>
      </c>
      <c r="L78" s="187">
        <v>0</v>
      </c>
      <c r="M78" s="58">
        <v>0</v>
      </c>
      <c r="N78" s="76">
        <v>0</v>
      </c>
      <c r="O78" s="76">
        <v>0</v>
      </c>
      <c r="P78" s="76">
        <v>0</v>
      </c>
      <c r="Q78" s="76">
        <v>0</v>
      </c>
      <c r="R78" s="76">
        <v>0</v>
      </c>
      <c r="S78" s="58">
        <v>0</v>
      </c>
    </row>
    <row r="79" spans="1:19" ht="12" x14ac:dyDescent="0.2">
      <c r="A79" s="8"/>
      <c r="B79" s="2" t="s">
        <v>173</v>
      </c>
      <c r="C79" s="34" t="s">
        <v>174</v>
      </c>
      <c r="D79" s="34" t="s">
        <v>135</v>
      </c>
      <c r="E79" s="11" t="s">
        <v>89</v>
      </c>
      <c r="F79" s="12"/>
      <c r="G79" s="57" t="s">
        <v>175</v>
      </c>
      <c r="H79" s="187">
        <v>0</v>
      </c>
      <c r="I79" s="187">
        <v>0</v>
      </c>
      <c r="J79" s="187">
        <v>0</v>
      </c>
      <c r="K79" s="187">
        <v>0</v>
      </c>
      <c r="L79" s="187">
        <v>0</v>
      </c>
      <c r="M79" s="58">
        <v>0</v>
      </c>
      <c r="N79" s="76">
        <v>0</v>
      </c>
      <c r="O79" s="76">
        <v>0</v>
      </c>
      <c r="P79" s="76">
        <v>0</v>
      </c>
      <c r="Q79" s="76">
        <v>0</v>
      </c>
      <c r="R79" s="76">
        <v>0</v>
      </c>
      <c r="S79" s="58">
        <v>0</v>
      </c>
    </row>
    <row r="80" spans="1:19" ht="12" x14ac:dyDescent="0.2">
      <c r="A80" s="8"/>
      <c r="B80" s="2" t="s">
        <v>176</v>
      </c>
      <c r="C80" s="34" t="s">
        <v>177</v>
      </c>
      <c r="D80" s="34" t="s">
        <v>135</v>
      </c>
      <c r="E80" s="11" t="s">
        <v>89</v>
      </c>
      <c r="F80" s="12"/>
      <c r="G80" s="57" t="s">
        <v>178</v>
      </c>
      <c r="H80" s="187">
        <v>0</v>
      </c>
      <c r="I80" s="187">
        <v>0</v>
      </c>
      <c r="J80" s="187">
        <v>0</v>
      </c>
      <c r="K80" s="187">
        <v>0</v>
      </c>
      <c r="L80" s="187">
        <v>0</v>
      </c>
      <c r="M80" s="58">
        <v>0</v>
      </c>
      <c r="N80" s="76">
        <v>0</v>
      </c>
      <c r="O80" s="76">
        <v>0</v>
      </c>
      <c r="P80" s="76">
        <v>0</v>
      </c>
      <c r="Q80" s="76">
        <v>0</v>
      </c>
      <c r="R80" s="76">
        <v>0</v>
      </c>
      <c r="S80" s="58">
        <v>0</v>
      </c>
    </row>
    <row r="81" spans="1:19" ht="12" x14ac:dyDescent="0.2">
      <c r="A81" s="8"/>
      <c r="B81" s="2" t="s">
        <v>179</v>
      </c>
      <c r="C81" s="34" t="s">
        <v>52</v>
      </c>
      <c r="D81" s="34" t="s">
        <v>135</v>
      </c>
      <c r="E81" s="11" t="s">
        <v>89</v>
      </c>
      <c r="F81" s="12"/>
      <c r="G81" s="57" t="s">
        <v>180</v>
      </c>
      <c r="H81" s="187">
        <v>0</v>
      </c>
      <c r="I81" s="187">
        <v>0</v>
      </c>
      <c r="J81" s="187">
        <v>0</v>
      </c>
      <c r="K81" s="187">
        <v>0</v>
      </c>
      <c r="L81" s="187">
        <v>0</v>
      </c>
      <c r="M81" s="58">
        <v>0</v>
      </c>
      <c r="N81" s="76">
        <v>0</v>
      </c>
      <c r="O81" s="76">
        <v>0</v>
      </c>
      <c r="P81" s="76">
        <v>0</v>
      </c>
      <c r="Q81" s="76">
        <v>0</v>
      </c>
      <c r="R81" s="76">
        <v>0</v>
      </c>
      <c r="S81" s="58">
        <v>0</v>
      </c>
    </row>
    <row r="82" spans="1:19" ht="12" x14ac:dyDescent="0.2">
      <c r="A82" s="8"/>
      <c r="B82" s="2" t="s">
        <v>181</v>
      </c>
      <c r="C82" s="34" t="s">
        <v>182</v>
      </c>
      <c r="D82" s="34" t="s">
        <v>131</v>
      </c>
      <c r="E82" s="11" t="s">
        <v>11</v>
      </c>
      <c r="G82" s="57" t="s">
        <v>183</v>
      </c>
      <c r="H82" s="187">
        <v>0</v>
      </c>
      <c r="I82" s="187">
        <v>0</v>
      </c>
      <c r="J82" s="187">
        <v>0</v>
      </c>
      <c r="K82" s="187">
        <v>0</v>
      </c>
      <c r="L82" s="187">
        <v>0</v>
      </c>
      <c r="M82" s="58">
        <v>0</v>
      </c>
      <c r="N82" s="76">
        <v>0</v>
      </c>
      <c r="O82" s="76">
        <v>0</v>
      </c>
      <c r="P82" s="76">
        <v>0</v>
      </c>
      <c r="Q82" s="76">
        <v>0</v>
      </c>
      <c r="R82" s="76">
        <v>0</v>
      </c>
      <c r="S82" s="58">
        <v>0</v>
      </c>
    </row>
    <row r="83" spans="1:19" ht="12" x14ac:dyDescent="0.2">
      <c r="A83" s="8"/>
      <c r="B83" s="2" t="s">
        <v>184</v>
      </c>
      <c r="C83" s="34" t="s">
        <v>182</v>
      </c>
      <c r="D83" s="34" t="s">
        <v>135</v>
      </c>
      <c r="E83" s="11" t="s">
        <v>89</v>
      </c>
      <c r="F83" s="12"/>
      <c r="G83" s="57" t="s">
        <v>374</v>
      </c>
      <c r="H83" s="187">
        <v>0</v>
      </c>
      <c r="I83" s="187">
        <v>0</v>
      </c>
      <c r="J83" s="187">
        <v>0</v>
      </c>
      <c r="K83" s="187">
        <v>0</v>
      </c>
      <c r="L83" s="187">
        <v>0</v>
      </c>
      <c r="M83" s="58">
        <v>0</v>
      </c>
      <c r="N83" s="76">
        <v>0</v>
      </c>
      <c r="O83" s="76">
        <v>0</v>
      </c>
      <c r="P83" s="76">
        <v>0</v>
      </c>
      <c r="Q83" s="76">
        <v>0</v>
      </c>
      <c r="R83" s="76">
        <v>0</v>
      </c>
      <c r="S83" s="58">
        <v>0</v>
      </c>
    </row>
    <row r="84" spans="1:19" ht="12" x14ac:dyDescent="0.2">
      <c r="A84" s="8"/>
      <c r="B84" s="2" t="s">
        <v>185</v>
      </c>
      <c r="C84" s="34" t="s">
        <v>375</v>
      </c>
      <c r="D84" s="34" t="s">
        <v>135</v>
      </c>
      <c r="E84" s="11" t="s">
        <v>89</v>
      </c>
      <c r="F84" s="12"/>
      <c r="G84" s="57" t="s">
        <v>376</v>
      </c>
      <c r="H84" s="187">
        <v>0</v>
      </c>
      <c r="I84" s="187">
        <v>0</v>
      </c>
      <c r="J84" s="187">
        <v>0</v>
      </c>
      <c r="K84" s="187">
        <v>0</v>
      </c>
      <c r="L84" s="187">
        <v>0</v>
      </c>
      <c r="M84" s="58">
        <v>0</v>
      </c>
      <c r="N84" s="76">
        <v>0</v>
      </c>
      <c r="O84" s="76">
        <v>0</v>
      </c>
      <c r="P84" s="76">
        <v>0</v>
      </c>
      <c r="Q84" s="76">
        <v>0</v>
      </c>
      <c r="R84" s="76">
        <v>0</v>
      </c>
      <c r="S84" s="58">
        <v>0</v>
      </c>
    </row>
    <row r="85" spans="1:19" ht="12" x14ac:dyDescent="0.2">
      <c r="A85" s="8"/>
      <c r="B85" s="2" t="s">
        <v>186</v>
      </c>
      <c r="C85" s="36">
        <v>68</v>
      </c>
      <c r="D85" s="34" t="s">
        <v>135</v>
      </c>
      <c r="E85" s="11" t="s">
        <v>89</v>
      </c>
      <c r="F85" s="12"/>
      <c r="G85" s="70" t="s">
        <v>111</v>
      </c>
      <c r="H85" s="187">
        <v>0</v>
      </c>
      <c r="I85" s="187">
        <v>0</v>
      </c>
      <c r="J85" s="187">
        <v>0</v>
      </c>
      <c r="K85" s="187">
        <v>0</v>
      </c>
      <c r="L85" s="187">
        <v>0</v>
      </c>
      <c r="M85" s="58">
        <v>0</v>
      </c>
      <c r="N85" s="76">
        <v>0</v>
      </c>
      <c r="O85" s="76">
        <v>0</v>
      </c>
      <c r="P85" s="76">
        <v>0</v>
      </c>
      <c r="Q85" s="76">
        <v>0</v>
      </c>
      <c r="R85" s="76">
        <v>0</v>
      </c>
      <c r="S85" s="58">
        <v>0</v>
      </c>
    </row>
    <row r="86" spans="1:19" x14ac:dyDescent="0.2">
      <c r="A86" s="8"/>
      <c r="B86" s="2" t="s">
        <v>377</v>
      </c>
      <c r="C86" s="10"/>
      <c r="D86" s="10"/>
      <c r="E86" s="9"/>
      <c r="G86" s="70" t="s">
        <v>158</v>
      </c>
      <c r="H86" s="187">
        <f t="shared" ref="H86:S86" si="18">SUM(H74:H85)</f>
        <v>0</v>
      </c>
      <c r="I86" s="187">
        <f t="shared" si="18"/>
        <v>0</v>
      </c>
      <c r="J86" s="187">
        <f t="shared" si="18"/>
        <v>0</v>
      </c>
      <c r="K86" s="187">
        <f t="shared" si="18"/>
        <v>0</v>
      </c>
      <c r="L86" s="187">
        <f t="shared" si="18"/>
        <v>0</v>
      </c>
      <c r="M86" s="56">
        <f t="shared" si="18"/>
        <v>0</v>
      </c>
      <c r="N86" s="56">
        <f t="shared" si="18"/>
        <v>0</v>
      </c>
      <c r="O86" s="56">
        <f t="shared" si="18"/>
        <v>0</v>
      </c>
      <c r="P86" s="56">
        <f t="shared" si="18"/>
        <v>0</v>
      </c>
      <c r="Q86" s="56">
        <f t="shared" si="18"/>
        <v>0</v>
      </c>
      <c r="R86" s="56">
        <f t="shared" si="18"/>
        <v>0</v>
      </c>
      <c r="S86" s="56">
        <f t="shared" si="18"/>
        <v>0</v>
      </c>
    </row>
    <row r="87" spans="1:19" s="4" customFormat="1" x14ac:dyDescent="0.2">
      <c r="A87" s="8"/>
      <c r="B87" s="2" t="s">
        <v>378</v>
      </c>
      <c r="C87" s="10"/>
      <c r="D87" s="10"/>
      <c r="E87" s="9"/>
      <c r="F87" s="8"/>
      <c r="G87" s="89" t="s">
        <v>379</v>
      </c>
      <c r="H87" s="98"/>
      <c r="I87" s="193">
        <f t="shared" ref="I87:S87" si="19">(I14+I15)-(H14+H15-I58-I59+I45)</f>
        <v>0.377</v>
      </c>
      <c r="J87" s="193">
        <f t="shared" si="19"/>
        <v>0.377</v>
      </c>
      <c r="K87" s="193">
        <f t="shared" si="19"/>
        <v>0.377</v>
      </c>
      <c r="L87" s="193">
        <f t="shared" si="19"/>
        <v>0.377</v>
      </c>
      <c r="M87" s="85">
        <v>0</v>
      </c>
      <c r="N87" s="85">
        <f>(N14+N15)-(M14+M15-N58-N59+N45)</f>
        <v>-9.999999998626663E-4</v>
      </c>
      <c r="O87" s="85">
        <f>(O14+O15)-(N14+N15-O58-O59+O45)</f>
        <v>0.38799999999991996</v>
      </c>
      <c r="P87" s="85">
        <f t="shared" si="19"/>
        <v>0</v>
      </c>
      <c r="Q87" s="85">
        <f t="shared" si="19"/>
        <v>0</v>
      </c>
      <c r="R87" s="85">
        <f t="shared" si="19"/>
        <v>0</v>
      </c>
      <c r="S87" s="85">
        <f t="shared" si="19"/>
        <v>0</v>
      </c>
    </row>
    <row r="88" spans="1:19" s="4" customFormat="1" x14ac:dyDescent="0.2">
      <c r="A88" s="8"/>
      <c r="B88" s="2" t="s">
        <v>380</v>
      </c>
      <c r="C88" s="10"/>
      <c r="D88" s="10"/>
      <c r="E88" s="9"/>
      <c r="F88" s="8"/>
      <c r="G88" s="89" t="s">
        <v>381</v>
      </c>
      <c r="H88" s="98"/>
      <c r="I88" s="193">
        <f>I24-(H24+(I74+I76)+(I75+I77)+(I78))</f>
        <v>0</v>
      </c>
      <c r="J88" s="193">
        <f>J24-(I24+(J74+J76)+(J75+J77)+(J78))</f>
        <v>0</v>
      </c>
      <c r="K88" s="193">
        <f>K24-(J24+(K74+K76)+(K75+K77)+(K78))</f>
        <v>0</v>
      </c>
      <c r="L88" s="193">
        <f>L24-(K24+(L74+L76)+(L75+L77)+(L78))</f>
        <v>0</v>
      </c>
      <c r="M88" s="85">
        <f>M24-(L24+(M74+M76)+(M75+M77)+(M78))</f>
        <v>0</v>
      </c>
      <c r="N88" s="85">
        <f t="shared" ref="N88:S88" si="20">N24-(M24+(N74+N76)+(N75+N77)+(N78))</f>
        <v>0</v>
      </c>
      <c r="O88" s="85">
        <f t="shared" si="20"/>
        <v>0</v>
      </c>
      <c r="P88" s="85">
        <f t="shared" si="20"/>
        <v>0</v>
      </c>
      <c r="Q88" s="85">
        <f t="shared" si="20"/>
        <v>0</v>
      </c>
      <c r="R88" s="85">
        <f t="shared" si="20"/>
        <v>0</v>
      </c>
      <c r="S88" s="85">
        <f t="shared" si="20"/>
        <v>0</v>
      </c>
    </row>
    <row r="89" spans="1:19" s="4" customFormat="1" x14ac:dyDescent="0.2">
      <c r="A89" s="8"/>
      <c r="B89" s="2" t="s">
        <v>382</v>
      </c>
      <c r="C89" s="10"/>
      <c r="D89" s="10"/>
      <c r="E89" s="9"/>
      <c r="F89" s="8"/>
      <c r="G89" s="89" t="s">
        <v>383</v>
      </c>
      <c r="H89" s="98"/>
      <c r="I89" s="193">
        <f>I28-(H28+(I82+I83))</f>
        <v>0</v>
      </c>
      <c r="J89" s="193">
        <f>J28-(I28+(J82+J83))</f>
        <v>0</v>
      </c>
      <c r="K89" s="193">
        <f>K28-(J28+(K82+K83))</f>
        <v>0</v>
      </c>
      <c r="L89" s="193">
        <f>L28-(K28+(L82+L83))</f>
        <v>0</v>
      </c>
      <c r="M89" s="85">
        <v>0</v>
      </c>
      <c r="N89" s="85">
        <f t="shared" ref="N89:S89" si="21">N28-(M28+(N82+N83))</f>
        <v>0</v>
      </c>
      <c r="O89" s="85">
        <f t="shared" si="21"/>
        <v>0</v>
      </c>
      <c r="P89" s="85">
        <f t="shared" si="21"/>
        <v>0</v>
      </c>
      <c r="Q89" s="85">
        <f t="shared" si="21"/>
        <v>0</v>
      </c>
      <c r="R89" s="85">
        <f t="shared" si="21"/>
        <v>0</v>
      </c>
      <c r="S89" s="85">
        <f t="shared" si="21"/>
        <v>0</v>
      </c>
    </row>
    <row r="90" spans="1:19" s="4" customFormat="1" x14ac:dyDescent="0.2">
      <c r="A90" s="8"/>
      <c r="B90" s="2" t="s">
        <v>384</v>
      </c>
      <c r="C90" s="10"/>
      <c r="D90" s="10"/>
      <c r="E90" s="9"/>
      <c r="F90" s="8"/>
      <c r="G90" s="89" t="s">
        <v>385</v>
      </c>
      <c r="H90" s="98"/>
      <c r="I90" s="193">
        <f>I29-(H29+H30)-I84</f>
        <v>0</v>
      </c>
      <c r="J90" s="193">
        <f>J29-(I29+I30)-J84</f>
        <v>0</v>
      </c>
      <c r="K90" s="193">
        <f>K29-(J29+J30)-K84</f>
        <v>0</v>
      </c>
      <c r="L90" s="193">
        <f>L29-(K29+K30)-L84</f>
        <v>0</v>
      </c>
      <c r="M90" s="85">
        <v>0</v>
      </c>
      <c r="N90" s="85">
        <f t="shared" ref="N90:S90" si="22">N29-(M29+M30)-N84</f>
        <v>0</v>
      </c>
      <c r="O90" s="85">
        <f t="shared" si="22"/>
        <v>0</v>
      </c>
      <c r="P90" s="85">
        <f t="shared" si="22"/>
        <v>5.6843418860808015E-14</v>
      </c>
      <c r="Q90" s="85">
        <f t="shared" si="22"/>
        <v>-2.0000000000095497E-3</v>
      </c>
      <c r="R90" s="85">
        <f t="shared" si="22"/>
        <v>0</v>
      </c>
      <c r="S90" s="85">
        <f t="shared" si="22"/>
        <v>0</v>
      </c>
    </row>
    <row r="91" spans="1:19" s="4" customFormat="1" x14ac:dyDescent="0.2">
      <c r="A91" s="8"/>
      <c r="B91" s="2"/>
      <c r="C91" s="10"/>
      <c r="D91" s="10"/>
      <c r="E91" s="9"/>
      <c r="F91" s="8"/>
      <c r="G91" s="28"/>
      <c r="L91" s="93">
        <f>L90-L87</f>
        <v>-0.377</v>
      </c>
    </row>
    <row r="92" spans="1:19" s="4" customFormat="1" x14ac:dyDescent="0.2">
      <c r="A92" s="13" t="s">
        <v>0</v>
      </c>
      <c r="B92" s="2"/>
      <c r="C92" s="10"/>
      <c r="D92" s="753" t="s">
        <v>187</v>
      </c>
      <c r="E92" s="754"/>
      <c r="F92" s="8"/>
      <c r="G92" s="94" t="s">
        <v>386</v>
      </c>
      <c r="H92" s="87">
        <f>H73</f>
        <v>2011</v>
      </c>
      <c r="I92" s="87">
        <f t="shared" ref="I92:S92" si="23">I73</f>
        <v>2012</v>
      </c>
      <c r="J92" s="87">
        <f t="shared" si="23"/>
        <v>2013</v>
      </c>
      <c r="K92" s="87">
        <f t="shared" si="23"/>
        <v>2014</v>
      </c>
      <c r="L92" s="87">
        <f t="shared" si="23"/>
        <v>2015</v>
      </c>
      <c r="M92" s="87">
        <f t="shared" si="23"/>
        <v>2016</v>
      </c>
      <c r="N92" s="87">
        <f t="shared" si="23"/>
        <v>2017</v>
      </c>
      <c r="O92" s="87">
        <f t="shared" si="23"/>
        <v>2018</v>
      </c>
      <c r="P92" s="87">
        <f t="shared" si="23"/>
        <v>2019</v>
      </c>
      <c r="Q92" s="87">
        <f t="shared" si="23"/>
        <v>2020</v>
      </c>
      <c r="R92" s="87">
        <f t="shared" si="23"/>
        <v>2021</v>
      </c>
      <c r="S92" s="87">
        <f t="shared" si="23"/>
        <v>2022</v>
      </c>
    </row>
    <row r="93" spans="1:19" s="4" customFormat="1" x14ac:dyDescent="0.2">
      <c r="A93" s="8"/>
      <c r="B93" s="2" t="s">
        <v>387</v>
      </c>
      <c r="C93" s="10" t="s">
        <v>388</v>
      </c>
      <c r="D93" s="10"/>
      <c r="E93" s="9"/>
      <c r="F93" s="8"/>
      <c r="G93" s="95" t="s">
        <v>389</v>
      </c>
      <c r="H93" s="96">
        <f>H5+H11+H12+H13</f>
        <v>0</v>
      </c>
      <c r="I93" s="96">
        <f>I5+I11+I12+I13</f>
        <v>0</v>
      </c>
      <c r="J93" s="96">
        <f t="shared" ref="J93:S93" si="24">J5+J11+J12+J13</f>
        <v>0</v>
      </c>
      <c r="K93" s="96">
        <f t="shared" si="24"/>
        <v>0</v>
      </c>
      <c r="L93" s="96">
        <f t="shared" si="24"/>
        <v>0</v>
      </c>
      <c r="M93" s="96">
        <f t="shared" si="24"/>
        <v>1522.1839999999997</v>
      </c>
      <c r="N93" s="96">
        <f t="shared" si="24"/>
        <v>1914.713</v>
      </c>
      <c r="O93" s="96">
        <f t="shared" si="24"/>
        <v>1164</v>
      </c>
      <c r="P93" s="96">
        <f t="shared" si="24"/>
        <v>1206</v>
      </c>
      <c r="Q93" s="96">
        <f t="shared" si="24"/>
        <v>1256</v>
      </c>
      <c r="R93" s="96">
        <f t="shared" si="24"/>
        <v>1316</v>
      </c>
      <c r="S93" s="96">
        <f t="shared" si="24"/>
        <v>1376</v>
      </c>
    </row>
    <row r="94" spans="1:19" s="4" customFormat="1" x14ac:dyDescent="0.2">
      <c r="A94" s="8"/>
      <c r="B94" s="2" t="s">
        <v>390</v>
      </c>
      <c r="C94" s="10"/>
      <c r="D94" s="10"/>
      <c r="E94" s="9"/>
      <c r="F94" s="8"/>
      <c r="G94" s="97" t="s">
        <v>391</v>
      </c>
      <c r="H94" s="98"/>
      <c r="I94" s="96">
        <f>I93-H93</f>
        <v>0</v>
      </c>
      <c r="J94" s="96">
        <f t="shared" ref="J94:S94" si="25">J93-I93</f>
        <v>0</v>
      </c>
      <c r="K94" s="96">
        <f t="shared" si="25"/>
        <v>0</v>
      </c>
      <c r="L94" s="96">
        <f t="shared" si="25"/>
        <v>0</v>
      </c>
      <c r="M94" s="96">
        <f t="shared" si="25"/>
        <v>1522.1839999999997</v>
      </c>
      <c r="N94" s="96">
        <f t="shared" si="25"/>
        <v>392.52900000000022</v>
      </c>
      <c r="O94" s="96">
        <f t="shared" si="25"/>
        <v>-750.71299999999997</v>
      </c>
      <c r="P94" s="96">
        <f t="shared" si="25"/>
        <v>42</v>
      </c>
      <c r="Q94" s="96">
        <f t="shared" si="25"/>
        <v>50</v>
      </c>
      <c r="R94" s="96">
        <f t="shared" si="25"/>
        <v>60</v>
      </c>
      <c r="S94" s="96">
        <f t="shared" si="25"/>
        <v>60</v>
      </c>
    </row>
    <row r="95" spans="1:19" s="4" customFormat="1" x14ac:dyDescent="0.2">
      <c r="A95" s="8"/>
      <c r="B95" s="2" t="s">
        <v>392</v>
      </c>
      <c r="C95" s="10" t="s">
        <v>42</v>
      </c>
      <c r="D95" s="10"/>
      <c r="E95" s="9"/>
      <c r="F95" s="8"/>
      <c r="G95" s="95" t="s">
        <v>393</v>
      </c>
      <c r="H95" s="96">
        <f>H19</f>
        <v>0</v>
      </c>
      <c r="I95" s="96">
        <f t="shared" ref="I95:S95" si="26">I19</f>
        <v>0</v>
      </c>
      <c r="J95" s="96">
        <f t="shared" si="26"/>
        <v>0</v>
      </c>
      <c r="K95" s="96">
        <f t="shared" si="26"/>
        <v>0</v>
      </c>
      <c r="L95" s="96">
        <f t="shared" si="26"/>
        <v>0</v>
      </c>
      <c r="M95" s="96">
        <f t="shared" si="26"/>
        <v>495.50599999999997</v>
      </c>
      <c r="N95" s="96">
        <f>N19</f>
        <v>487.21300000000002</v>
      </c>
      <c r="O95" s="96">
        <f t="shared" si="26"/>
        <v>550</v>
      </c>
      <c r="P95" s="96">
        <f t="shared" si="26"/>
        <v>550</v>
      </c>
      <c r="Q95" s="96">
        <f t="shared" si="26"/>
        <v>550</v>
      </c>
      <c r="R95" s="96">
        <f t="shared" si="26"/>
        <v>550</v>
      </c>
      <c r="S95" s="96">
        <f t="shared" si="26"/>
        <v>550</v>
      </c>
    </row>
    <row r="96" spans="1:19" s="4" customFormat="1" x14ac:dyDescent="0.2">
      <c r="A96" s="8"/>
      <c r="B96" s="2" t="s">
        <v>394</v>
      </c>
      <c r="C96" s="10"/>
      <c r="D96" s="10"/>
      <c r="E96" s="9"/>
      <c r="F96" s="8"/>
      <c r="G96" s="97" t="s">
        <v>391</v>
      </c>
      <c r="H96" s="98"/>
      <c r="I96" s="96">
        <f>I95-H95</f>
        <v>0</v>
      </c>
      <c r="J96" s="96">
        <f t="shared" ref="J96:S96" si="27">J95-I95</f>
        <v>0</v>
      </c>
      <c r="K96" s="96">
        <f t="shared" si="27"/>
        <v>0</v>
      </c>
      <c r="L96" s="96">
        <f t="shared" si="27"/>
        <v>0</v>
      </c>
      <c r="M96" s="96">
        <f t="shared" si="27"/>
        <v>495.50599999999997</v>
      </c>
      <c r="N96" s="96">
        <f t="shared" si="27"/>
        <v>-8.2929999999999495</v>
      </c>
      <c r="O96" s="96">
        <f t="shared" si="27"/>
        <v>62.786999999999978</v>
      </c>
      <c r="P96" s="96">
        <f t="shared" si="27"/>
        <v>0</v>
      </c>
      <c r="Q96" s="96">
        <f t="shared" si="27"/>
        <v>0</v>
      </c>
      <c r="R96" s="96">
        <f t="shared" si="27"/>
        <v>0</v>
      </c>
      <c r="S96" s="96">
        <f t="shared" si="27"/>
        <v>0</v>
      </c>
    </row>
    <row r="97" spans="1:20" s="40" customFormat="1" x14ac:dyDescent="0.2">
      <c r="A97" s="29" t="s">
        <v>395</v>
      </c>
      <c r="B97" s="2" t="s">
        <v>188</v>
      </c>
      <c r="C97" s="10" t="s">
        <v>396</v>
      </c>
      <c r="D97" s="99"/>
      <c r="E97" s="30"/>
      <c r="F97" s="29"/>
      <c r="G97" s="100" t="s">
        <v>386</v>
      </c>
      <c r="H97" s="101"/>
      <c r="I97" s="102">
        <f>I94-I96</f>
        <v>0</v>
      </c>
      <c r="J97" s="102">
        <f t="shared" ref="J97:S97" si="28">J94-J96</f>
        <v>0</v>
      </c>
      <c r="K97" s="102">
        <f t="shared" si="28"/>
        <v>0</v>
      </c>
      <c r="L97" s="102">
        <f t="shared" si="28"/>
        <v>0</v>
      </c>
      <c r="M97" s="102">
        <f t="shared" si="28"/>
        <v>1026.6779999999999</v>
      </c>
      <c r="N97" s="102">
        <f t="shared" si="28"/>
        <v>400.82200000000017</v>
      </c>
      <c r="O97" s="102">
        <f t="shared" si="28"/>
        <v>-813.5</v>
      </c>
      <c r="P97" s="102">
        <f t="shared" si="28"/>
        <v>42</v>
      </c>
      <c r="Q97" s="102">
        <f t="shared" si="28"/>
        <v>50</v>
      </c>
      <c r="R97" s="102">
        <f t="shared" si="28"/>
        <v>60</v>
      </c>
      <c r="S97" s="102">
        <f t="shared" si="28"/>
        <v>60</v>
      </c>
    </row>
    <row r="98" spans="1:20" s="4" customFormat="1" x14ac:dyDescent="0.2">
      <c r="A98" s="8"/>
      <c r="B98" s="2"/>
      <c r="C98" s="10"/>
      <c r="D98" s="10"/>
      <c r="E98" s="9"/>
      <c r="F98" s="8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</row>
    <row r="99" spans="1:20" s="4" customFormat="1" x14ac:dyDescent="0.2">
      <c r="A99" s="8"/>
      <c r="B99" s="2" t="s">
        <v>397</v>
      </c>
      <c r="C99" s="10" t="s">
        <v>398</v>
      </c>
      <c r="D99" s="10"/>
      <c r="E99" s="9"/>
      <c r="F99" s="8"/>
      <c r="G99" s="95" t="s">
        <v>399</v>
      </c>
      <c r="H99" s="96">
        <f>H4-H93</f>
        <v>0</v>
      </c>
      <c r="I99" s="96">
        <f t="shared" ref="I99:S99" si="29">I4-I93</f>
        <v>0</v>
      </c>
      <c r="J99" s="96">
        <f t="shared" si="29"/>
        <v>0</v>
      </c>
      <c r="K99" s="96">
        <f t="shared" si="29"/>
        <v>0</v>
      </c>
      <c r="L99" s="96">
        <f t="shared" si="29"/>
        <v>0</v>
      </c>
      <c r="M99" s="96">
        <f t="shared" si="29"/>
        <v>575.56399999999985</v>
      </c>
      <c r="N99" s="96">
        <f t="shared" si="29"/>
        <v>703.82500000000005</v>
      </c>
      <c r="O99" s="96">
        <f t="shared" si="29"/>
        <v>822</v>
      </c>
      <c r="P99" s="96">
        <f t="shared" si="29"/>
        <v>930</v>
      </c>
      <c r="Q99" s="96">
        <f t="shared" si="29"/>
        <v>1130</v>
      </c>
      <c r="R99" s="96">
        <f t="shared" si="29"/>
        <v>1130</v>
      </c>
      <c r="S99" s="96">
        <f t="shared" si="29"/>
        <v>1100</v>
      </c>
    </row>
    <row r="100" spans="1:20" s="4" customFormat="1" x14ac:dyDescent="0.2">
      <c r="A100" s="8"/>
      <c r="B100" s="2" t="s">
        <v>400</v>
      </c>
      <c r="C100" s="10"/>
      <c r="D100" s="10"/>
      <c r="E100" s="9"/>
      <c r="F100" s="8"/>
      <c r="G100" s="97" t="s">
        <v>391</v>
      </c>
      <c r="H100" s="98"/>
      <c r="I100" s="96">
        <f>I99-H99</f>
        <v>0</v>
      </c>
      <c r="J100" s="96">
        <f t="shared" ref="J100:S100" si="30">J99-I99</f>
        <v>0</v>
      </c>
      <c r="K100" s="96">
        <f t="shared" si="30"/>
        <v>0</v>
      </c>
      <c r="L100" s="96">
        <f t="shared" si="30"/>
        <v>0</v>
      </c>
      <c r="M100" s="96">
        <f t="shared" si="30"/>
        <v>575.56399999999985</v>
      </c>
      <c r="N100" s="96">
        <f t="shared" si="30"/>
        <v>128.26100000000019</v>
      </c>
      <c r="O100" s="96">
        <f t="shared" si="30"/>
        <v>118.17499999999995</v>
      </c>
      <c r="P100" s="96">
        <f t="shared" si="30"/>
        <v>108</v>
      </c>
      <c r="Q100" s="96">
        <f t="shared" si="30"/>
        <v>200</v>
      </c>
      <c r="R100" s="96">
        <f t="shared" si="30"/>
        <v>0</v>
      </c>
      <c r="S100" s="96">
        <f t="shared" si="30"/>
        <v>-30</v>
      </c>
    </row>
    <row r="101" spans="1:20" s="4" customFormat="1" x14ac:dyDescent="0.2">
      <c r="A101" s="8"/>
      <c r="B101" s="2" t="s">
        <v>401</v>
      </c>
      <c r="C101" s="10" t="s">
        <v>64</v>
      </c>
      <c r="D101" s="10"/>
      <c r="E101" s="9"/>
      <c r="F101" s="8"/>
      <c r="G101" s="95" t="s">
        <v>402</v>
      </c>
      <c r="H101" s="96">
        <f>H27</f>
        <v>0</v>
      </c>
      <c r="I101" s="96">
        <f t="shared" ref="I101:S101" si="31">I27</f>
        <v>0</v>
      </c>
      <c r="J101" s="96">
        <f t="shared" si="31"/>
        <v>0</v>
      </c>
      <c r="K101" s="96">
        <f t="shared" si="31"/>
        <v>0</v>
      </c>
      <c r="L101" s="96">
        <f t="shared" si="31"/>
        <v>0</v>
      </c>
      <c r="M101" s="96">
        <f t="shared" si="31"/>
        <v>1602.242</v>
      </c>
      <c r="N101" s="96">
        <f t="shared" si="31"/>
        <v>2131.3249999999998</v>
      </c>
      <c r="O101" s="96">
        <f t="shared" si="31"/>
        <v>1435.7909999999997</v>
      </c>
      <c r="P101" s="96">
        <f t="shared" si="31"/>
        <v>1585.7909999999999</v>
      </c>
      <c r="Q101" s="96">
        <f t="shared" si="31"/>
        <v>1835.789</v>
      </c>
      <c r="R101" s="96">
        <f t="shared" si="31"/>
        <v>1895.789</v>
      </c>
      <c r="S101" s="96">
        <f t="shared" si="31"/>
        <v>1925.789</v>
      </c>
    </row>
    <row r="102" spans="1:20" s="4" customFormat="1" x14ac:dyDescent="0.2">
      <c r="A102" s="8"/>
      <c r="B102" s="2" t="s">
        <v>403</v>
      </c>
      <c r="C102" s="10"/>
      <c r="D102" s="10"/>
      <c r="E102" s="9"/>
      <c r="F102" s="8"/>
      <c r="G102" s="97" t="s">
        <v>391</v>
      </c>
      <c r="H102" s="98"/>
      <c r="I102" s="96">
        <f>I101-H101</f>
        <v>0</v>
      </c>
      <c r="J102" s="96">
        <f t="shared" ref="J102:S102" si="32">J101-I101</f>
        <v>0</v>
      </c>
      <c r="K102" s="96">
        <f t="shared" si="32"/>
        <v>0</v>
      </c>
      <c r="L102" s="96">
        <f t="shared" si="32"/>
        <v>0</v>
      </c>
      <c r="M102" s="96">
        <f t="shared" si="32"/>
        <v>1602.242</v>
      </c>
      <c r="N102" s="96">
        <f t="shared" si="32"/>
        <v>529.08299999999986</v>
      </c>
      <c r="O102" s="96">
        <f t="shared" si="32"/>
        <v>-695.53400000000011</v>
      </c>
      <c r="P102" s="96">
        <f t="shared" si="32"/>
        <v>150.00000000000023</v>
      </c>
      <c r="Q102" s="96">
        <f t="shared" si="32"/>
        <v>249.99800000000005</v>
      </c>
      <c r="R102" s="96">
        <f t="shared" si="32"/>
        <v>60</v>
      </c>
      <c r="S102" s="96">
        <f t="shared" si="32"/>
        <v>30</v>
      </c>
    </row>
    <row r="103" spans="1:20" s="40" customFormat="1" x14ac:dyDescent="0.2">
      <c r="A103" s="29" t="s">
        <v>404</v>
      </c>
      <c r="B103" s="2" t="s">
        <v>189</v>
      </c>
      <c r="C103" s="10" t="s">
        <v>405</v>
      </c>
      <c r="D103" s="10"/>
      <c r="E103" s="9"/>
      <c r="F103" s="8"/>
      <c r="G103" s="100" t="s">
        <v>406</v>
      </c>
      <c r="H103" s="101"/>
      <c r="I103" s="102">
        <f>I102-I100</f>
        <v>0</v>
      </c>
      <c r="J103" s="102">
        <f t="shared" ref="J103:S103" si="33">J102-J100</f>
        <v>0</v>
      </c>
      <c r="K103" s="102">
        <f t="shared" si="33"/>
        <v>0</v>
      </c>
      <c r="L103" s="102">
        <f t="shared" si="33"/>
        <v>0</v>
      </c>
      <c r="M103" s="102">
        <f t="shared" si="33"/>
        <v>1026.6780000000001</v>
      </c>
      <c r="N103" s="102">
        <f t="shared" si="33"/>
        <v>400.82199999999966</v>
      </c>
      <c r="O103" s="102">
        <f t="shared" si="33"/>
        <v>-813.70900000000006</v>
      </c>
      <c r="P103" s="102">
        <f t="shared" si="33"/>
        <v>42.000000000000227</v>
      </c>
      <c r="Q103" s="102">
        <f t="shared" si="33"/>
        <v>49.998000000000047</v>
      </c>
      <c r="R103" s="102">
        <f t="shared" si="33"/>
        <v>60</v>
      </c>
      <c r="S103" s="102">
        <f t="shared" si="33"/>
        <v>60</v>
      </c>
    </row>
    <row r="104" spans="1:20" s="4" customFormat="1" x14ac:dyDescent="0.2">
      <c r="A104" s="8"/>
      <c r="B104" s="2"/>
      <c r="C104" s="10"/>
      <c r="D104" s="10"/>
      <c r="E104" s="9"/>
      <c r="F104" s="8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</row>
    <row r="105" spans="1:20" s="4" customFormat="1" x14ac:dyDescent="0.2">
      <c r="A105" s="13"/>
      <c r="B105" s="2"/>
      <c r="C105" s="10"/>
      <c r="D105" s="10"/>
      <c r="E105" s="9"/>
      <c r="F105" s="8"/>
      <c r="G105" s="94" t="s">
        <v>407</v>
      </c>
      <c r="H105" s="87">
        <f t="shared" ref="H105:S105" si="34">H32</f>
        <v>2011</v>
      </c>
      <c r="I105" s="87">
        <f t="shared" si="34"/>
        <v>2012</v>
      </c>
      <c r="J105" s="87">
        <f t="shared" si="34"/>
        <v>2013</v>
      </c>
      <c r="K105" s="87">
        <f t="shared" si="34"/>
        <v>2014</v>
      </c>
      <c r="L105" s="87">
        <f t="shared" si="34"/>
        <v>2015</v>
      </c>
      <c r="M105" s="87">
        <f t="shared" si="34"/>
        <v>2016</v>
      </c>
      <c r="N105" s="87">
        <f t="shared" si="34"/>
        <v>2017</v>
      </c>
      <c r="O105" s="87">
        <f t="shared" si="34"/>
        <v>2018</v>
      </c>
      <c r="P105" s="87">
        <f t="shared" si="34"/>
        <v>2019</v>
      </c>
      <c r="Q105" s="87">
        <f t="shared" si="34"/>
        <v>2020</v>
      </c>
      <c r="R105" s="87">
        <f t="shared" si="34"/>
        <v>2021</v>
      </c>
      <c r="S105" s="87">
        <f t="shared" si="34"/>
        <v>2022</v>
      </c>
    </row>
    <row r="106" spans="1:20" s="40" customFormat="1" x14ac:dyDescent="0.2">
      <c r="A106" s="29" t="s">
        <v>408</v>
      </c>
      <c r="B106" s="2" t="s">
        <v>192</v>
      </c>
      <c r="C106" s="29" t="s">
        <v>409</v>
      </c>
      <c r="D106" s="10"/>
      <c r="E106" s="9"/>
      <c r="F106" s="8"/>
      <c r="G106" s="103" t="s">
        <v>407</v>
      </c>
      <c r="H106" s="101" t="s">
        <v>358</v>
      </c>
      <c r="I106" s="104">
        <f t="shared" ref="I106:N106" si="35">(I48-I45+I50)+(I58+I59)+(I82+I83+I84+I85)-(I85-I49)</f>
        <v>0.377</v>
      </c>
      <c r="J106" s="104">
        <f t="shared" si="35"/>
        <v>0.377</v>
      </c>
      <c r="K106" s="104">
        <f t="shared" si="35"/>
        <v>0.377</v>
      </c>
      <c r="L106" s="104">
        <f t="shared" si="35"/>
        <v>0.41499999999999998</v>
      </c>
      <c r="M106" s="104">
        <f t="shared" si="35"/>
        <v>439.82000000000045</v>
      </c>
      <c r="N106" s="104">
        <f t="shared" si="35"/>
        <v>400.82300000000009</v>
      </c>
      <c r="O106" s="104">
        <f>(O48-O45+O50)+(O58+O59)+(O82+O83+O84+O85)-(O85-O49)</f>
        <v>-813.3210000000015</v>
      </c>
      <c r="P106" s="104">
        <f>(P48-P45+P50)+(P58+P59)+(P82+P83+P84+P85)-(P85-P49)</f>
        <v>42</v>
      </c>
      <c r="Q106" s="104">
        <f>(Q48-Q45+Q50)+(Q58+Q59)+(Q82+Q83+Q84+Q85)-(Q85-Q49)</f>
        <v>50</v>
      </c>
      <c r="R106" s="104">
        <f>(R48-R45+R50)+(R58+R59)+(R82+R83+R84+R85)-(R85-R49)</f>
        <v>60</v>
      </c>
      <c r="S106" s="104">
        <f>(S48-S45+S50)+(S58+S59)+(S82+S83+S84+S85)-(S85-S49)</f>
        <v>60</v>
      </c>
    </row>
    <row r="107" spans="1:20" s="40" customFormat="1" x14ac:dyDescent="0.2">
      <c r="A107" s="29" t="s">
        <v>410</v>
      </c>
      <c r="B107" s="2" t="s">
        <v>194</v>
      </c>
      <c r="C107" s="29" t="s">
        <v>411</v>
      </c>
      <c r="D107" s="10"/>
      <c r="E107" s="9"/>
      <c r="F107" s="8"/>
      <c r="G107" s="89" t="s">
        <v>412</v>
      </c>
      <c r="H107" s="101" t="s">
        <v>358</v>
      </c>
      <c r="I107" s="85">
        <f>I97-I106</f>
        <v>-0.377</v>
      </c>
      <c r="J107" s="85">
        <f t="shared" ref="J107:S107" si="36">J97-J106</f>
        <v>-0.377</v>
      </c>
      <c r="K107" s="85">
        <f t="shared" si="36"/>
        <v>-0.377</v>
      </c>
      <c r="L107" s="85">
        <f t="shared" si="36"/>
        <v>-0.41499999999999998</v>
      </c>
      <c r="M107" s="85">
        <f>M97-M106</f>
        <v>586.85799999999949</v>
      </c>
      <c r="N107" s="85">
        <f>N97-N106</f>
        <v>-9.9999999991950972E-4</v>
      </c>
      <c r="O107" s="85">
        <f t="shared" si="36"/>
        <v>-0.1789999999984957</v>
      </c>
      <c r="P107" s="85">
        <f t="shared" si="36"/>
        <v>0</v>
      </c>
      <c r="Q107" s="85">
        <f t="shared" si="36"/>
        <v>0</v>
      </c>
      <c r="R107" s="85">
        <f t="shared" si="36"/>
        <v>0</v>
      </c>
      <c r="S107" s="85">
        <f t="shared" si="36"/>
        <v>0</v>
      </c>
    </row>
    <row r="108" spans="1:20" s="40" customFormat="1" x14ac:dyDescent="0.2">
      <c r="A108" s="29"/>
      <c r="B108" s="2"/>
      <c r="C108" s="29"/>
      <c r="D108" s="10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</row>
    <row r="109" spans="1:20" s="40" customFormat="1" x14ac:dyDescent="0.2">
      <c r="A109" s="29"/>
      <c r="B109" s="2"/>
      <c r="C109" s="29"/>
      <c r="D109" s="10"/>
      <c r="E109" s="9"/>
      <c r="F109" s="8"/>
      <c r="G109" s="94" t="s">
        <v>413</v>
      </c>
      <c r="H109" s="87">
        <f>H105</f>
        <v>2011</v>
      </c>
      <c r="I109" s="87">
        <f t="shared" ref="I109:S109" si="37">I105</f>
        <v>2012</v>
      </c>
      <c r="J109" s="87">
        <f t="shared" si="37"/>
        <v>2013</v>
      </c>
      <c r="K109" s="87">
        <f t="shared" si="37"/>
        <v>2014</v>
      </c>
      <c r="L109" s="87">
        <f t="shared" si="37"/>
        <v>2015</v>
      </c>
      <c r="M109" s="87">
        <f t="shared" si="37"/>
        <v>2016</v>
      </c>
      <c r="N109" s="87">
        <f t="shared" si="37"/>
        <v>2017</v>
      </c>
      <c r="O109" s="87">
        <f t="shared" si="37"/>
        <v>2018</v>
      </c>
      <c r="P109" s="87">
        <f t="shared" si="37"/>
        <v>2019</v>
      </c>
      <c r="Q109" s="87">
        <f t="shared" si="37"/>
        <v>2020</v>
      </c>
      <c r="R109" s="87">
        <f t="shared" si="37"/>
        <v>2021</v>
      </c>
      <c r="S109" s="87">
        <f t="shared" si="37"/>
        <v>2022</v>
      </c>
    </row>
    <row r="110" spans="1:20" s="4" customFormat="1" x14ac:dyDescent="0.2">
      <c r="A110" s="8" t="s">
        <v>414</v>
      </c>
      <c r="B110" s="2" t="s">
        <v>415</v>
      </c>
      <c r="C110" s="34" t="s">
        <v>190</v>
      </c>
      <c r="D110" s="10"/>
      <c r="E110" s="9"/>
      <c r="F110" s="8"/>
      <c r="G110" s="103" t="s">
        <v>191</v>
      </c>
      <c r="H110" s="105">
        <f t="shared" ref="H110:S110" si="38">H33+H38+H41-H45</f>
        <v>0</v>
      </c>
      <c r="I110" s="77">
        <f t="shared" si="38"/>
        <v>0</v>
      </c>
      <c r="J110" s="77">
        <f t="shared" si="38"/>
        <v>0</v>
      </c>
      <c r="K110" s="77">
        <f t="shared" si="38"/>
        <v>0</v>
      </c>
      <c r="L110" s="77">
        <f t="shared" si="38"/>
        <v>0</v>
      </c>
      <c r="M110" s="77">
        <f t="shared" si="38"/>
        <v>439.69100000000049</v>
      </c>
      <c r="N110" s="77">
        <f t="shared" si="38"/>
        <v>554.97800000000007</v>
      </c>
      <c r="O110" s="77">
        <f t="shared" si="38"/>
        <v>-665.53400000000147</v>
      </c>
      <c r="P110" s="77">
        <f t="shared" si="38"/>
        <v>192</v>
      </c>
      <c r="Q110" s="77">
        <f t="shared" si="38"/>
        <v>300</v>
      </c>
      <c r="R110" s="77">
        <f t="shared" si="38"/>
        <v>120</v>
      </c>
      <c r="S110" s="77">
        <f t="shared" si="38"/>
        <v>90</v>
      </c>
    </row>
    <row r="111" spans="1:20" s="4" customFormat="1" x14ac:dyDescent="0.2">
      <c r="A111" s="8" t="s">
        <v>416</v>
      </c>
      <c r="B111" s="2" t="s">
        <v>197</v>
      </c>
      <c r="C111" s="8" t="s">
        <v>417</v>
      </c>
      <c r="D111" s="10"/>
      <c r="E111" s="106">
        <v>0</v>
      </c>
      <c r="F111" s="8"/>
      <c r="G111" s="46" t="s">
        <v>193</v>
      </c>
      <c r="H111" s="107" t="e">
        <f t="shared" ref="H111:S111" si="39">H110/H33</f>
        <v>#DIV/0!</v>
      </c>
      <c r="I111" s="108" t="e">
        <f t="shared" si="39"/>
        <v>#DIV/0!</v>
      </c>
      <c r="J111" s="108" t="e">
        <f t="shared" si="39"/>
        <v>#DIV/0!</v>
      </c>
      <c r="K111" s="108" t="e">
        <f t="shared" si="39"/>
        <v>#DIV/0!</v>
      </c>
      <c r="L111" s="108" t="e">
        <f t="shared" si="39"/>
        <v>#DIV/0!</v>
      </c>
      <c r="M111" s="108">
        <f t="shared" si="39"/>
        <v>0.16855704624660606</v>
      </c>
      <c r="N111" s="108">
        <f t="shared" si="39"/>
        <v>7.998897693790348E-2</v>
      </c>
      <c r="O111" s="108">
        <f>O110/O33</f>
        <v>-5.9616175644377316E-2</v>
      </c>
      <c r="P111" s="108">
        <f t="shared" si="39"/>
        <v>1.6849548625164589E-2</v>
      </c>
      <c r="Q111" s="108">
        <f t="shared" si="39"/>
        <v>2.5382205246603354E-2</v>
      </c>
      <c r="R111" s="108">
        <f t="shared" si="39"/>
        <v>1.0116222754166935E-2</v>
      </c>
      <c r="S111" s="108">
        <f t="shared" si="39"/>
        <v>7.5089055619965281E-3</v>
      </c>
    </row>
    <row r="112" spans="1:20" s="4" customFormat="1" x14ac:dyDescent="0.2">
      <c r="A112" s="8" t="s">
        <v>418</v>
      </c>
      <c r="B112" s="2" t="s">
        <v>200</v>
      </c>
      <c r="C112" s="34" t="s">
        <v>195</v>
      </c>
      <c r="D112" s="10"/>
      <c r="E112" s="109"/>
      <c r="F112" s="8"/>
      <c r="G112" s="110" t="s">
        <v>196</v>
      </c>
      <c r="H112" s="111" t="e">
        <f t="shared" ref="H112:S112" si="40">-H33/(H38+H41)</f>
        <v>#DIV/0!</v>
      </c>
      <c r="I112" s="111" t="e">
        <f t="shared" si="40"/>
        <v>#DIV/0!</v>
      </c>
      <c r="J112" s="111" t="e">
        <f t="shared" si="40"/>
        <v>#DIV/0!</v>
      </c>
      <c r="K112" s="111" t="e">
        <f t="shared" si="40"/>
        <v>#DIV/0!</v>
      </c>
      <c r="L112" s="111" t="e">
        <f t="shared" si="40"/>
        <v>#DIV/0!</v>
      </c>
      <c r="M112" s="111">
        <f t="shared" si="40"/>
        <v>1.1815816937568966</v>
      </c>
      <c r="N112" s="111">
        <f t="shared" si="40"/>
        <v>1.0825522039301643</v>
      </c>
      <c r="O112" s="111">
        <f t="shared" si="40"/>
        <v>0.94135059230898033</v>
      </c>
      <c r="P112" s="111">
        <f t="shared" si="40"/>
        <v>1.0133393045989298</v>
      </c>
      <c r="Q112" s="111">
        <f t="shared" si="40"/>
        <v>1.0216089057734157</v>
      </c>
      <c r="R112" s="111">
        <f t="shared" si="40"/>
        <v>1.0050838259348838</v>
      </c>
      <c r="S112" s="111">
        <f t="shared" si="40"/>
        <v>1.0025092490921537</v>
      </c>
    </row>
    <row r="113" spans="1:20" s="4" customFormat="1" x14ac:dyDescent="0.2">
      <c r="A113" s="8" t="s">
        <v>419</v>
      </c>
      <c r="B113" s="2" t="s">
        <v>420</v>
      </c>
      <c r="C113" s="8" t="s">
        <v>198</v>
      </c>
      <c r="D113" s="10"/>
      <c r="E113" s="109"/>
      <c r="F113" s="8"/>
      <c r="G113" s="103" t="s">
        <v>199</v>
      </c>
      <c r="H113" s="105">
        <f t="shared" ref="H113:S113" si="41">H46</f>
        <v>0</v>
      </c>
      <c r="I113" s="105">
        <f t="shared" si="41"/>
        <v>0</v>
      </c>
      <c r="J113" s="105">
        <f t="shared" si="41"/>
        <v>0</v>
      </c>
      <c r="K113" s="105">
        <f t="shared" si="41"/>
        <v>0</v>
      </c>
      <c r="L113" s="105">
        <f t="shared" si="41"/>
        <v>0</v>
      </c>
      <c r="M113" s="105">
        <f t="shared" si="41"/>
        <v>400.87500000000045</v>
      </c>
      <c r="N113" s="105">
        <f t="shared" si="41"/>
        <v>529.08500000000004</v>
      </c>
      <c r="O113" s="105">
        <f t="shared" si="41"/>
        <v>-695.53400000000147</v>
      </c>
      <c r="P113" s="105">
        <f t="shared" si="41"/>
        <v>150</v>
      </c>
      <c r="Q113" s="105">
        <f t="shared" si="41"/>
        <v>250</v>
      </c>
      <c r="R113" s="105">
        <f t="shared" si="41"/>
        <v>60</v>
      </c>
      <c r="S113" s="105">
        <f t="shared" si="41"/>
        <v>30</v>
      </c>
    </row>
    <row r="114" spans="1:20" s="4" customFormat="1" x14ac:dyDescent="0.2">
      <c r="A114" s="8" t="s">
        <v>421</v>
      </c>
      <c r="B114" s="2" t="s">
        <v>422</v>
      </c>
      <c r="C114" s="8" t="s">
        <v>201</v>
      </c>
      <c r="D114" s="106">
        <v>-0.3</v>
      </c>
      <c r="E114" s="106">
        <v>0</v>
      </c>
      <c r="F114" s="8"/>
      <c r="G114" s="110" t="s">
        <v>202</v>
      </c>
      <c r="H114" s="112" t="e">
        <f t="shared" ref="H114:S114" si="42">H46/H33</f>
        <v>#DIV/0!</v>
      </c>
      <c r="I114" s="113" t="e">
        <f t="shared" si="42"/>
        <v>#DIV/0!</v>
      </c>
      <c r="J114" s="113" t="e">
        <f t="shared" si="42"/>
        <v>#DIV/0!</v>
      </c>
      <c r="K114" s="113" t="e">
        <f t="shared" si="42"/>
        <v>#DIV/0!</v>
      </c>
      <c r="L114" s="113" t="e">
        <f t="shared" si="42"/>
        <v>#DIV/0!</v>
      </c>
      <c r="M114" s="113">
        <f t="shared" si="42"/>
        <v>0.15367680010304557</v>
      </c>
      <c r="N114" s="113">
        <f t="shared" si="42"/>
        <v>7.6257018950644281E-2</v>
      </c>
      <c r="O114" s="113">
        <f t="shared" si="42"/>
        <v>-6.2303469260227617E-2</v>
      </c>
      <c r="P114" s="113">
        <f t="shared" si="42"/>
        <v>1.3163709863409836E-2</v>
      </c>
      <c r="Q114" s="113">
        <f t="shared" si="42"/>
        <v>2.1151837705502795E-2</v>
      </c>
      <c r="R114" s="113">
        <f t="shared" si="42"/>
        <v>5.0581113770834674E-3</v>
      </c>
      <c r="S114" s="113">
        <f t="shared" si="42"/>
        <v>2.5029685206655094E-3</v>
      </c>
    </row>
    <row r="115" spans="1:20" s="4" customFormat="1" x14ac:dyDescent="0.2">
      <c r="A115" s="8" t="s">
        <v>423</v>
      </c>
      <c r="B115" s="2" t="s">
        <v>424</v>
      </c>
      <c r="C115" s="8" t="s">
        <v>204</v>
      </c>
      <c r="D115" s="10"/>
      <c r="E115" s="109"/>
      <c r="F115" s="8"/>
      <c r="G115" s="46" t="s">
        <v>205</v>
      </c>
      <c r="H115" s="105">
        <f t="shared" ref="H115:S115" si="43">H29+H30</f>
        <v>0</v>
      </c>
      <c r="I115" s="105">
        <f t="shared" si="43"/>
        <v>0</v>
      </c>
      <c r="J115" s="105">
        <f t="shared" si="43"/>
        <v>0</v>
      </c>
      <c r="K115" s="105">
        <f t="shared" si="43"/>
        <v>0</v>
      </c>
      <c r="L115" s="105">
        <f t="shared" si="43"/>
        <v>0</v>
      </c>
      <c r="M115" s="105">
        <f t="shared" si="43"/>
        <v>401.45299999999997</v>
      </c>
      <c r="N115" s="105">
        <f t="shared" si="43"/>
        <v>930.53599999999994</v>
      </c>
      <c r="O115" s="105">
        <f t="shared" si="43"/>
        <v>235.00199999999995</v>
      </c>
      <c r="P115" s="105">
        <f t="shared" si="43"/>
        <v>385.00200000000001</v>
      </c>
      <c r="Q115" s="105">
        <f t="shared" si="43"/>
        <v>635</v>
      </c>
      <c r="R115" s="105">
        <f t="shared" si="43"/>
        <v>695</v>
      </c>
      <c r="S115" s="105">
        <f t="shared" si="43"/>
        <v>725</v>
      </c>
    </row>
    <row r="116" spans="1:20" s="4" customFormat="1" x14ac:dyDescent="0.2">
      <c r="A116" s="8"/>
      <c r="B116" s="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</row>
    <row r="117" spans="1:20" s="4" customFormat="1" x14ac:dyDescent="0.2">
      <c r="A117" s="8"/>
      <c r="B117" s="2"/>
      <c r="C117" s="10"/>
      <c r="D117" s="10"/>
      <c r="E117" s="8"/>
      <c r="F117" s="8"/>
      <c r="G117" s="94" t="s">
        <v>206</v>
      </c>
      <c r="H117" s="87">
        <f t="shared" ref="H117:S117" si="44">H105</f>
        <v>2011</v>
      </c>
      <c r="I117" s="87">
        <f t="shared" si="44"/>
        <v>2012</v>
      </c>
      <c r="J117" s="87">
        <f t="shared" si="44"/>
        <v>2013</v>
      </c>
      <c r="K117" s="87">
        <f t="shared" si="44"/>
        <v>2014</v>
      </c>
      <c r="L117" s="87">
        <f t="shared" si="44"/>
        <v>2015</v>
      </c>
      <c r="M117" s="87">
        <f t="shared" si="44"/>
        <v>2016</v>
      </c>
      <c r="N117" s="87">
        <f t="shared" si="44"/>
        <v>2017</v>
      </c>
      <c r="O117" s="87">
        <f t="shared" si="44"/>
        <v>2018</v>
      </c>
      <c r="P117" s="87">
        <f t="shared" si="44"/>
        <v>2019</v>
      </c>
      <c r="Q117" s="87">
        <f t="shared" si="44"/>
        <v>2020</v>
      </c>
      <c r="R117" s="87">
        <f t="shared" si="44"/>
        <v>2021</v>
      </c>
      <c r="S117" s="87">
        <f t="shared" si="44"/>
        <v>2022</v>
      </c>
    </row>
    <row r="118" spans="1:20" s="4" customFormat="1" x14ac:dyDescent="0.2">
      <c r="A118" s="34" t="s">
        <v>425</v>
      </c>
      <c r="B118" s="2" t="s">
        <v>426</v>
      </c>
      <c r="C118" s="10" t="s">
        <v>208</v>
      </c>
      <c r="D118" s="10"/>
      <c r="E118" s="109"/>
      <c r="F118" s="37"/>
      <c r="G118" s="103" t="s">
        <v>209</v>
      </c>
      <c r="H118" s="105">
        <f t="shared" ref="H118:S118" si="45">H6+H12</f>
        <v>0</v>
      </c>
      <c r="I118" s="77">
        <f t="shared" si="45"/>
        <v>0</v>
      </c>
      <c r="J118" s="77">
        <f t="shared" si="45"/>
        <v>0</v>
      </c>
      <c r="K118" s="77">
        <f t="shared" si="45"/>
        <v>0</v>
      </c>
      <c r="L118" s="77">
        <f t="shared" si="45"/>
        <v>0</v>
      </c>
      <c r="M118" s="77">
        <f t="shared" si="45"/>
        <v>1413.377</v>
      </c>
      <c r="N118" s="77">
        <f t="shared" si="45"/>
        <v>1771.48</v>
      </c>
      <c r="O118" s="77">
        <f t="shared" si="45"/>
        <v>894</v>
      </c>
      <c r="P118" s="77">
        <f t="shared" si="45"/>
        <v>966</v>
      </c>
      <c r="Q118" s="77">
        <f t="shared" si="45"/>
        <v>1016</v>
      </c>
      <c r="R118" s="77">
        <f t="shared" si="45"/>
        <v>1076</v>
      </c>
      <c r="S118" s="77">
        <f t="shared" si="45"/>
        <v>1136</v>
      </c>
    </row>
    <row r="119" spans="1:20" s="4" customFormat="1" x14ac:dyDescent="0.2">
      <c r="A119" s="8" t="s">
        <v>427</v>
      </c>
      <c r="B119" s="2" t="s">
        <v>428</v>
      </c>
      <c r="C119" s="8" t="s">
        <v>42</v>
      </c>
      <c r="D119" s="10"/>
      <c r="E119" s="109"/>
      <c r="F119" s="37"/>
      <c r="G119" s="110" t="s">
        <v>211</v>
      </c>
      <c r="H119" s="105">
        <f t="shared" ref="H119:S119" si="46">H19</f>
        <v>0</v>
      </c>
      <c r="I119" s="105">
        <f t="shared" si="46"/>
        <v>0</v>
      </c>
      <c r="J119" s="105">
        <f t="shared" si="46"/>
        <v>0</v>
      </c>
      <c r="K119" s="105">
        <f t="shared" si="46"/>
        <v>0</v>
      </c>
      <c r="L119" s="105">
        <f t="shared" si="46"/>
        <v>0</v>
      </c>
      <c r="M119" s="105">
        <f t="shared" si="46"/>
        <v>495.50599999999997</v>
      </c>
      <c r="N119" s="105">
        <f t="shared" si="46"/>
        <v>487.21300000000002</v>
      </c>
      <c r="O119" s="105">
        <f t="shared" si="46"/>
        <v>550</v>
      </c>
      <c r="P119" s="105">
        <f t="shared" si="46"/>
        <v>550</v>
      </c>
      <c r="Q119" s="105">
        <f t="shared" si="46"/>
        <v>550</v>
      </c>
      <c r="R119" s="105">
        <f t="shared" si="46"/>
        <v>550</v>
      </c>
      <c r="S119" s="105">
        <f t="shared" si="46"/>
        <v>550</v>
      </c>
    </row>
    <row r="120" spans="1:20" s="4" customFormat="1" x14ac:dyDescent="0.2">
      <c r="A120" s="8" t="s">
        <v>429</v>
      </c>
      <c r="B120" s="2" t="s">
        <v>203</v>
      </c>
      <c r="C120" s="8" t="s">
        <v>430</v>
      </c>
      <c r="D120" s="10"/>
      <c r="E120" s="109"/>
      <c r="F120" s="37"/>
      <c r="G120" s="110" t="s">
        <v>212</v>
      </c>
      <c r="H120" s="105">
        <f t="shared" ref="H120:S120" si="47">H119-H118</f>
        <v>0</v>
      </c>
      <c r="I120" s="77">
        <f t="shared" si="47"/>
        <v>0</v>
      </c>
      <c r="J120" s="77">
        <f t="shared" si="47"/>
        <v>0</v>
      </c>
      <c r="K120" s="77">
        <f t="shared" si="47"/>
        <v>0</v>
      </c>
      <c r="L120" s="77">
        <f t="shared" si="47"/>
        <v>0</v>
      </c>
      <c r="M120" s="77">
        <f>M119-M118</f>
        <v>-917.87099999999998</v>
      </c>
      <c r="N120" s="77">
        <f t="shared" si="47"/>
        <v>-1284.2670000000001</v>
      </c>
      <c r="O120" s="77">
        <f t="shared" si="47"/>
        <v>-344</v>
      </c>
      <c r="P120" s="77">
        <f t="shared" si="47"/>
        <v>-416</v>
      </c>
      <c r="Q120" s="77">
        <f t="shared" si="47"/>
        <v>-466</v>
      </c>
      <c r="R120" s="77">
        <f t="shared" si="47"/>
        <v>-526</v>
      </c>
      <c r="S120" s="77">
        <f t="shared" si="47"/>
        <v>-586</v>
      </c>
    </row>
    <row r="121" spans="1:20" s="4" customFormat="1" x14ac:dyDescent="0.2">
      <c r="A121" s="34" t="s">
        <v>431</v>
      </c>
      <c r="B121" s="2" t="s">
        <v>207</v>
      </c>
      <c r="C121" s="8" t="s">
        <v>432</v>
      </c>
      <c r="D121" s="10"/>
      <c r="E121" s="106">
        <v>0.4</v>
      </c>
      <c r="F121" s="114" t="s">
        <v>433</v>
      </c>
      <c r="G121" s="46" t="s">
        <v>213</v>
      </c>
      <c r="H121" s="115" t="e">
        <f t="shared" ref="H121:S121" si="48">H120/H33</f>
        <v>#DIV/0!</v>
      </c>
      <c r="I121" s="108" t="e">
        <f t="shared" si="48"/>
        <v>#DIV/0!</v>
      </c>
      <c r="J121" s="108" t="e">
        <f t="shared" si="48"/>
        <v>#DIV/0!</v>
      </c>
      <c r="K121" s="108" t="e">
        <f t="shared" si="48"/>
        <v>#DIV/0!</v>
      </c>
      <c r="L121" s="108" t="e">
        <f t="shared" si="48"/>
        <v>#DIV/0!</v>
      </c>
      <c r="M121" s="108">
        <f t="shared" si="48"/>
        <v>-0.35186898207017742</v>
      </c>
      <c r="N121" s="108">
        <f t="shared" si="48"/>
        <v>-0.18510139761415853</v>
      </c>
      <c r="O121" s="108">
        <f t="shared" si="48"/>
        <v>-3.0814300128416808E-2</v>
      </c>
      <c r="P121" s="108">
        <f t="shared" si="48"/>
        <v>-3.6507355354523277E-2</v>
      </c>
      <c r="Q121" s="108">
        <f t="shared" si="48"/>
        <v>-3.942702548305721E-2</v>
      </c>
      <c r="R121" s="108">
        <f t="shared" si="48"/>
        <v>-4.4342776405765068E-2</v>
      </c>
      <c r="S121" s="108">
        <f t="shared" si="48"/>
        <v>-4.8891318436999613E-2</v>
      </c>
    </row>
    <row r="122" spans="1:20" s="4" customFormat="1" x14ac:dyDescent="0.2">
      <c r="A122" s="8" t="s">
        <v>434</v>
      </c>
      <c r="B122" s="2" t="s">
        <v>210</v>
      </c>
      <c r="C122" s="8" t="s">
        <v>435</v>
      </c>
      <c r="D122" s="116">
        <v>0</v>
      </c>
      <c r="E122" s="116">
        <v>5</v>
      </c>
      <c r="F122" s="37"/>
      <c r="G122" s="100" t="s">
        <v>215</v>
      </c>
      <c r="H122" s="111" t="e">
        <f t="shared" ref="H122:S122" si="49">H120/H110</f>
        <v>#DIV/0!</v>
      </c>
      <c r="I122" s="111" t="e">
        <f t="shared" si="49"/>
        <v>#DIV/0!</v>
      </c>
      <c r="J122" s="111" t="e">
        <f t="shared" si="49"/>
        <v>#DIV/0!</v>
      </c>
      <c r="K122" s="111" t="e">
        <f t="shared" si="49"/>
        <v>#DIV/0!</v>
      </c>
      <c r="L122" s="111" t="e">
        <f t="shared" si="49"/>
        <v>#DIV/0!</v>
      </c>
      <c r="M122" s="111">
        <f>M120/M110</f>
        <v>-2.0875364744786657</v>
      </c>
      <c r="N122" s="111">
        <f t="shared" si="49"/>
        <v>-2.3140863241425786</v>
      </c>
      <c r="O122" s="111">
        <f t="shared" si="49"/>
        <v>0.51687817602105868</v>
      </c>
      <c r="P122" s="111">
        <f t="shared" si="49"/>
        <v>-2.1666666666666665</v>
      </c>
      <c r="Q122" s="111">
        <f t="shared" si="49"/>
        <v>-1.5533333333333332</v>
      </c>
      <c r="R122" s="111">
        <f t="shared" si="49"/>
        <v>-4.3833333333333337</v>
      </c>
      <c r="S122" s="111">
        <f t="shared" si="49"/>
        <v>-6.5111111111111111</v>
      </c>
    </row>
    <row r="123" spans="1:20" s="4" customFormat="1" x14ac:dyDescent="0.2">
      <c r="A123" s="8" t="s">
        <v>436</v>
      </c>
      <c r="B123" s="2" t="s">
        <v>437</v>
      </c>
      <c r="C123" s="8" t="s">
        <v>217</v>
      </c>
      <c r="D123" s="10"/>
      <c r="E123" s="109"/>
      <c r="F123" s="37"/>
      <c r="G123" s="110" t="s">
        <v>218</v>
      </c>
      <c r="H123" s="105">
        <f t="shared" ref="H123:S123" si="50">-(H75+H77+H78+H79+H80+H81)</f>
        <v>0</v>
      </c>
      <c r="I123" s="105">
        <f t="shared" si="50"/>
        <v>0</v>
      </c>
      <c r="J123" s="105">
        <f t="shared" si="50"/>
        <v>0</v>
      </c>
      <c r="K123" s="105">
        <f t="shared" si="50"/>
        <v>0</v>
      </c>
      <c r="L123" s="105">
        <f t="shared" si="50"/>
        <v>0</v>
      </c>
      <c r="M123" s="105">
        <f t="shared" si="50"/>
        <v>0</v>
      </c>
      <c r="N123" s="105">
        <f t="shared" si="50"/>
        <v>0</v>
      </c>
      <c r="O123" s="105">
        <f t="shared" si="50"/>
        <v>0</v>
      </c>
      <c r="P123" s="105">
        <f t="shared" si="50"/>
        <v>0</v>
      </c>
      <c r="Q123" s="105">
        <f t="shared" si="50"/>
        <v>0</v>
      </c>
      <c r="R123" s="105">
        <f t="shared" si="50"/>
        <v>0</v>
      </c>
      <c r="S123" s="105">
        <f t="shared" si="50"/>
        <v>0</v>
      </c>
    </row>
    <row r="124" spans="1:20" s="4" customFormat="1" x14ac:dyDescent="0.2">
      <c r="A124" s="8" t="s">
        <v>438</v>
      </c>
      <c r="B124" s="2" t="s">
        <v>439</v>
      </c>
      <c r="C124" s="8" t="s">
        <v>440</v>
      </c>
      <c r="D124" s="10"/>
      <c r="E124" s="116">
        <v>1.2</v>
      </c>
      <c r="F124" s="114" t="s">
        <v>433</v>
      </c>
      <c r="G124" s="110" t="s">
        <v>220</v>
      </c>
      <c r="H124" s="117" t="e">
        <f t="shared" ref="H124:S124" si="51">H110/H123</f>
        <v>#DIV/0!</v>
      </c>
      <c r="I124" s="111" t="e">
        <f t="shared" si="51"/>
        <v>#DIV/0!</v>
      </c>
      <c r="J124" s="111" t="e">
        <f t="shared" si="51"/>
        <v>#DIV/0!</v>
      </c>
      <c r="K124" s="111" t="e">
        <f t="shared" si="51"/>
        <v>#DIV/0!</v>
      </c>
      <c r="L124" s="111" t="e">
        <f t="shared" si="51"/>
        <v>#DIV/0!</v>
      </c>
      <c r="M124" s="111" t="e">
        <f t="shared" si="51"/>
        <v>#DIV/0!</v>
      </c>
      <c r="N124" s="111" t="e">
        <f t="shared" si="51"/>
        <v>#DIV/0!</v>
      </c>
      <c r="O124" s="111" t="e">
        <f t="shared" si="51"/>
        <v>#DIV/0!</v>
      </c>
      <c r="P124" s="111" t="e">
        <f t="shared" si="51"/>
        <v>#DIV/0!</v>
      </c>
      <c r="Q124" s="111" t="e">
        <f t="shared" si="51"/>
        <v>#DIV/0!</v>
      </c>
      <c r="R124" s="111" t="e">
        <f t="shared" si="51"/>
        <v>#DIV/0!</v>
      </c>
      <c r="S124" s="111" t="e">
        <f t="shared" si="51"/>
        <v>#DIV/0!</v>
      </c>
    </row>
    <row r="125" spans="1:20" s="4" customFormat="1" x14ac:dyDescent="0.2">
      <c r="A125" s="38" t="s">
        <v>441</v>
      </c>
      <c r="B125" s="2" t="s">
        <v>442</v>
      </c>
      <c r="C125" s="8" t="s">
        <v>222</v>
      </c>
      <c r="D125" s="10"/>
      <c r="E125" s="116">
        <v>0</v>
      </c>
      <c r="F125" s="37"/>
      <c r="G125" s="103" t="s">
        <v>223</v>
      </c>
      <c r="H125" s="105">
        <f t="shared" ref="H125:S125" si="52">H5-H20</f>
        <v>0</v>
      </c>
      <c r="I125" s="105">
        <f t="shared" si="52"/>
        <v>0</v>
      </c>
      <c r="J125" s="105">
        <f t="shared" si="52"/>
        <v>0</v>
      </c>
      <c r="K125" s="105">
        <f t="shared" si="52"/>
        <v>0</v>
      </c>
      <c r="L125" s="105">
        <f t="shared" si="52"/>
        <v>0</v>
      </c>
      <c r="M125" s="105">
        <f t="shared" si="52"/>
        <v>1026.6779999999999</v>
      </c>
      <c r="N125" s="105">
        <f t="shared" si="52"/>
        <v>1427.5</v>
      </c>
      <c r="O125" s="105">
        <f t="shared" si="52"/>
        <v>614</v>
      </c>
      <c r="P125" s="105">
        <f t="shared" si="52"/>
        <v>656</v>
      </c>
      <c r="Q125" s="105">
        <f t="shared" si="52"/>
        <v>706</v>
      </c>
      <c r="R125" s="105">
        <f t="shared" si="52"/>
        <v>766</v>
      </c>
      <c r="S125" s="105">
        <f t="shared" si="52"/>
        <v>826</v>
      </c>
    </row>
    <row r="126" spans="1:20" s="4" customFormat="1" x14ac:dyDescent="0.2">
      <c r="A126" s="34" t="s">
        <v>443</v>
      </c>
      <c r="B126" s="2" t="s">
        <v>444</v>
      </c>
      <c r="C126" s="8" t="s">
        <v>225</v>
      </c>
      <c r="D126" s="10"/>
      <c r="E126" s="116">
        <v>1</v>
      </c>
      <c r="F126" s="114" t="s">
        <v>433</v>
      </c>
      <c r="G126" s="110" t="s">
        <v>226</v>
      </c>
      <c r="H126" s="117" t="e">
        <f t="shared" ref="H126:S126" si="53">H5/H20</f>
        <v>#DIV/0!</v>
      </c>
      <c r="I126" s="117" t="e">
        <f t="shared" si="53"/>
        <v>#DIV/0!</v>
      </c>
      <c r="J126" s="117" t="e">
        <f t="shared" si="53"/>
        <v>#DIV/0!</v>
      </c>
      <c r="K126" s="117" t="e">
        <f t="shared" si="53"/>
        <v>#DIV/0!</v>
      </c>
      <c r="L126" s="117" t="e">
        <f t="shared" si="53"/>
        <v>#DIV/0!</v>
      </c>
      <c r="M126" s="117">
        <f t="shared" si="53"/>
        <v>3.0719789467736009</v>
      </c>
      <c r="N126" s="117">
        <f t="shared" si="53"/>
        <v>3.9299300306026312</v>
      </c>
      <c r="O126" s="117">
        <f t="shared" si="53"/>
        <v>2.1163636363636362</v>
      </c>
      <c r="P126" s="117">
        <f t="shared" si="53"/>
        <v>2.1927272727272729</v>
      </c>
      <c r="Q126" s="117">
        <f t="shared" si="53"/>
        <v>2.2836363636363637</v>
      </c>
      <c r="R126" s="117">
        <f t="shared" si="53"/>
        <v>2.3927272727272726</v>
      </c>
      <c r="S126" s="117">
        <f t="shared" si="53"/>
        <v>2.5018181818181819</v>
      </c>
    </row>
    <row r="127" spans="1:20" s="4" customFormat="1" x14ac:dyDescent="0.2">
      <c r="A127" s="34" t="s">
        <v>445</v>
      </c>
      <c r="B127" s="2" t="s">
        <v>214</v>
      </c>
      <c r="C127" s="34" t="s">
        <v>228</v>
      </c>
      <c r="D127" s="10"/>
      <c r="E127" s="116">
        <v>1</v>
      </c>
      <c r="F127" s="37"/>
      <c r="G127" s="46" t="s">
        <v>229</v>
      </c>
      <c r="H127" s="117" t="e">
        <f t="shared" ref="H127:S127" si="54">-H6/((H38+H41-H45+H47)/12)</f>
        <v>#DIV/0!</v>
      </c>
      <c r="I127" s="117" t="e">
        <f t="shared" si="54"/>
        <v>#DIV/0!</v>
      </c>
      <c r="J127" s="117" t="e">
        <f t="shared" si="54"/>
        <v>#DIV/0!</v>
      </c>
      <c r="K127" s="117" t="e">
        <f t="shared" si="54"/>
        <v>#DIV/0!</v>
      </c>
      <c r="L127" s="117">
        <f t="shared" si="54"/>
        <v>0</v>
      </c>
      <c r="M127" s="117">
        <f t="shared" si="54"/>
        <v>7.8220772231007958</v>
      </c>
      <c r="N127" s="117">
        <f t="shared" si="54"/>
        <v>3.3302653855752355</v>
      </c>
      <c r="O127" s="117">
        <f t="shared" si="54"/>
        <v>0.90690970854958519</v>
      </c>
      <c r="P127" s="117">
        <f t="shared" si="54"/>
        <v>1.0347261671107753</v>
      </c>
      <c r="Q127" s="117">
        <f t="shared" si="54"/>
        <v>1.0583972781688893</v>
      </c>
      <c r="R127" s="117">
        <f t="shared" si="54"/>
        <v>1.0996296670068944</v>
      </c>
      <c r="S127" s="117">
        <f t="shared" si="54"/>
        <v>1.1459537543099361</v>
      </c>
    </row>
    <row r="128" spans="1:20" s="4" customFormat="1" x14ac:dyDescent="0.2">
      <c r="A128" s="34"/>
      <c r="B128" s="2"/>
      <c r="C128" s="34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</row>
    <row r="129" spans="1:21" s="4" customFormat="1" x14ac:dyDescent="0.2">
      <c r="A129" s="8"/>
      <c r="B129" s="2"/>
      <c r="C129" s="8"/>
      <c r="D129" s="10"/>
      <c r="E129" s="9"/>
      <c r="F129" s="37"/>
      <c r="G129" s="94" t="s">
        <v>230</v>
      </c>
      <c r="H129" s="87">
        <f t="shared" ref="H129:S129" si="55">H117</f>
        <v>2011</v>
      </c>
      <c r="I129" s="87">
        <f t="shared" si="55"/>
        <v>2012</v>
      </c>
      <c r="J129" s="87">
        <f t="shared" si="55"/>
        <v>2013</v>
      </c>
      <c r="K129" s="87">
        <f t="shared" si="55"/>
        <v>2014</v>
      </c>
      <c r="L129" s="87">
        <f t="shared" si="55"/>
        <v>2015</v>
      </c>
      <c r="M129" s="87">
        <f t="shared" si="55"/>
        <v>2016</v>
      </c>
      <c r="N129" s="87">
        <f t="shared" si="55"/>
        <v>2017</v>
      </c>
      <c r="O129" s="87">
        <f t="shared" si="55"/>
        <v>2018</v>
      </c>
      <c r="P129" s="87">
        <f t="shared" si="55"/>
        <v>2019</v>
      </c>
      <c r="Q129" s="87">
        <f t="shared" si="55"/>
        <v>2020</v>
      </c>
      <c r="R129" s="87">
        <f t="shared" si="55"/>
        <v>2021</v>
      </c>
      <c r="S129" s="87">
        <f t="shared" si="55"/>
        <v>2022</v>
      </c>
    </row>
    <row r="130" spans="1:21" s="4" customFormat="1" x14ac:dyDescent="0.2">
      <c r="A130" s="34" t="s">
        <v>446</v>
      </c>
      <c r="B130" s="2" t="s">
        <v>216</v>
      </c>
      <c r="C130" s="34" t="s">
        <v>232</v>
      </c>
      <c r="D130" s="10"/>
      <c r="E130" s="106">
        <v>0.6</v>
      </c>
      <c r="F130" s="37"/>
      <c r="G130" s="103" t="s">
        <v>233</v>
      </c>
      <c r="H130" s="115" t="e">
        <f t="shared" ref="H130:S130" si="56">H17/H4</f>
        <v>#DIV/0!</v>
      </c>
      <c r="I130" s="115" t="e">
        <f t="shared" si="56"/>
        <v>#DIV/0!</v>
      </c>
      <c r="J130" s="115" t="e">
        <f t="shared" si="56"/>
        <v>#DIV/0!</v>
      </c>
      <c r="K130" s="115" t="e">
        <f t="shared" si="56"/>
        <v>#DIV/0!</v>
      </c>
      <c r="L130" s="115" t="e">
        <f t="shared" si="56"/>
        <v>#DIV/0!</v>
      </c>
      <c r="M130" s="115">
        <f t="shared" si="56"/>
        <v>0</v>
      </c>
      <c r="N130" s="115">
        <f t="shared" si="56"/>
        <v>0</v>
      </c>
      <c r="O130" s="115">
        <f t="shared" si="56"/>
        <v>0</v>
      </c>
      <c r="P130" s="115">
        <f t="shared" si="56"/>
        <v>0</v>
      </c>
      <c r="Q130" s="115">
        <f t="shared" si="56"/>
        <v>0</v>
      </c>
      <c r="R130" s="115">
        <f t="shared" si="56"/>
        <v>0</v>
      </c>
      <c r="S130" s="115">
        <f t="shared" si="56"/>
        <v>0</v>
      </c>
    </row>
    <row r="131" spans="1:21" s="4" customFormat="1" x14ac:dyDescent="0.2">
      <c r="A131" s="34" t="s">
        <v>447</v>
      </c>
      <c r="B131" s="2" t="s">
        <v>219</v>
      </c>
      <c r="C131" s="34" t="s">
        <v>235</v>
      </c>
      <c r="D131" s="10"/>
      <c r="E131" s="106">
        <v>0.4</v>
      </c>
      <c r="F131" s="37"/>
      <c r="G131" s="46" t="s">
        <v>236</v>
      </c>
      <c r="H131" s="115" t="e">
        <f t="shared" ref="H131:S131" si="57">H27/H17</f>
        <v>#DIV/0!</v>
      </c>
      <c r="I131" s="115" t="e">
        <f t="shared" si="57"/>
        <v>#DIV/0!</v>
      </c>
      <c r="J131" s="115" t="e">
        <f t="shared" si="57"/>
        <v>#DIV/0!</v>
      </c>
      <c r="K131" s="115" t="e">
        <f t="shared" si="57"/>
        <v>#DIV/0!</v>
      </c>
      <c r="L131" s="115" t="e">
        <f t="shared" si="57"/>
        <v>#DIV/0!</v>
      </c>
      <c r="M131" s="115" t="e">
        <f t="shared" si="57"/>
        <v>#DIV/0!</v>
      </c>
      <c r="N131" s="115" t="e">
        <f t="shared" si="57"/>
        <v>#DIV/0!</v>
      </c>
      <c r="O131" s="115" t="e">
        <f t="shared" si="57"/>
        <v>#DIV/0!</v>
      </c>
      <c r="P131" s="115" t="e">
        <f t="shared" si="57"/>
        <v>#DIV/0!</v>
      </c>
      <c r="Q131" s="115" t="e">
        <f t="shared" si="57"/>
        <v>#DIV/0!</v>
      </c>
      <c r="R131" s="115" t="e">
        <f t="shared" si="57"/>
        <v>#DIV/0!</v>
      </c>
      <c r="S131" s="115" t="e">
        <f t="shared" si="57"/>
        <v>#DIV/0!</v>
      </c>
    </row>
    <row r="132" spans="1:21" s="4" customFormat="1" x14ac:dyDescent="0.2">
      <c r="A132" s="34"/>
      <c r="B132" s="2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</row>
    <row r="133" spans="1:21" s="4" customFormat="1" x14ac:dyDescent="0.2">
      <c r="A133" s="8"/>
      <c r="B133" s="2"/>
      <c r="C133" s="8"/>
      <c r="D133" s="10"/>
      <c r="E133" s="9"/>
      <c r="F133" s="37"/>
      <c r="G133" s="94" t="s">
        <v>237</v>
      </c>
      <c r="H133" s="87">
        <f t="shared" ref="H133:S133" si="58">H117</f>
        <v>2011</v>
      </c>
      <c r="I133" s="87">
        <f t="shared" si="58"/>
        <v>2012</v>
      </c>
      <c r="J133" s="87">
        <f t="shared" si="58"/>
        <v>2013</v>
      </c>
      <c r="K133" s="87">
        <f t="shared" si="58"/>
        <v>2014</v>
      </c>
      <c r="L133" s="87">
        <f t="shared" si="58"/>
        <v>2015</v>
      </c>
      <c r="M133" s="87">
        <f t="shared" si="58"/>
        <v>2016</v>
      </c>
      <c r="N133" s="87">
        <f t="shared" si="58"/>
        <v>2017</v>
      </c>
      <c r="O133" s="87">
        <f t="shared" si="58"/>
        <v>2018</v>
      </c>
      <c r="P133" s="87">
        <f t="shared" si="58"/>
        <v>2019</v>
      </c>
      <c r="Q133" s="87">
        <f t="shared" si="58"/>
        <v>2020</v>
      </c>
      <c r="R133" s="87">
        <f t="shared" si="58"/>
        <v>2021</v>
      </c>
      <c r="S133" s="87">
        <f t="shared" si="58"/>
        <v>2022</v>
      </c>
    </row>
    <row r="134" spans="1:21" s="4" customFormat="1" x14ac:dyDescent="0.2">
      <c r="A134" s="34" t="s">
        <v>448</v>
      </c>
      <c r="B134" s="2" t="s">
        <v>221</v>
      </c>
      <c r="C134" s="39" t="s">
        <v>239</v>
      </c>
      <c r="D134" s="10"/>
      <c r="E134" s="109"/>
      <c r="F134" s="37"/>
      <c r="G134" s="110" t="s">
        <v>240</v>
      </c>
      <c r="H134" s="118" t="e">
        <f t="shared" ref="H134:S134" si="59">H10/H4</f>
        <v>#DIV/0!</v>
      </c>
      <c r="I134" s="118" t="e">
        <f t="shared" si="59"/>
        <v>#DIV/0!</v>
      </c>
      <c r="J134" s="118" t="e">
        <f t="shared" si="59"/>
        <v>#DIV/0!</v>
      </c>
      <c r="K134" s="118" t="e">
        <f t="shared" si="59"/>
        <v>#DIV/0!</v>
      </c>
      <c r="L134" s="118" t="e">
        <f t="shared" si="59"/>
        <v>#DIV/0!</v>
      </c>
      <c r="M134" s="118">
        <f t="shared" si="59"/>
        <v>0.27437232689531826</v>
      </c>
      <c r="N134" s="118">
        <f t="shared" si="59"/>
        <v>0.26878548258608431</v>
      </c>
      <c r="O134" s="118">
        <f t="shared" si="59"/>
        <v>0.41389728096676737</v>
      </c>
      <c r="P134" s="118">
        <f t="shared" si="59"/>
        <v>0.4353932584269663</v>
      </c>
      <c r="Q134" s="118">
        <f t="shared" si="59"/>
        <v>0.47359597652975693</v>
      </c>
      <c r="R134" s="118">
        <f t="shared" si="59"/>
        <v>0.46197874080130824</v>
      </c>
      <c r="S134" s="118">
        <f t="shared" si="59"/>
        <v>0.44426494345718903</v>
      </c>
    </row>
    <row r="135" spans="1:21" s="4" customFormat="1" x14ac:dyDescent="0.2">
      <c r="A135" s="34" t="s">
        <v>449</v>
      </c>
      <c r="B135" s="2" t="s">
        <v>224</v>
      </c>
      <c r="C135" s="39" t="s">
        <v>242</v>
      </c>
      <c r="D135" s="10"/>
      <c r="E135" s="109"/>
      <c r="F135" s="37"/>
      <c r="G135" s="110" t="s">
        <v>243</v>
      </c>
      <c r="H135" s="118" t="e">
        <f t="shared" ref="H135:S135" si="60">-(H58)/H15</f>
        <v>#DIV/0!</v>
      </c>
      <c r="I135" s="118" t="e">
        <f t="shared" si="60"/>
        <v>#DIV/0!</v>
      </c>
      <c r="J135" s="118" t="e">
        <f t="shared" si="60"/>
        <v>#DIV/0!</v>
      </c>
      <c r="K135" s="118" t="e">
        <f t="shared" si="60"/>
        <v>#DIV/0!</v>
      </c>
      <c r="L135" s="118" t="e">
        <f t="shared" si="60"/>
        <v>#DIV/0!</v>
      </c>
      <c r="M135" s="118">
        <f t="shared" si="60"/>
        <v>1.436851505653585E-3</v>
      </c>
      <c r="N135" s="118">
        <f t="shared" si="60"/>
        <v>0.21902461549390828</v>
      </c>
      <c r="O135" s="118">
        <f t="shared" si="60"/>
        <v>0.17978953771289538</v>
      </c>
      <c r="P135" s="118">
        <f t="shared" si="60"/>
        <v>0.16129032258064516</v>
      </c>
      <c r="Q135" s="118">
        <f t="shared" si="60"/>
        <v>0.22123893805309736</v>
      </c>
      <c r="R135" s="118">
        <f t="shared" si="60"/>
        <v>5.3097345132743362E-2</v>
      </c>
      <c r="S135" s="118">
        <f t="shared" si="60"/>
        <v>2.7272727272727271E-2</v>
      </c>
    </row>
    <row r="136" spans="1:21" s="4" customFormat="1" x14ac:dyDescent="0.2">
      <c r="A136" s="34" t="s">
        <v>450</v>
      </c>
      <c r="B136" s="2" t="s">
        <v>227</v>
      </c>
      <c r="C136" s="8" t="s">
        <v>245</v>
      </c>
      <c r="D136" s="10"/>
      <c r="E136" s="109"/>
      <c r="F136" s="37"/>
      <c r="G136" s="103" t="s">
        <v>246</v>
      </c>
      <c r="H136" s="111" t="e">
        <f t="shared" ref="H136:S136" si="61">H33/H4</f>
        <v>#DIV/0!</v>
      </c>
      <c r="I136" s="111" t="e">
        <f t="shared" si="61"/>
        <v>#DIV/0!</v>
      </c>
      <c r="J136" s="111" t="e">
        <f t="shared" si="61"/>
        <v>#DIV/0!</v>
      </c>
      <c r="K136" s="111" t="e">
        <f t="shared" si="61"/>
        <v>#DIV/0!</v>
      </c>
      <c r="L136" s="111" t="e">
        <f t="shared" si="61"/>
        <v>#DIV/0!</v>
      </c>
      <c r="M136" s="111">
        <f t="shared" si="61"/>
        <v>1.2435044628811471</v>
      </c>
      <c r="N136" s="111">
        <f t="shared" si="61"/>
        <v>2.649639226163607</v>
      </c>
      <c r="O136" s="111">
        <f t="shared" si="61"/>
        <v>5.6211722054380662</v>
      </c>
      <c r="P136" s="111">
        <f t="shared" si="61"/>
        <v>5.3347209737827717</v>
      </c>
      <c r="Q136" s="111">
        <f t="shared" si="61"/>
        <v>4.9536060352053646</v>
      </c>
      <c r="R136" s="111">
        <f t="shared" si="61"/>
        <v>4.8496054783319709</v>
      </c>
      <c r="S136" s="111">
        <f t="shared" si="61"/>
        <v>4.8407786752827144</v>
      </c>
    </row>
    <row r="137" spans="1:21" s="4" customFormat="1" x14ac:dyDescent="0.2">
      <c r="A137" s="34" t="s">
        <v>451</v>
      </c>
      <c r="B137" s="2" t="s">
        <v>231</v>
      </c>
      <c r="C137" s="39" t="s">
        <v>248</v>
      </c>
      <c r="D137" s="10"/>
      <c r="E137" s="109"/>
      <c r="F137" s="37"/>
      <c r="G137" s="46" t="s">
        <v>249</v>
      </c>
      <c r="H137" s="111" t="e">
        <f t="shared" ref="H137:S137" si="62">H33/H15</f>
        <v>#DIV/0!</v>
      </c>
      <c r="I137" s="111" t="e">
        <f t="shared" si="62"/>
        <v>#DIV/0!</v>
      </c>
      <c r="J137" s="111" t="e">
        <f t="shared" si="62"/>
        <v>#DIV/0!</v>
      </c>
      <c r="K137" s="111" t="e">
        <f t="shared" si="62"/>
        <v>#DIV/0!</v>
      </c>
      <c r="L137" s="111" t="e">
        <f t="shared" si="62"/>
        <v>#DIV/0!</v>
      </c>
      <c r="M137" s="111">
        <f t="shared" si="62"/>
        <v>4.5321788715069049</v>
      </c>
      <c r="N137" s="111">
        <f t="shared" si="62"/>
        <v>9.8578211913472789</v>
      </c>
      <c r="O137" s="111">
        <f t="shared" si="62"/>
        <v>13.581080291970801</v>
      </c>
      <c r="P137" s="111">
        <f t="shared" si="62"/>
        <v>12.252649462365591</v>
      </c>
      <c r="Q137" s="111">
        <f t="shared" si="62"/>
        <v>10.459561061946903</v>
      </c>
      <c r="R137" s="111">
        <f t="shared" si="62"/>
        <v>10.497464601769911</v>
      </c>
      <c r="S137" s="111">
        <f t="shared" si="62"/>
        <v>10.896152727272728</v>
      </c>
    </row>
    <row r="138" spans="1:21" s="4" customFormat="1" x14ac:dyDescent="0.2">
      <c r="A138" s="8" t="s">
        <v>452</v>
      </c>
      <c r="B138" s="2" t="s">
        <v>234</v>
      </c>
      <c r="C138" s="39" t="s">
        <v>251</v>
      </c>
      <c r="D138" s="106">
        <v>0.5</v>
      </c>
      <c r="E138" s="106">
        <f>1/3</f>
        <v>0.33333333333333331</v>
      </c>
      <c r="F138" s="114" t="s">
        <v>433</v>
      </c>
      <c r="G138" s="100" t="s">
        <v>252</v>
      </c>
      <c r="H138" s="118" t="e">
        <f t="shared" ref="H138:S138" si="63">H27/H4</f>
        <v>#DIV/0!</v>
      </c>
      <c r="I138" s="118" t="e">
        <f t="shared" si="63"/>
        <v>#DIV/0!</v>
      </c>
      <c r="J138" s="118" t="e">
        <f t="shared" si="63"/>
        <v>#DIV/0!</v>
      </c>
      <c r="K138" s="118" t="e">
        <f t="shared" si="63"/>
        <v>#DIV/0!</v>
      </c>
      <c r="L138" s="118" t="e">
        <f t="shared" si="63"/>
        <v>#DIV/0!</v>
      </c>
      <c r="M138" s="118">
        <f t="shared" si="63"/>
        <v>0.76379145636177481</v>
      </c>
      <c r="N138" s="118">
        <f t="shared" si="63"/>
        <v>0.81393701370764904</v>
      </c>
      <c r="O138" s="118">
        <f t="shared" si="63"/>
        <v>0.72295619335347416</v>
      </c>
      <c r="P138" s="118">
        <f t="shared" si="63"/>
        <v>0.74241151685393258</v>
      </c>
      <c r="Q138" s="118">
        <f t="shared" si="63"/>
        <v>0.76940025146689017</v>
      </c>
      <c r="R138" s="118">
        <f t="shared" si="63"/>
        <v>0.77505682747342597</v>
      </c>
      <c r="S138" s="118">
        <f t="shared" si="63"/>
        <v>0.77778231017770594</v>
      </c>
    </row>
    <row r="139" spans="1:21" s="4" customFormat="1" x14ac:dyDescent="0.2">
      <c r="A139" s="8"/>
      <c r="B139" s="2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</row>
    <row r="140" spans="1:21" s="4" customFormat="1" x14ac:dyDescent="0.2">
      <c r="A140" s="40"/>
      <c r="B140" s="2"/>
      <c r="C140" s="2"/>
      <c r="D140" s="41"/>
      <c r="E140" s="42"/>
      <c r="F140" s="37"/>
      <c r="G140" s="94" t="s">
        <v>253</v>
      </c>
      <c r="H140" s="87">
        <f t="shared" ref="H140:S140" si="64">H133</f>
        <v>2011</v>
      </c>
      <c r="I140" s="87">
        <f t="shared" si="64"/>
        <v>2012</v>
      </c>
      <c r="J140" s="87">
        <f t="shared" si="64"/>
        <v>2013</v>
      </c>
      <c r="K140" s="87">
        <f t="shared" si="64"/>
        <v>2014</v>
      </c>
      <c r="L140" s="87">
        <f t="shared" si="64"/>
        <v>2015</v>
      </c>
      <c r="M140" s="87">
        <f t="shared" si="64"/>
        <v>2016</v>
      </c>
      <c r="N140" s="87">
        <f t="shared" si="64"/>
        <v>2017</v>
      </c>
      <c r="O140" s="87">
        <f t="shared" si="64"/>
        <v>2018</v>
      </c>
      <c r="P140" s="87">
        <f t="shared" si="64"/>
        <v>2019</v>
      </c>
      <c r="Q140" s="87">
        <f t="shared" si="64"/>
        <v>2020</v>
      </c>
      <c r="R140" s="87">
        <f t="shared" si="64"/>
        <v>2021</v>
      </c>
      <c r="S140" s="87">
        <f t="shared" si="64"/>
        <v>2022</v>
      </c>
    </row>
    <row r="141" spans="1:21" s="4" customFormat="1" x14ac:dyDescent="0.2">
      <c r="A141" s="8" t="s">
        <v>453</v>
      </c>
      <c r="B141" s="2" t="s">
        <v>238</v>
      </c>
      <c r="C141" s="8" t="s">
        <v>255</v>
      </c>
      <c r="D141" s="43"/>
      <c r="E141" s="106">
        <v>0.05</v>
      </c>
      <c r="F141" s="8"/>
      <c r="G141" s="103" t="s">
        <v>256</v>
      </c>
      <c r="H141" s="108" t="e">
        <f t="shared" ref="H141:S141" si="65">H35/H33</f>
        <v>#DIV/0!</v>
      </c>
      <c r="I141" s="108" t="e">
        <f t="shared" si="65"/>
        <v>#DIV/0!</v>
      </c>
      <c r="J141" s="108" t="e">
        <f t="shared" si="65"/>
        <v>#DIV/0!</v>
      </c>
      <c r="K141" s="108" t="e">
        <f t="shared" si="65"/>
        <v>#DIV/0!</v>
      </c>
      <c r="L141" s="108" t="e">
        <f t="shared" si="65"/>
        <v>#DIV/0!</v>
      </c>
      <c r="M141" s="108">
        <f t="shared" si="65"/>
        <v>0.24059183633569334</v>
      </c>
      <c r="N141" s="108">
        <f t="shared" si="65"/>
        <v>0.25094041219161045</v>
      </c>
      <c r="O141" s="108">
        <f t="shared" si="65"/>
        <v>0.14215514498486517</v>
      </c>
      <c r="P141" s="108">
        <f t="shared" si="65"/>
        <v>0.14441993849212689</v>
      </c>
      <c r="Q141" s="108">
        <f t="shared" si="65"/>
        <v>0.14383249639741899</v>
      </c>
      <c r="R141" s="108">
        <f t="shared" si="65"/>
        <v>0.1486099256162571</v>
      </c>
      <c r="S141" s="108">
        <f t="shared" si="65"/>
        <v>0.15322038604451546</v>
      </c>
    </row>
    <row r="142" spans="1:21" s="4" customFormat="1" x14ac:dyDescent="0.2">
      <c r="A142" s="8" t="s">
        <v>454</v>
      </c>
      <c r="B142" s="2" t="s">
        <v>241</v>
      </c>
      <c r="C142" s="8" t="s">
        <v>258</v>
      </c>
      <c r="D142" s="10"/>
      <c r="E142" s="106">
        <v>0.95</v>
      </c>
      <c r="F142" s="8"/>
      <c r="G142" s="110" t="s">
        <v>259</v>
      </c>
      <c r="H142" s="118" t="e">
        <f t="shared" ref="H142:S142" si="66">(H36+H34)/H33</f>
        <v>#DIV/0!</v>
      </c>
      <c r="I142" s="118" t="e">
        <f t="shared" si="66"/>
        <v>#DIV/0!</v>
      </c>
      <c r="J142" s="118" t="e">
        <f t="shared" si="66"/>
        <v>#DIV/0!</v>
      </c>
      <c r="K142" s="118" t="e">
        <f t="shared" si="66"/>
        <v>#DIV/0!</v>
      </c>
      <c r="L142" s="118" t="e">
        <f t="shared" si="66"/>
        <v>#DIV/0!</v>
      </c>
      <c r="M142" s="118">
        <f t="shared" si="66"/>
        <v>0.75728783592780535</v>
      </c>
      <c r="N142" s="118">
        <f t="shared" si="66"/>
        <v>0.74879568578565481</v>
      </c>
      <c r="O142" s="118">
        <f t="shared" si="66"/>
        <v>0.85784485501513486</v>
      </c>
      <c r="P142" s="118">
        <f t="shared" si="66"/>
        <v>0.85558006150787314</v>
      </c>
      <c r="Q142" s="118">
        <f t="shared" si="66"/>
        <v>0.85616750360258098</v>
      </c>
      <c r="R142" s="118">
        <f t="shared" si="66"/>
        <v>0.85139007438374292</v>
      </c>
      <c r="S142" s="118">
        <f t="shared" si="66"/>
        <v>0.84677961395548451</v>
      </c>
    </row>
    <row r="143" spans="1:21" s="4" customFormat="1" x14ac:dyDescent="0.2">
      <c r="A143" s="8" t="s">
        <v>455</v>
      </c>
      <c r="B143" s="2" t="s">
        <v>244</v>
      </c>
      <c r="C143" s="8" t="s">
        <v>261</v>
      </c>
      <c r="D143" s="10"/>
      <c r="E143" s="106">
        <v>0.95</v>
      </c>
      <c r="F143" s="8"/>
      <c r="G143" s="46" t="s">
        <v>262</v>
      </c>
      <c r="H143" s="108" t="e">
        <f t="shared" ref="H143:S143" si="67">H38/(H38+H41)</f>
        <v>#DIV/0!</v>
      </c>
      <c r="I143" s="108" t="e">
        <f t="shared" si="67"/>
        <v>#DIV/0!</v>
      </c>
      <c r="J143" s="108" t="e">
        <f t="shared" si="67"/>
        <v>#DIV/0!</v>
      </c>
      <c r="K143" s="108" t="e">
        <f t="shared" si="67"/>
        <v>#DIV/0!</v>
      </c>
      <c r="L143" s="108" t="e">
        <f t="shared" si="67"/>
        <v>#DIV/0!</v>
      </c>
      <c r="M143" s="108">
        <f t="shared" si="67"/>
        <v>0</v>
      </c>
      <c r="N143" s="108">
        <f t="shared" si="67"/>
        <v>0</v>
      </c>
      <c r="O143" s="108">
        <f t="shared" si="67"/>
        <v>0</v>
      </c>
      <c r="P143" s="108">
        <f t="shared" si="67"/>
        <v>0</v>
      </c>
      <c r="Q143" s="108">
        <f t="shared" si="67"/>
        <v>0</v>
      </c>
      <c r="R143" s="108">
        <f t="shared" si="67"/>
        <v>0</v>
      </c>
      <c r="S143" s="108">
        <f t="shared" si="67"/>
        <v>0</v>
      </c>
    </row>
    <row r="144" spans="1:21" s="4" customFormat="1" x14ac:dyDescent="0.2">
      <c r="A144" s="8"/>
      <c r="B144" s="2"/>
      <c r="C144" s="8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</row>
    <row r="145" spans="1:19" s="4" customFormat="1" x14ac:dyDescent="0.2">
      <c r="A145" s="40"/>
      <c r="B145" s="2"/>
      <c r="C145" s="119"/>
      <c r="D145" s="41"/>
      <c r="E145" s="42"/>
      <c r="F145" s="37"/>
      <c r="G145" s="94"/>
      <c r="H145" s="87">
        <f>H140</f>
        <v>2011</v>
      </c>
      <c r="I145" s="87">
        <f t="shared" ref="I145:S145" si="68">I140</f>
        <v>2012</v>
      </c>
      <c r="J145" s="87">
        <f t="shared" si="68"/>
        <v>2013</v>
      </c>
      <c r="K145" s="87">
        <f t="shared" si="68"/>
        <v>2014</v>
      </c>
      <c r="L145" s="87">
        <f t="shared" si="68"/>
        <v>2015</v>
      </c>
      <c r="M145" s="87">
        <f t="shared" si="68"/>
        <v>2016</v>
      </c>
      <c r="N145" s="87">
        <f t="shared" si="68"/>
        <v>2017</v>
      </c>
      <c r="O145" s="87">
        <f t="shared" si="68"/>
        <v>2018</v>
      </c>
      <c r="P145" s="87">
        <f t="shared" si="68"/>
        <v>2019</v>
      </c>
      <c r="Q145" s="87">
        <f t="shared" si="68"/>
        <v>2020</v>
      </c>
      <c r="R145" s="87">
        <f t="shared" si="68"/>
        <v>2021</v>
      </c>
      <c r="S145" s="87">
        <f t="shared" si="68"/>
        <v>2022</v>
      </c>
    </row>
    <row r="146" spans="1:19" s="4" customFormat="1" x14ac:dyDescent="0.2">
      <c r="A146" s="4" t="s">
        <v>456</v>
      </c>
      <c r="B146" s="2" t="s">
        <v>247</v>
      </c>
      <c r="C146" s="8" t="s">
        <v>264</v>
      </c>
      <c r="D146" s="120">
        <v>0.5</v>
      </c>
      <c r="E146" s="121" t="s">
        <v>265</v>
      </c>
      <c r="G146" s="103" t="s">
        <v>266</v>
      </c>
      <c r="H146" s="111" t="e">
        <f t="shared" ref="H146:S146" si="69">IF(H141&lt;$D$146,$E$146,H35/H4)</f>
        <v>#DIV/0!</v>
      </c>
      <c r="I146" s="111" t="e">
        <f t="shared" si="69"/>
        <v>#DIV/0!</v>
      </c>
      <c r="J146" s="111" t="e">
        <f t="shared" si="69"/>
        <v>#DIV/0!</v>
      </c>
      <c r="K146" s="111" t="e">
        <f t="shared" si="69"/>
        <v>#DIV/0!</v>
      </c>
      <c r="L146" s="111" t="e">
        <f t="shared" si="69"/>
        <v>#DIV/0!</v>
      </c>
      <c r="M146" s="111" t="str">
        <f t="shared" si="69"/>
        <v>N/A</v>
      </c>
      <c r="N146" s="111" t="str">
        <f t="shared" si="69"/>
        <v>N/A</v>
      </c>
      <c r="O146" s="111" t="str">
        <f t="shared" si="69"/>
        <v>N/A</v>
      </c>
      <c r="P146" s="111" t="str">
        <f t="shared" si="69"/>
        <v>N/A</v>
      </c>
      <c r="Q146" s="111" t="str">
        <f t="shared" si="69"/>
        <v>N/A</v>
      </c>
      <c r="R146" s="111" t="str">
        <f t="shared" si="69"/>
        <v>N/A</v>
      </c>
      <c r="S146" s="111" t="str">
        <f t="shared" si="69"/>
        <v>N/A</v>
      </c>
    </row>
    <row r="147" spans="1:19" s="4" customFormat="1" x14ac:dyDescent="0.2">
      <c r="A147" s="4" t="s">
        <v>457</v>
      </c>
      <c r="B147" s="2" t="s">
        <v>250</v>
      </c>
      <c r="C147" s="8" t="s">
        <v>267</v>
      </c>
      <c r="D147" s="120">
        <v>0.5</v>
      </c>
      <c r="E147" s="121" t="s">
        <v>265</v>
      </c>
      <c r="G147" s="110" t="s">
        <v>268</v>
      </c>
      <c r="H147" s="111" t="e">
        <f t="shared" ref="H147:S147" si="70">IF(H141&lt;$D$147,$E$147,H35/H15)</f>
        <v>#DIV/0!</v>
      </c>
      <c r="I147" s="111" t="e">
        <f t="shared" si="70"/>
        <v>#DIV/0!</v>
      </c>
      <c r="J147" s="111" t="e">
        <f t="shared" si="70"/>
        <v>#DIV/0!</v>
      </c>
      <c r="K147" s="111" t="e">
        <f t="shared" si="70"/>
        <v>#DIV/0!</v>
      </c>
      <c r="L147" s="111" t="e">
        <f t="shared" si="70"/>
        <v>#DIV/0!</v>
      </c>
      <c r="M147" s="111" t="str">
        <f t="shared" si="70"/>
        <v>N/A</v>
      </c>
      <c r="N147" s="111" t="str">
        <f t="shared" si="70"/>
        <v>N/A</v>
      </c>
      <c r="O147" s="111" t="str">
        <f t="shared" si="70"/>
        <v>N/A</v>
      </c>
      <c r="P147" s="111" t="str">
        <f t="shared" si="70"/>
        <v>N/A</v>
      </c>
      <c r="Q147" s="111" t="str">
        <f t="shared" si="70"/>
        <v>N/A</v>
      </c>
      <c r="R147" s="111" t="str">
        <f t="shared" si="70"/>
        <v>N/A</v>
      </c>
      <c r="S147" s="111" t="str">
        <f t="shared" si="70"/>
        <v>N/A</v>
      </c>
    </row>
    <row r="148" spans="1:19" s="4" customFormat="1" x14ac:dyDescent="0.2">
      <c r="A148" s="4" t="s">
        <v>458</v>
      </c>
      <c r="B148" s="2" t="s">
        <v>254</v>
      </c>
      <c r="C148" s="8" t="s">
        <v>201</v>
      </c>
      <c r="D148" s="120">
        <v>0.5</v>
      </c>
      <c r="E148" s="121" t="s">
        <v>265</v>
      </c>
      <c r="G148" s="103" t="s">
        <v>269</v>
      </c>
      <c r="H148" s="118" t="e">
        <f t="shared" ref="H148:S148" si="71">IF(H141&lt;$D$148,$E$148,H46/H33)</f>
        <v>#DIV/0!</v>
      </c>
      <c r="I148" s="118" t="e">
        <f t="shared" si="71"/>
        <v>#DIV/0!</v>
      </c>
      <c r="J148" s="118" t="e">
        <f t="shared" si="71"/>
        <v>#DIV/0!</v>
      </c>
      <c r="K148" s="118" t="e">
        <f t="shared" si="71"/>
        <v>#DIV/0!</v>
      </c>
      <c r="L148" s="118" t="e">
        <f t="shared" si="71"/>
        <v>#DIV/0!</v>
      </c>
      <c r="M148" s="118" t="str">
        <f t="shared" si="71"/>
        <v>N/A</v>
      </c>
      <c r="N148" s="118" t="str">
        <f t="shared" si="71"/>
        <v>N/A</v>
      </c>
      <c r="O148" s="118" t="str">
        <f t="shared" si="71"/>
        <v>N/A</v>
      </c>
      <c r="P148" s="118" t="str">
        <f t="shared" si="71"/>
        <v>N/A</v>
      </c>
      <c r="Q148" s="118" t="str">
        <f t="shared" si="71"/>
        <v>N/A</v>
      </c>
      <c r="R148" s="118" t="str">
        <f t="shared" si="71"/>
        <v>N/A</v>
      </c>
      <c r="S148" s="118" t="str">
        <f t="shared" si="71"/>
        <v>N/A</v>
      </c>
    </row>
    <row r="149" spans="1:19" s="4" customFormat="1" x14ac:dyDescent="0.2">
      <c r="A149" s="4" t="s">
        <v>459</v>
      </c>
      <c r="B149" s="2" t="s">
        <v>257</v>
      </c>
      <c r="C149" s="8" t="s">
        <v>270</v>
      </c>
      <c r="D149" s="120">
        <v>0.5</v>
      </c>
      <c r="E149" s="121" t="s">
        <v>265</v>
      </c>
      <c r="G149" s="110" t="s">
        <v>271</v>
      </c>
      <c r="H149" s="118" t="e">
        <f t="shared" ref="H149:S149" si="72">IF(H141&lt;$D$148,$E$149,H51/H33)</f>
        <v>#DIV/0!</v>
      </c>
      <c r="I149" s="118" t="e">
        <f t="shared" si="72"/>
        <v>#DIV/0!</v>
      </c>
      <c r="J149" s="118" t="e">
        <f t="shared" si="72"/>
        <v>#DIV/0!</v>
      </c>
      <c r="K149" s="118" t="e">
        <f t="shared" si="72"/>
        <v>#DIV/0!</v>
      </c>
      <c r="L149" s="118" t="e">
        <f t="shared" si="72"/>
        <v>#DIV/0!</v>
      </c>
      <c r="M149" s="118" t="str">
        <f t="shared" si="72"/>
        <v>N/A</v>
      </c>
      <c r="N149" s="118" t="str">
        <f t="shared" si="72"/>
        <v>N/A</v>
      </c>
      <c r="O149" s="118" t="str">
        <f t="shared" si="72"/>
        <v>N/A</v>
      </c>
      <c r="P149" s="118" t="str">
        <f t="shared" si="72"/>
        <v>N/A</v>
      </c>
      <c r="Q149" s="118" t="str">
        <f t="shared" si="72"/>
        <v>N/A</v>
      </c>
      <c r="R149" s="118" t="str">
        <f t="shared" si="72"/>
        <v>N/A</v>
      </c>
      <c r="S149" s="118" t="str">
        <f t="shared" si="72"/>
        <v>N/A</v>
      </c>
    </row>
    <row r="150" spans="1:19" s="4" customFormat="1" x14ac:dyDescent="0.2">
      <c r="A150" s="4" t="s">
        <v>460</v>
      </c>
      <c r="B150" s="2" t="s">
        <v>260</v>
      </c>
      <c r="C150" s="8" t="s">
        <v>272</v>
      </c>
      <c r="D150" s="120">
        <v>0.5</v>
      </c>
      <c r="E150" s="121" t="s">
        <v>265</v>
      </c>
      <c r="G150" s="110" t="s">
        <v>273</v>
      </c>
      <c r="H150" s="118" t="e">
        <f t="shared" ref="H150:S150" si="73">IF(H141&lt;$D$150,$E$150,H51/H4)</f>
        <v>#DIV/0!</v>
      </c>
      <c r="I150" s="118" t="e">
        <f t="shared" si="73"/>
        <v>#DIV/0!</v>
      </c>
      <c r="J150" s="118" t="e">
        <f t="shared" si="73"/>
        <v>#DIV/0!</v>
      </c>
      <c r="K150" s="118" t="e">
        <f t="shared" si="73"/>
        <v>#DIV/0!</v>
      </c>
      <c r="L150" s="118" t="e">
        <f t="shared" si="73"/>
        <v>#DIV/0!</v>
      </c>
      <c r="M150" s="118" t="str">
        <f t="shared" si="73"/>
        <v>N/A</v>
      </c>
      <c r="N150" s="118" t="str">
        <f t="shared" si="73"/>
        <v>N/A</v>
      </c>
      <c r="O150" s="118" t="str">
        <f t="shared" si="73"/>
        <v>N/A</v>
      </c>
      <c r="P150" s="118" t="str">
        <f t="shared" si="73"/>
        <v>N/A</v>
      </c>
      <c r="Q150" s="118" t="str">
        <f t="shared" si="73"/>
        <v>N/A</v>
      </c>
      <c r="R150" s="118" t="str">
        <f t="shared" si="73"/>
        <v>N/A</v>
      </c>
      <c r="S150" s="118" t="str">
        <f t="shared" si="73"/>
        <v>N/A</v>
      </c>
    </row>
    <row r="151" spans="1:19" s="4" customFormat="1" x14ac:dyDescent="0.2">
      <c r="A151" s="4" t="s">
        <v>461</v>
      </c>
      <c r="B151" s="2" t="s">
        <v>263</v>
      </c>
      <c r="C151" s="8" t="s">
        <v>274</v>
      </c>
      <c r="D151" s="120">
        <v>0.5</v>
      </c>
      <c r="E151" s="121" t="s">
        <v>265</v>
      </c>
      <c r="G151" s="46" t="s">
        <v>275</v>
      </c>
      <c r="H151" s="118" t="e">
        <f>IF(H141&lt;$D$151,$E$151,H51/H27)</f>
        <v>#DIV/0!</v>
      </c>
      <c r="I151" s="118" t="e">
        <f>IF(I141&lt;$D$151,$E$151,I51/((H27+I27)/2))</f>
        <v>#DIV/0!</v>
      </c>
      <c r="J151" s="118" t="e">
        <f>IF(J141&lt;$D$151,$E$151,J51/((I27+J27)/2))</f>
        <v>#DIV/0!</v>
      </c>
      <c r="K151" s="118" t="e">
        <f>IF(K141&lt;$D$151,$E$151,K51/((J27+K27)/2))</f>
        <v>#DIV/0!</v>
      </c>
      <c r="L151" s="118" t="e">
        <f>IF(L141&lt;$D$151,$E$151,L51/((K27+L27)/2))</f>
        <v>#DIV/0!</v>
      </c>
      <c r="M151" s="118" t="str">
        <f>IF(M141&lt;$D$151,$E$151,M51/((L27+M27)/2))</f>
        <v>N/A</v>
      </c>
      <c r="N151" s="118" t="str">
        <f t="shared" ref="N151:S151" si="74">IF(N141&lt;$D$151,$E$151,N51/((M27+N27)/2))</f>
        <v>N/A</v>
      </c>
      <c r="O151" s="118" t="str">
        <f t="shared" si="74"/>
        <v>N/A</v>
      </c>
      <c r="P151" s="118" t="str">
        <f t="shared" si="74"/>
        <v>N/A</v>
      </c>
      <c r="Q151" s="118" t="str">
        <f t="shared" si="74"/>
        <v>N/A</v>
      </c>
      <c r="R151" s="118" t="str">
        <f t="shared" si="74"/>
        <v>N/A</v>
      </c>
      <c r="S151" s="118" t="str">
        <f t="shared" si="74"/>
        <v>N/A</v>
      </c>
    </row>
    <row r="152" spans="1:19" s="4" customFormat="1" x14ac:dyDescent="0.2">
      <c r="A152" s="8"/>
      <c r="B152" s="2"/>
      <c r="C152" s="119"/>
      <c r="D152" s="41"/>
      <c r="E152" s="42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</row>
    <row r="153" spans="1:19" s="4" customFormat="1" x14ac:dyDescent="0.2">
      <c r="A153" s="8"/>
      <c r="B153" s="2"/>
      <c r="C153" s="10"/>
      <c r="D153" s="10"/>
      <c r="E153" s="9"/>
      <c r="F153" s="8"/>
      <c r="G153" s="94" t="s">
        <v>462</v>
      </c>
      <c r="H153" s="87">
        <f>H145</f>
        <v>2011</v>
      </c>
      <c r="I153" s="87">
        <f t="shared" ref="I153:S153" si="75">I145</f>
        <v>2012</v>
      </c>
      <c r="J153" s="87">
        <f t="shared" si="75"/>
        <v>2013</v>
      </c>
      <c r="K153" s="87">
        <f t="shared" si="75"/>
        <v>2014</v>
      </c>
      <c r="L153" s="87">
        <f t="shared" si="75"/>
        <v>2015</v>
      </c>
      <c r="M153" s="87">
        <f t="shared" si="75"/>
        <v>2016</v>
      </c>
      <c r="N153" s="87">
        <f t="shared" si="75"/>
        <v>2017</v>
      </c>
      <c r="O153" s="87">
        <f t="shared" si="75"/>
        <v>2018</v>
      </c>
      <c r="P153" s="87">
        <f t="shared" si="75"/>
        <v>2019</v>
      </c>
      <c r="Q153" s="87">
        <f t="shared" si="75"/>
        <v>2020</v>
      </c>
      <c r="R153" s="87">
        <f t="shared" si="75"/>
        <v>2021</v>
      </c>
      <c r="S153" s="87">
        <f t="shared" si="75"/>
        <v>2022</v>
      </c>
    </row>
    <row r="154" spans="1:19" s="4" customFormat="1" x14ac:dyDescent="0.2">
      <c r="A154" s="8"/>
      <c r="B154" s="2"/>
      <c r="C154" s="10"/>
      <c r="D154" s="10"/>
      <c r="E154" s="9"/>
      <c r="F154" s="8"/>
      <c r="G154" s="95" t="s">
        <v>276</v>
      </c>
      <c r="H154" s="96">
        <f t="shared" ref="H154:S154" si="76">H33</f>
        <v>0</v>
      </c>
      <c r="I154" s="96">
        <f t="shared" si="76"/>
        <v>0</v>
      </c>
      <c r="J154" s="96">
        <f t="shared" si="76"/>
        <v>0</v>
      </c>
      <c r="K154" s="96">
        <f t="shared" si="76"/>
        <v>0</v>
      </c>
      <c r="L154" s="96">
        <f>L33</f>
        <v>0</v>
      </c>
      <c r="M154" s="96">
        <f t="shared" si="76"/>
        <v>2608.5590000000002</v>
      </c>
      <c r="N154" s="96">
        <f t="shared" si="76"/>
        <v>6938.1809999999996</v>
      </c>
      <c r="O154" s="96">
        <f t="shared" si="76"/>
        <v>11163.647999999999</v>
      </c>
      <c r="P154" s="96">
        <f t="shared" si="76"/>
        <v>11394.964</v>
      </c>
      <c r="Q154" s="96">
        <f t="shared" si="76"/>
        <v>11819.304</v>
      </c>
      <c r="R154" s="96">
        <f t="shared" si="76"/>
        <v>11862.135</v>
      </c>
      <c r="S154" s="96">
        <f t="shared" si="76"/>
        <v>11985.768</v>
      </c>
    </row>
    <row r="155" spans="1:19" s="4" customFormat="1" x14ac:dyDescent="0.2">
      <c r="A155" s="8"/>
      <c r="B155" s="2"/>
      <c r="C155" s="10"/>
      <c r="D155" s="10"/>
      <c r="E155" s="9"/>
      <c r="F155" s="8"/>
      <c r="G155" s="95" t="s">
        <v>277</v>
      </c>
      <c r="H155" s="96">
        <f t="shared" ref="H155:S156" si="77">H35</f>
        <v>0</v>
      </c>
      <c r="I155" s="96">
        <f t="shared" si="77"/>
        <v>0</v>
      </c>
      <c r="J155" s="96">
        <f t="shared" si="77"/>
        <v>0</v>
      </c>
      <c r="K155" s="96">
        <f t="shared" si="77"/>
        <v>0</v>
      </c>
      <c r="L155" s="96">
        <f t="shared" si="77"/>
        <v>0</v>
      </c>
      <c r="M155" s="96">
        <f t="shared" si="77"/>
        <v>627.59799999999996</v>
      </c>
      <c r="N155" s="96">
        <f t="shared" si="77"/>
        <v>1741.07</v>
      </c>
      <c r="O155" s="96">
        <f t="shared" si="77"/>
        <v>1586.97</v>
      </c>
      <c r="P155" s="96">
        <f t="shared" si="77"/>
        <v>1645.66</v>
      </c>
      <c r="Q155" s="96">
        <f t="shared" si="77"/>
        <v>1700</v>
      </c>
      <c r="R155" s="96">
        <f t="shared" si="77"/>
        <v>1762.8309999999999</v>
      </c>
      <c r="S155" s="96">
        <f t="shared" si="77"/>
        <v>1836.4639999999999</v>
      </c>
    </row>
    <row r="156" spans="1:19" s="4" customFormat="1" x14ac:dyDescent="0.2">
      <c r="A156" s="8"/>
      <c r="B156" s="2"/>
      <c r="C156" s="10"/>
      <c r="D156" s="10"/>
      <c r="E156" s="9"/>
      <c r="F156" s="8"/>
      <c r="G156" s="95" t="s">
        <v>278</v>
      </c>
      <c r="H156" s="96">
        <f t="shared" si="77"/>
        <v>0</v>
      </c>
      <c r="I156" s="96">
        <f t="shared" si="77"/>
        <v>0</v>
      </c>
      <c r="J156" s="96">
        <f t="shared" si="77"/>
        <v>0</v>
      </c>
      <c r="K156" s="96">
        <f t="shared" si="77"/>
        <v>0</v>
      </c>
      <c r="L156" s="96">
        <f t="shared" si="77"/>
        <v>0</v>
      </c>
      <c r="M156" s="96">
        <f t="shared" si="77"/>
        <v>1975.43</v>
      </c>
      <c r="N156" s="96">
        <f t="shared" si="77"/>
        <v>5195.28</v>
      </c>
      <c r="O156" s="96">
        <f t="shared" si="77"/>
        <v>9576.6779999999999</v>
      </c>
      <c r="P156" s="96">
        <f t="shared" si="77"/>
        <v>9749.3040000000001</v>
      </c>
      <c r="Q156" s="96">
        <f t="shared" si="77"/>
        <v>10119.304</v>
      </c>
      <c r="R156" s="96">
        <f t="shared" si="77"/>
        <v>10099.304</v>
      </c>
      <c r="S156" s="96">
        <f t="shared" si="77"/>
        <v>10149.304</v>
      </c>
    </row>
    <row r="157" spans="1:19" s="4" customFormat="1" x14ac:dyDescent="0.2">
      <c r="A157" s="8"/>
      <c r="B157" s="2"/>
      <c r="C157" s="10"/>
      <c r="D157" s="10"/>
      <c r="E157" s="9"/>
      <c r="F157" s="8"/>
      <c r="G157" s="95" t="s">
        <v>279</v>
      </c>
      <c r="H157" s="96">
        <f t="shared" ref="H157:S157" si="78">H38+H41</f>
        <v>0</v>
      </c>
      <c r="I157" s="96">
        <f t="shared" si="78"/>
        <v>0</v>
      </c>
      <c r="J157" s="96">
        <f t="shared" si="78"/>
        <v>0</v>
      </c>
      <c r="K157" s="96">
        <f t="shared" si="78"/>
        <v>0</v>
      </c>
      <c r="L157" s="96">
        <f t="shared" si="78"/>
        <v>0</v>
      </c>
      <c r="M157" s="96">
        <f t="shared" si="78"/>
        <v>-2207.6839999999997</v>
      </c>
      <c r="N157" s="96">
        <f t="shared" si="78"/>
        <v>-6409.0959999999995</v>
      </c>
      <c r="O157" s="96">
        <f t="shared" si="78"/>
        <v>-11859.182000000001</v>
      </c>
      <c r="P157" s="96">
        <f t="shared" si="78"/>
        <v>-11244.964</v>
      </c>
      <c r="Q157" s="96">
        <f t="shared" si="78"/>
        <v>-11569.304</v>
      </c>
      <c r="R157" s="96">
        <f t="shared" si="78"/>
        <v>-11802.135</v>
      </c>
      <c r="S157" s="96">
        <f t="shared" si="78"/>
        <v>-11955.768</v>
      </c>
    </row>
    <row r="158" spans="1:19" s="4" customFormat="1" x14ac:dyDescent="0.2">
      <c r="A158" s="8"/>
      <c r="B158" s="2"/>
      <c r="C158" s="10"/>
      <c r="D158" s="10"/>
      <c r="E158" s="9"/>
      <c r="F158" s="8"/>
      <c r="G158" s="95" t="s">
        <v>280</v>
      </c>
      <c r="H158" s="96">
        <f t="shared" ref="H158:S158" si="79">H41</f>
        <v>0</v>
      </c>
      <c r="I158" s="96">
        <f t="shared" si="79"/>
        <v>0</v>
      </c>
      <c r="J158" s="96">
        <f t="shared" si="79"/>
        <v>0</v>
      </c>
      <c r="K158" s="96">
        <f t="shared" si="79"/>
        <v>0</v>
      </c>
      <c r="L158" s="96">
        <f t="shared" si="79"/>
        <v>0</v>
      </c>
      <c r="M158" s="96">
        <f t="shared" si="79"/>
        <v>-2207.6839999999997</v>
      </c>
      <c r="N158" s="96">
        <f t="shared" si="79"/>
        <v>-6409.0959999999995</v>
      </c>
      <c r="O158" s="96">
        <f t="shared" si="79"/>
        <v>-11859.182000000001</v>
      </c>
      <c r="P158" s="96">
        <f t="shared" si="79"/>
        <v>-11244.964</v>
      </c>
      <c r="Q158" s="96">
        <f t="shared" si="79"/>
        <v>-11569.304</v>
      </c>
      <c r="R158" s="96">
        <f t="shared" si="79"/>
        <v>-11802.135</v>
      </c>
      <c r="S158" s="96">
        <f t="shared" si="79"/>
        <v>-11955.768</v>
      </c>
    </row>
    <row r="159" spans="1:19" s="4" customFormat="1" x14ac:dyDescent="0.2">
      <c r="A159" s="8"/>
      <c r="B159" s="2"/>
      <c r="C159" s="10"/>
      <c r="D159" s="10"/>
      <c r="E159" s="9"/>
      <c r="F159" s="8"/>
      <c r="G159" s="95" t="s">
        <v>281</v>
      </c>
      <c r="H159" s="96">
        <f t="shared" ref="H159:S159" si="80">H38</f>
        <v>0</v>
      </c>
      <c r="I159" s="96">
        <f t="shared" si="80"/>
        <v>0</v>
      </c>
      <c r="J159" s="96">
        <f t="shared" si="80"/>
        <v>0</v>
      </c>
      <c r="K159" s="96">
        <f t="shared" si="80"/>
        <v>0</v>
      </c>
      <c r="L159" s="96">
        <f t="shared" si="80"/>
        <v>0</v>
      </c>
      <c r="M159" s="96">
        <f t="shared" si="80"/>
        <v>0</v>
      </c>
      <c r="N159" s="96">
        <f t="shared" si="80"/>
        <v>0</v>
      </c>
      <c r="O159" s="96">
        <f t="shared" si="80"/>
        <v>0</v>
      </c>
      <c r="P159" s="96">
        <f t="shared" si="80"/>
        <v>0</v>
      </c>
      <c r="Q159" s="96">
        <f t="shared" si="80"/>
        <v>0</v>
      </c>
      <c r="R159" s="96">
        <f t="shared" si="80"/>
        <v>0</v>
      </c>
      <c r="S159" s="96">
        <f t="shared" si="80"/>
        <v>0</v>
      </c>
    </row>
    <row r="160" spans="1:19" s="4" customFormat="1" x14ac:dyDescent="0.2">
      <c r="A160" s="8"/>
      <c r="B160" s="2"/>
      <c r="C160" s="10"/>
      <c r="D160" s="10"/>
      <c r="E160" s="9"/>
      <c r="F160" s="8"/>
      <c r="G160" s="95" t="s">
        <v>282</v>
      </c>
      <c r="H160" s="96">
        <f t="shared" ref="H160:S160" si="81">H46</f>
        <v>0</v>
      </c>
      <c r="I160" s="96">
        <f t="shared" si="81"/>
        <v>0</v>
      </c>
      <c r="J160" s="96">
        <f t="shared" si="81"/>
        <v>0</v>
      </c>
      <c r="K160" s="96">
        <f t="shared" si="81"/>
        <v>0</v>
      </c>
      <c r="L160" s="96">
        <f t="shared" si="81"/>
        <v>0</v>
      </c>
      <c r="M160" s="96">
        <f t="shared" si="81"/>
        <v>400.87500000000045</v>
      </c>
      <c r="N160" s="96">
        <f t="shared" si="81"/>
        <v>529.08500000000004</v>
      </c>
      <c r="O160" s="96">
        <f t="shared" si="81"/>
        <v>-695.53400000000147</v>
      </c>
      <c r="P160" s="96">
        <f t="shared" si="81"/>
        <v>150</v>
      </c>
      <c r="Q160" s="96">
        <f t="shared" si="81"/>
        <v>250</v>
      </c>
      <c r="R160" s="96">
        <f t="shared" si="81"/>
        <v>60</v>
      </c>
      <c r="S160" s="96">
        <f t="shared" si="81"/>
        <v>30</v>
      </c>
    </row>
    <row r="161" spans="1:19" s="4" customFormat="1" x14ac:dyDescent="0.2">
      <c r="A161" s="8"/>
      <c r="B161" s="2"/>
      <c r="C161" s="10"/>
      <c r="D161" s="10"/>
      <c r="E161" s="9"/>
      <c r="F161" s="8"/>
      <c r="G161" s="95" t="s">
        <v>283</v>
      </c>
      <c r="H161" s="96">
        <f t="shared" ref="H161:S161" si="82">H51</f>
        <v>0</v>
      </c>
      <c r="I161" s="96">
        <f t="shared" si="82"/>
        <v>0</v>
      </c>
      <c r="J161" s="96">
        <f t="shared" si="82"/>
        <v>0</v>
      </c>
      <c r="K161" s="96">
        <f t="shared" si="82"/>
        <v>0</v>
      </c>
      <c r="L161" s="96">
        <f t="shared" si="82"/>
        <v>3.7999999999999999E-2</v>
      </c>
      <c r="M161" s="96">
        <f t="shared" si="82"/>
        <v>401.45400000000046</v>
      </c>
      <c r="N161" s="96">
        <f t="shared" si="82"/>
        <v>529.08500000000004</v>
      </c>
      <c r="O161" s="96">
        <f t="shared" si="82"/>
        <v>-695.53400000000147</v>
      </c>
      <c r="P161" s="96">
        <f t="shared" si="82"/>
        <v>150</v>
      </c>
      <c r="Q161" s="96">
        <f t="shared" si="82"/>
        <v>250</v>
      </c>
      <c r="R161" s="96">
        <f t="shared" si="82"/>
        <v>60</v>
      </c>
      <c r="S161" s="96">
        <f t="shared" si="82"/>
        <v>30</v>
      </c>
    </row>
    <row r="162" spans="1:19" s="4" customFormat="1" x14ac:dyDescent="0.2">
      <c r="A162" s="8"/>
      <c r="B162" s="2"/>
      <c r="C162" s="10"/>
      <c r="D162" s="10"/>
      <c r="E162" s="9"/>
      <c r="F162" s="8"/>
      <c r="G162" s="95" t="s">
        <v>284</v>
      </c>
      <c r="H162" s="96">
        <f t="shared" ref="H162:S163" si="83">H4</f>
        <v>0</v>
      </c>
      <c r="I162" s="96">
        <f t="shared" si="83"/>
        <v>0</v>
      </c>
      <c r="J162" s="96">
        <f t="shared" si="83"/>
        <v>0</v>
      </c>
      <c r="K162" s="96">
        <f t="shared" si="83"/>
        <v>0</v>
      </c>
      <c r="L162" s="96">
        <f t="shared" si="83"/>
        <v>0</v>
      </c>
      <c r="M162" s="96">
        <f t="shared" si="83"/>
        <v>2097.7479999999996</v>
      </c>
      <c r="N162" s="96">
        <f t="shared" si="83"/>
        <v>2618.538</v>
      </c>
      <c r="O162" s="96">
        <f t="shared" si="83"/>
        <v>1986</v>
      </c>
      <c r="P162" s="96">
        <f t="shared" si="83"/>
        <v>2136</v>
      </c>
      <c r="Q162" s="96">
        <f t="shared" si="83"/>
        <v>2386</v>
      </c>
      <c r="R162" s="96">
        <f t="shared" si="83"/>
        <v>2446</v>
      </c>
      <c r="S162" s="96">
        <f t="shared" si="83"/>
        <v>2476</v>
      </c>
    </row>
    <row r="163" spans="1:19" s="4" customFormat="1" x14ac:dyDescent="0.2">
      <c r="A163" s="8"/>
      <c r="B163" s="2"/>
      <c r="C163" s="10"/>
      <c r="D163" s="10"/>
      <c r="E163" s="9"/>
      <c r="F163" s="8"/>
      <c r="G163" s="95" t="s">
        <v>285</v>
      </c>
      <c r="H163" s="96">
        <f t="shared" si="83"/>
        <v>0</v>
      </c>
      <c r="I163" s="96">
        <f t="shared" si="83"/>
        <v>0</v>
      </c>
      <c r="J163" s="96">
        <f t="shared" si="83"/>
        <v>0</v>
      </c>
      <c r="K163" s="96">
        <f t="shared" si="83"/>
        <v>0</v>
      </c>
      <c r="L163" s="96">
        <f t="shared" si="83"/>
        <v>0</v>
      </c>
      <c r="M163" s="96">
        <f t="shared" si="83"/>
        <v>1522.1839999999997</v>
      </c>
      <c r="N163" s="96">
        <f t="shared" si="83"/>
        <v>1914.713</v>
      </c>
      <c r="O163" s="96">
        <f t="shared" si="83"/>
        <v>1164</v>
      </c>
      <c r="P163" s="96">
        <f t="shared" si="83"/>
        <v>1206</v>
      </c>
      <c r="Q163" s="96">
        <f t="shared" si="83"/>
        <v>1256</v>
      </c>
      <c r="R163" s="96">
        <f t="shared" si="83"/>
        <v>1316</v>
      </c>
      <c r="S163" s="96">
        <f t="shared" si="83"/>
        <v>1376</v>
      </c>
    </row>
    <row r="164" spans="1:19" s="4" customFormat="1" x14ac:dyDescent="0.2">
      <c r="A164" s="8"/>
      <c r="B164" s="2"/>
      <c r="C164" s="10"/>
      <c r="D164" s="10"/>
      <c r="E164" s="9"/>
      <c r="F164" s="8"/>
      <c r="G164" s="95" t="s">
        <v>286</v>
      </c>
      <c r="H164" s="96">
        <f t="shared" ref="H164:S164" si="84">H10</f>
        <v>0</v>
      </c>
      <c r="I164" s="96">
        <f t="shared" si="84"/>
        <v>0</v>
      </c>
      <c r="J164" s="96">
        <f t="shared" si="84"/>
        <v>0</v>
      </c>
      <c r="K164" s="96">
        <f t="shared" si="84"/>
        <v>0</v>
      </c>
      <c r="L164" s="96">
        <f t="shared" si="84"/>
        <v>0</v>
      </c>
      <c r="M164" s="96">
        <f t="shared" si="84"/>
        <v>575.56399999999996</v>
      </c>
      <c r="N164" s="96">
        <f t="shared" si="84"/>
        <v>703.82500000000005</v>
      </c>
      <c r="O164" s="96">
        <f t="shared" si="84"/>
        <v>822</v>
      </c>
      <c r="P164" s="96">
        <f t="shared" si="84"/>
        <v>930</v>
      </c>
      <c r="Q164" s="96">
        <f t="shared" si="84"/>
        <v>1130</v>
      </c>
      <c r="R164" s="96">
        <f t="shared" si="84"/>
        <v>1130</v>
      </c>
      <c r="S164" s="96">
        <f t="shared" si="84"/>
        <v>1100</v>
      </c>
    </row>
    <row r="165" spans="1:19" s="4" customFormat="1" x14ac:dyDescent="0.2">
      <c r="A165" s="8"/>
      <c r="B165" s="2"/>
      <c r="C165" s="10"/>
      <c r="D165" s="10"/>
      <c r="E165" s="9"/>
      <c r="F165" s="8"/>
      <c r="G165" s="95" t="s">
        <v>287</v>
      </c>
      <c r="H165" s="96">
        <f t="shared" ref="H165:S166" si="85">H19</f>
        <v>0</v>
      </c>
      <c r="I165" s="96">
        <f t="shared" si="85"/>
        <v>0</v>
      </c>
      <c r="J165" s="96">
        <f t="shared" si="85"/>
        <v>0</v>
      </c>
      <c r="K165" s="96">
        <f t="shared" si="85"/>
        <v>0</v>
      </c>
      <c r="L165" s="96">
        <f t="shared" si="85"/>
        <v>0</v>
      </c>
      <c r="M165" s="96">
        <f t="shared" si="85"/>
        <v>495.50599999999997</v>
      </c>
      <c r="N165" s="96">
        <f t="shared" si="85"/>
        <v>487.21300000000002</v>
      </c>
      <c r="O165" s="96">
        <f t="shared" si="85"/>
        <v>550</v>
      </c>
      <c r="P165" s="96">
        <f t="shared" si="85"/>
        <v>550</v>
      </c>
      <c r="Q165" s="96">
        <f t="shared" si="85"/>
        <v>550</v>
      </c>
      <c r="R165" s="96">
        <f t="shared" si="85"/>
        <v>550</v>
      </c>
      <c r="S165" s="96">
        <f t="shared" si="85"/>
        <v>550</v>
      </c>
    </row>
    <row r="166" spans="1:19" s="4" customFormat="1" x14ac:dyDescent="0.2">
      <c r="A166" s="8"/>
      <c r="B166" s="2"/>
      <c r="C166" s="10"/>
      <c r="D166" s="10"/>
      <c r="E166" s="9"/>
      <c r="F166" s="8"/>
      <c r="G166" s="95" t="s">
        <v>288</v>
      </c>
      <c r="H166" s="96">
        <f t="shared" si="85"/>
        <v>0</v>
      </c>
      <c r="I166" s="96">
        <f t="shared" si="85"/>
        <v>0</v>
      </c>
      <c r="J166" s="96">
        <f t="shared" si="85"/>
        <v>0</v>
      </c>
      <c r="K166" s="96">
        <f t="shared" si="85"/>
        <v>0</v>
      </c>
      <c r="L166" s="96">
        <f t="shared" si="85"/>
        <v>0</v>
      </c>
      <c r="M166" s="96">
        <f t="shared" si="85"/>
        <v>495.50599999999997</v>
      </c>
      <c r="N166" s="96">
        <f t="shared" si="85"/>
        <v>487.21300000000002</v>
      </c>
      <c r="O166" s="96">
        <f t="shared" si="85"/>
        <v>550</v>
      </c>
      <c r="P166" s="96">
        <f t="shared" si="85"/>
        <v>550</v>
      </c>
      <c r="Q166" s="96">
        <f t="shared" si="85"/>
        <v>550</v>
      </c>
      <c r="R166" s="96">
        <f t="shared" si="85"/>
        <v>550</v>
      </c>
      <c r="S166" s="96">
        <f t="shared" si="85"/>
        <v>550</v>
      </c>
    </row>
    <row r="167" spans="1:19" s="4" customFormat="1" x14ac:dyDescent="0.2">
      <c r="A167" s="8"/>
      <c r="B167" s="2"/>
      <c r="C167" s="10"/>
      <c r="D167" s="10"/>
      <c r="E167" s="9"/>
      <c r="F167" s="8"/>
      <c r="G167" s="95" t="s">
        <v>289</v>
      </c>
      <c r="H167" s="96">
        <f t="shared" ref="H167:S167" si="86">H24</f>
        <v>0</v>
      </c>
      <c r="I167" s="96">
        <f t="shared" si="86"/>
        <v>0</v>
      </c>
      <c r="J167" s="96">
        <f t="shared" si="86"/>
        <v>0</v>
      </c>
      <c r="K167" s="96">
        <f t="shared" si="86"/>
        <v>0</v>
      </c>
      <c r="L167" s="96">
        <f t="shared" si="86"/>
        <v>0</v>
      </c>
      <c r="M167" s="96">
        <f t="shared" si="86"/>
        <v>0</v>
      </c>
      <c r="N167" s="96">
        <f t="shared" si="86"/>
        <v>0</v>
      </c>
      <c r="O167" s="96">
        <f t="shared" si="86"/>
        <v>0</v>
      </c>
      <c r="P167" s="96">
        <f t="shared" si="86"/>
        <v>0</v>
      </c>
      <c r="Q167" s="96">
        <f t="shared" si="86"/>
        <v>0</v>
      </c>
      <c r="R167" s="96">
        <f t="shared" si="86"/>
        <v>0</v>
      </c>
      <c r="S167" s="96">
        <f t="shared" si="86"/>
        <v>0</v>
      </c>
    </row>
    <row r="168" spans="1:19" s="4" customFormat="1" x14ac:dyDescent="0.2">
      <c r="A168" s="8"/>
      <c r="B168" s="2"/>
      <c r="C168" s="10"/>
      <c r="D168" s="10"/>
      <c r="E168" s="9"/>
      <c r="F168" s="8"/>
      <c r="G168" s="95" t="s">
        <v>290</v>
      </c>
      <c r="H168" s="96">
        <f t="shared" ref="H168:S168" si="87">H27</f>
        <v>0</v>
      </c>
      <c r="I168" s="96">
        <f t="shared" si="87"/>
        <v>0</v>
      </c>
      <c r="J168" s="96">
        <f t="shared" si="87"/>
        <v>0</v>
      </c>
      <c r="K168" s="96">
        <f t="shared" si="87"/>
        <v>0</v>
      </c>
      <c r="L168" s="96">
        <f t="shared" si="87"/>
        <v>0</v>
      </c>
      <c r="M168" s="96">
        <f t="shared" si="87"/>
        <v>1602.242</v>
      </c>
      <c r="N168" s="96">
        <f t="shared" si="87"/>
        <v>2131.3249999999998</v>
      </c>
      <c r="O168" s="96">
        <f t="shared" si="87"/>
        <v>1435.7909999999997</v>
      </c>
      <c r="P168" s="96">
        <f t="shared" si="87"/>
        <v>1585.7909999999999</v>
      </c>
      <c r="Q168" s="96">
        <f t="shared" si="87"/>
        <v>1835.789</v>
      </c>
      <c r="R168" s="96">
        <f t="shared" si="87"/>
        <v>1895.789</v>
      </c>
      <c r="S168" s="96">
        <f t="shared" si="87"/>
        <v>1925.789</v>
      </c>
    </row>
    <row r="169" spans="1:19" s="4" customFormat="1" x14ac:dyDescent="0.2">
      <c r="A169" s="8"/>
      <c r="B169" s="2"/>
      <c r="C169" s="119"/>
      <c r="D169" s="41"/>
      <c r="E169" s="42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</row>
    <row r="170" spans="1:19" s="4" customFormat="1" x14ac:dyDescent="0.2">
      <c r="A170" s="8"/>
      <c r="B170" s="2"/>
      <c r="C170" s="119" t="s">
        <v>463</v>
      </c>
      <c r="D170" s="41"/>
      <c r="E170" s="42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</row>
    <row r="171" spans="1:19" s="4" customFormat="1" x14ac:dyDescent="0.2">
      <c r="A171" s="8"/>
      <c r="B171" s="2"/>
      <c r="C171" s="119"/>
      <c r="D171" s="41"/>
      <c r="E171" s="42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</row>
    <row r="172" spans="1:19" s="40" customFormat="1" x14ac:dyDescent="0.2">
      <c r="A172" s="29"/>
      <c r="B172" s="2"/>
      <c r="C172" s="29" t="s">
        <v>464</v>
      </c>
      <c r="D172" s="99"/>
      <c r="E172" s="30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</row>
    <row r="173" spans="1:19" s="4" customFormat="1" x14ac:dyDescent="0.2">
      <c r="A173" s="8"/>
      <c r="B173" s="2"/>
      <c r="C173" s="8"/>
      <c r="D173" s="10"/>
      <c r="E173" s="9"/>
      <c r="F173" s="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</row>
    <row r="174" spans="1:19" s="4" customFormat="1" x14ac:dyDescent="0.2">
      <c r="A174" s="8"/>
      <c r="B174" s="2"/>
      <c r="C174" s="8" t="s">
        <v>291</v>
      </c>
      <c r="D174" s="10"/>
      <c r="E174" s="9"/>
      <c r="F174" s="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</row>
    <row r="175" spans="1:19" s="4" customFormat="1" x14ac:dyDescent="0.2">
      <c r="A175" s="8"/>
      <c r="B175" s="2"/>
      <c r="C175" s="8" t="s">
        <v>292</v>
      </c>
      <c r="D175" s="10"/>
      <c r="E175" s="9"/>
      <c r="F175" s="12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  <c r="R175" s="44"/>
    </row>
    <row r="176" spans="1:19" s="4" customFormat="1" x14ac:dyDescent="0.2">
      <c r="A176" s="8"/>
      <c r="B176" s="2"/>
      <c r="C176" s="8"/>
      <c r="D176" s="10"/>
      <c r="E176" s="9"/>
      <c r="F176" s="12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</row>
    <row r="177" spans="1:7" s="4" customFormat="1" x14ac:dyDescent="0.2">
      <c r="A177" s="8"/>
      <c r="B177" s="2"/>
      <c r="C177" s="8" t="s">
        <v>293</v>
      </c>
      <c r="D177" s="10"/>
      <c r="E177" s="9"/>
      <c r="F177" s="12"/>
      <c r="G177" s="28"/>
    </row>
    <row r="178" spans="1:7" s="4" customFormat="1" x14ac:dyDescent="0.2">
      <c r="A178" s="8"/>
      <c r="B178" s="2"/>
      <c r="C178" s="8" t="s">
        <v>294</v>
      </c>
      <c r="D178" s="10"/>
      <c r="E178" s="9"/>
      <c r="F178" s="12"/>
      <c r="G178" s="28"/>
    </row>
    <row r="179" spans="1:7" s="4" customFormat="1" x14ac:dyDescent="0.2">
      <c r="A179" s="8"/>
      <c r="B179" s="2"/>
      <c r="C179" s="10"/>
      <c r="D179" s="10"/>
      <c r="E179" s="9"/>
      <c r="F179" s="8"/>
      <c r="G179" s="28"/>
    </row>
    <row r="180" spans="1:7" s="4" customFormat="1" x14ac:dyDescent="0.2">
      <c r="A180" s="8"/>
      <c r="B180" s="2"/>
      <c r="C180" s="10"/>
      <c r="D180" s="10"/>
      <c r="E180" s="9"/>
      <c r="F180" s="8"/>
      <c r="G180" s="28"/>
    </row>
    <row r="181" spans="1:7" s="4" customFormat="1" x14ac:dyDescent="0.2">
      <c r="A181" s="8"/>
      <c r="B181" s="2"/>
      <c r="C181" s="10"/>
      <c r="D181" s="10"/>
      <c r="E181" s="9"/>
      <c r="F181" s="8"/>
      <c r="G181" s="28"/>
    </row>
    <row r="182" spans="1:7" s="4" customFormat="1" x14ac:dyDescent="0.2">
      <c r="A182" s="8"/>
      <c r="B182" s="2"/>
      <c r="C182" s="10"/>
      <c r="D182" s="10"/>
      <c r="E182" s="9"/>
      <c r="F182" s="8"/>
      <c r="G182" s="28"/>
    </row>
    <row r="183" spans="1:7" s="4" customFormat="1" x14ac:dyDescent="0.2">
      <c r="A183" s="8"/>
      <c r="B183" s="2"/>
      <c r="C183" s="10"/>
      <c r="D183" s="10"/>
      <c r="E183" s="9"/>
      <c r="F183" s="8"/>
      <c r="G183" s="28"/>
    </row>
    <row r="184" spans="1:7" s="4" customFormat="1" x14ac:dyDescent="0.2">
      <c r="A184" s="8"/>
      <c r="B184" s="2"/>
      <c r="C184" s="10"/>
      <c r="D184" s="10"/>
      <c r="E184" s="9"/>
      <c r="F184" s="8"/>
      <c r="G184" s="28"/>
    </row>
    <row r="185" spans="1:7" s="4" customFormat="1" x14ac:dyDescent="0.2">
      <c r="A185" s="8"/>
      <c r="B185" s="2"/>
      <c r="C185" s="10"/>
      <c r="D185" s="10"/>
      <c r="E185" s="9"/>
      <c r="F185" s="8"/>
      <c r="G185" s="28"/>
    </row>
    <row r="186" spans="1:7" s="4" customFormat="1" x14ac:dyDescent="0.2">
      <c r="A186" s="8"/>
      <c r="B186" s="2"/>
      <c r="C186" s="10"/>
      <c r="D186" s="10"/>
      <c r="E186" s="9"/>
      <c r="F186" s="8"/>
      <c r="G186" s="28"/>
    </row>
    <row r="187" spans="1:7" s="4" customFormat="1" x14ac:dyDescent="0.2">
      <c r="A187" s="8"/>
      <c r="B187" s="2"/>
      <c r="C187" s="10"/>
      <c r="D187" s="10"/>
      <c r="E187" s="9"/>
      <c r="F187" s="8"/>
      <c r="G187" s="28"/>
    </row>
    <row r="188" spans="1:7" s="4" customFormat="1" x14ac:dyDescent="0.2">
      <c r="A188" s="8"/>
      <c r="B188" s="2"/>
      <c r="C188" s="10"/>
      <c r="D188" s="10"/>
      <c r="E188" s="9"/>
      <c r="F188" s="8"/>
      <c r="G188" s="28"/>
    </row>
    <row r="189" spans="1:7" s="4" customFormat="1" x14ac:dyDescent="0.2">
      <c r="A189" s="8"/>
      <c r="B189" s="2"/>
      <c r="C189" s="10"/>
      <c r="D189" s="10"/>
      <c r="E189" s="9"/>
      <c r="F189" s="8"/>
      <c r="G189" s="28"/>
    </row>
    <row r="190" spans="1:7" s="4" customFormat="1" x14ac:dyDescent="0.2">
      <c r="A190" s="8"/>
      <c r="B190" s="2"/>
      <c r="C190" s="10"/>
      <c r="D190" s="10"/>
      <c r="E190" s="9"/>
      <c r="F190" s="8"/>
      <c r="G190" s="28"/>
    </row>
    <row r="191" spans="1:7" s="4" customFormat="1" x14ac:dyDescent="0.2">
      <c r="A191" s="8"/>
      <c r="B191" s="2"/>
      <c r="C191" s="10"/>
      <c r="D191" s="10"/>
      <c r="E191" s="9"/>
      <c r="F191" s="8"/>
      <c r="G191" s="28"/>
    </row>
    <row r="192" spans="1:7" s="4" customFormat="1" x14ac:dyDescent="0.2">
      <c r="A192" s="8"/>
      <c r="B192" s="2"/>
      <c r="C192" s="10"/>
      <c r="D192" s="10"/>
      <c r="E192" s="9"/>
      <c r="F192" s="8"/>
      <c r="G192" s="28"/>
    </row>
    <row r="193" spans="1:7" s="4" customFormat="1" x14ac:dyDescent="0.2">
      <c r="A193" s="8"/>
      <c r="B193" s="2"/>
      <c r="C193" s="10"/>
      <c r="D193" s="10"/>
      <c r="E193" s="9"/>
      <c r="F193" s="8"/>
      <c r="G193" s="28"/>
    </row>
    <row r="194" spans="1:7" s="4" customFormat="1" x14ac:dyDescent="0.2">
      <c r="A194" s="8"/>
      <c r="B194" s="2"/>
      <c r="C194" s="10"/>
      <c r="D194" s="10"/>
      <c r="E194" s="9"/>
      <c r="F194" s="8"/>
      <c r="G194" s="28"/>
    </row>
    <row r="195" spans="1:7" s="4" customFormat="1" x14ac:dyDescent="0.2">
      <c r="A195" s="8"/>
      <c r="B195" s="2"/>
      <c r="C195" s="10"/>
      <c r="D195" s="10"/>
      <c r="E195" s="9"/>
      <c r="F195" s="8"/>
      <c r="G195" s="28"/>
    </row>
    <row r="196" spans="1:7" s="4" customFormat="1" x14ac:dyDescent="0.2">
      <c r="A196" s="8"/>
      <c r="B196" s="2"/>
      <c r="C196" s="10"/>
      <c r="D196" s="10"/>
      <c r="E196" s="9"/>
      <c r="F196" s="8"/>
      <c r="G196" s="28"/>
    </row>
    <row r="197" spans="1:7" s="4" customFormat="1" x14ac:dyDescent="0.2">
      <c r="A197" s="8"/>
      <c r="B197" s="2"/>
      <c r="C197" s="10"/>
      <c r="D197" s="10"/>
      <c r="E197" s="9"/>
      <c r="F197" s="8"/>
      <c r="G197" s="28"/>
    </row>
    <row r="198" spans="1:7" s="4" customFormat="1" x14ac:dyDescent="0.2">
      <c r="A198" s="8"/>
      <c r="B198" s="2"/>
      <c r="C198" s="10"/>
      <c r="D198" s="10"/>
      <c r="E198" s="9"/>
      <c r="F198" s="8"/>
      <c r="G198" s="28"/>
    </row>
    <row r="199" spans="1:7" s="4" customFormat="1" x14ac:dyDescent="0.2">
      <c r="A199" s="8"/>
      <c r="B199" s="2"/>
      <c r="C199" s="10"/>
      <c r="D199" s="10"/>
      <c r="E199" s="9"/>
      <c r="F199" s="8"/>
      <c r="G199" s="28"/>
    </row>
    <row r="200" spans="1:7" s="4" customFormat="1" x14ac:dyDescent="0.2">
      <c r="A200" s="8"/>
      <c r="B200" s="2"/>
      <c r="C200" s="10"/>
      <c r="D200" s="10"/>
      <c r="E200" s="9"/>
      <c r="F200" s="8"/>
      <c r="G200" s="28"/>
    </row>
    <row r="201" spans="1:7" s="4" customFormat="1" x14ac:dyDescent="0.2">
      <c r="A201" s="8"/>
      <c r="B201" s="2"/>
      <c r="C201" s="10"/>
      <c r="D201" s="10"/>
      <c r="E201" s="9"/>
      <c r="F201" s="8"/>
      <c r="G201" s="28"/>
    </row>
    <row r="202" spans="1:7" s="4" customFormat="1" x14ac:dyDescent="0.2">
      <c r="A202" s="8"/>
      <c r="B202" s="2"/>
      <c r="C202" s="10"/>
      <c r="D202" s="10"/>
      <c r="E202" s="9"/>
      <c r="F202" s="8"/>
      <c r="G202" s="28"/>
    </row>
  </sheetData>
  <mergeCells count="1">
    <mergeCell ref="D92:E92"/>
  </mergeCells>
  <conditionalFormatting sqref="H141:Q141">
    <cfRule type="cellIs" dxfId="1679" priority="51" stopIfTrue="1" operator="greaterThan">
      <formula>$E$141</formula>
    </cfRule>
    <cfRule type="cellIs" dxfId="1678" priority="52" stopIfTrue="1" operator="lessThanOrEqual">
      <formula>$E$141</formula>
    </cfRule>
  </conditionalFormatting>
  <conditionalFormatting sqref="H143:Q143">
    <cfRule type="cellIs" dxfId="1677" priority="49" stopIfTrue="1" operator="lessThanOrEqual">
      <formula>$E$143</formula>
    </cfRule>
    <cfRule type="cellIs" dxfId="1676" priority="50" stopIfTrue="1" operator="greaterThan">
      <formula>$E$143</formula>
    </cfRule>
  </conditionalFormatting>
  <conditionalFormatting sqref="H121:Q121">
    <cfRule type="cellIs" dxfId="1675" priority="47" operator="greaterThan">
      <formula>$E$121</formula>
    </cfRule>
    <cfRule type="cellIs" dxfId="1674" priority="48" operator="lessThanOrEqual">
      <formula>$E$121</formula>
    </cfRule>
  </conditionalFormatting>
  <conditionalFormatting sqref="H124:Q124">
    <cfRule type="cellIs" dxfId="1673" priority="45" stopIfTrue="1" operator="greaterThanOrEqual">
      <formula>$E$124</formula>
    </cfRule>
    <cfRule type="cellIs" dxfId="1672" priority="46" stopIfTrue="1" operator="lessThan">
      <formula>$E$124</formula>
    </cfRule>
  </conditionalFormatting>
  <conditionalFormatting sqref="H126:Q126">
    <cfRule type="cellIs" dxfId="1671" priority="43" stopIfTrue="1" operator="lessThan">
      <formula>$E$126</formula>
    </cfRule>
    <cfRule type="cellIs" dxfId="1670" priority="44" stopIfTrue="1" operator="greaterThanOrEqual">
      <formula>$E$126</formula>
    </cfRule>
  </conditionalFormatting>
  <conditionalFormatting sqref="H125:Q125">
    <cfRule type="cellIs" dxfId="1669" priority="41" stopIfTrue="1" operator="greaterThan">
      <formula>$E$125</formula>
    </cfRule>
    <cfRule type="cellIs" dxfId="1668" priority="42" stopIfTrue="1" operator="lessThanOrEqual">
      <formula>$E$125</formula>
    </cfRule>
  </conditionalFormatting>
  <conditionalFormatting sqref="H122:Q122">
    <cfRule type="cellIs" dxfId="1667" priority="30" stopIfTrue="1" operator="between">
      <formula>$D$122</formula>
      <formula>$E$122</formula>
    </cfRule>
    <cfRule type="cellIs" dxfId="1666" priority="39" stopIfTrue="1" operator="lessThanOrEqual">
      <formula>$D$122</formula>
    </cfRule>
    <cfRule type="cellIs" dxfId="1665" priority="40" stopIfTrue="1" operator="greaterThan">
      <formula>$E$122</formula>
    </cfRule>
  </conditionalFormatting>
  <conditionalFormatting sqref="H142:Q142">
    <cfRule type="cellIs" dxfId="1664" priority="37" stopIfTrue="1" operator="greaterThan">
      <formula>$E$142</formula>
    </cfRule>
    <cfRule type="cellIs" dxfId="1663" priority="38" stopIfTrue="1" operator="lessThanOrEqual">
      <formula>$E$142</formula>
    </cfRule>
  </conditionalFormatting>
  <conditionalFormatting sqref="H130:Q130">
    <cfRule type="cellIs" dxfId="1662" priority="35" stopIfTrue="1" operator="greaterThan">
      <formula>$E$130</formula>
    </cfRule>
    <cfRule type="cellIs" dxfId="1661" priority="36" stopIfTrue="1" operator="lessThanOrEqual">
      <formula>$E$130</formula>
    </cfRule>
  </conditionalFormatting>
  <conditionalFormatting sqref="H131:Q131">
    <cfRule type="cellIs" dxfId="1660" priority="33" stopIfTrue="1" operator="lessThan">
      <formula>$E$131</formula>
    </cfRule>
    <cfRule type="cellIs" dxfId="1659" priority="34" stopIfTrue="1" operator="greaterThanOrEqual">
      <formula>$E$131</formula>
    </cfRule>
  </conditionalFormatting>
  <conditionalFormatting sqref="H114:Q114">
    <cfRule type="cellIs" dxfId="1658" priority="53" stopIfTrue="1" operator="lessThan">
      <formula>$D$114</formula>
    </cfRule>
    <cfRule type="cellIs" dxfId="1657" priority="54" stopIfTrue="1" operator="between">
      <formula>$D$114</formula>
      <formula>$E$114</formula>
    </cfRule>
    <cfRule type="cellIs" dxfId="1656" priority="55" stopIfTrue="1" operator="greaterThan">
      <formula>$E$114</formula>
    </cfRule>
  </conditionalFormatting>
  <conditionalFormatting sqref="H138:Q138">
    <cfRule type="cellIs" dxfId="1655" priority="56" stopIfTrue="1" operator="lessThan">
      <formula>$E$138</formula>
    </cfRule>
    <cfRule type="cellIs" dxfId="1654" priority="57" stopIfTrue="1" operator="between">
      <formula>$D$138</formula>
      <formula>$E$138</formula>
    </cfRule>
    <cfRule type="cellIs" dxfId="1653" priority="58" stopIfTrue="1" operator="greaterThanOrEqual">
      <formula>$D$138</formula>
    </cfRule>
  </conditionalFormatting>
  <conditionalFormatting sqref="H111:Q111">
    <cfRule type="cellIs" dxfId="1652" priority="31" stopIfTrue="1" operator="lessThan">
      <formula>$E$111</formula>
    </cfRule>
    <cfRule type="cellIs" dxfId="1651" priority="32" stopIfTrue="1" operator="greaterThan">
      <formula>$E$111</formula>
    </cfRule>
  </conditionalFormatting>
  <conditionalFormatting sqref="R141:S141">
    <cfRule type="cellIs" dxfId="1650" priority="22" stopIfTrue="1" operator="greaterThan">
      <formula>$E$141</formula>
    </cfRule>
    <cfRule type="cellIs" dxfId="1649" priority="23" stopIfTrue="1" operator="lessThanOrEqual">
      <formula>$E$141</formula>
    </cfRule>
  </conditionalFormatting>
  <conditionalFormatting sqref="R143:S143">
    <cfRule type="cellIs" dxfId="1648" priority="20" stopIfTrue="1" operator="lessThanOrEqual">
      <formula>$E$143</formula>
    </cfRule>
    <cfRule type="cellIs" dxfId="1647" priority="21" stopIfTrue="1" operator="greaterThan">
      <formula>$E$143</formula>
    </cfRule>
  </conditionalFormatting>
  <conditionalFormatting sqref="R121:S121">
    <cfRule type="cellIs" dxfId="1646" priority="18" operator="greaterThan">
      <formula>$E$121</formula>
    </cfRule>
    <cfRule type="cellIs" dxfId="1645" priority="19" operator="lessThanOrEqual">
      <formula>$E$121</formula>
    </cfRule>
  </conditionalFormatting>
  <conditionalFormatting sqref="R124:S124">
    <cfRule type="cellIs" dxfId="1644" priority="16" stopIfTrue="1" operator="greaterThanOrEqual">
      <formula>$E$124</formula>
    </cfRule>
    <cfRule type="cellIs" dxfId="1643" priority="17" stopIfTrue="1" operator="lessThan">
      <formula>$E$124</formula>
    </cfRule>
  </conditionalFormatting>
  <conditionalFormatting sqref="R126:S126">
    <cfRule type="cellIs" dxfId="1642" priority="14" stopIfTrue="1" operator="lessThan">
      <formula>$E$126</formula>
    </cfRule>
    <cfRule type="cellIs" dxfId="1641" priority="15" stopIfTrue="1" operator="greaterThanOrEqual">
      <formula>$E$126</formula>
    </cfRule>
  </conditionalFormatting>
  <conditionalFormatting sqref="R125:S125">
    <cfRule type="cellIs" dxfId="1640" priority="12" stopIfTrue="1" operator="greaterThan">
      <formula>$E$125</formula>
    </cfRule>
    <cfRule type="cellIs" dxfId="1639" priority="13" stopIfTrue="1" operator="lessThanOrEqual">
      <formula>$E$125</formula>
    </cfRule>
  </conditionalFormatting>
  <conditionalFormatting sqref="R122:S122">
    <cfRule type="cellIs" dxfId="1638" priority="1" stopIfTrue="1" operator="between">
      <formula>$D$122</formula>
      <formula>$E$122</formula>
    </cfRule>
    <cfRule type="cellIs" dxfId="1637" priority="10" stopIfTrue="1" operator="lessThanOrEqual">
      <formula>$D$122</formula>
    </cfRule>
    <cfRule type="cellIs" dxfId="1636" priority="11" stopIfTrue="1" operator="greaterThan">
      <formula>$E$122</formula>
    </cfRule>
  </conditionalFormatting>
  <conditionalFormatting sqref="R142:S142">
    <cfRule type="cellIs" dxfId="1635" priority="8" stopIfTrue="1" operator="greaterThan">
      <formula>$E$142</formula>
    </cfRule>
    <cfRule type="cellIs" dxfId="1634" priority="9" stopIfTrue="1" operator="lessThanOrEqual">
      <formula>$E$142</formula>
    </cfRule>
  </conditionalFormatting>
  <conditionalFormatting sqref="R130:S130">
    <cfRule type="cellIs" dxfId="1633" priority="6" stopIfTrue="1" operator="greaterThan">
      <formula>$E$130</formula>
    </cfRule>
    <cfRule type="cellIs" dxfId="1632" priority="7" stopIfTrue="1" operator="lessThanOrEqual">
      <formula>$E$130</formula>
    </cfRule>
  </conditionalFormatting>
  <conditionalFormatting sqref="R131:S131">
    <cfRule type="cellIs" dxfId="1631" priority="4" stopIfTrue="1" operator="lessThan">
      <formula>$E$131</formula>
    </cfRule>
    <cfRule type="cellIs" dxfId="1630" priority="5" stopIfTrue="1" operator="greaterThanOrEqual">
      <formula>$E$131</formula>
    </cfRule>
  </conditionalFormatting>
  <conditionalFormatting sqref="R114:S114">
    <cfRule type="cellIs" dxfId="1629" priority="24" stopIfTrue="1" operator="lessThan">
      <formula>$D$114</formula>
    </cfRule>
    <cfRule type="cellIs" dxfId="1628" priority="25" stopIfTrue="1" operator="between">
      <formula>$D$114</formula>
      <formula>$E$114</formula>
    </cfRule>
    <cfRule type="cellIs" dxfId="1627" priority="26" stopIfTrue="1" operator="greaterThan">
      <formula>$E$114</formula>
    </cfRule>
  </conditionalFormatting>
  <conditionalFormatting sqref="R138:S138">
    <cfRule type="cellIs" dxfId="1626" priority="27" stopIfTrue="1" operator="lessThan">
      <formula>$E$138</formula>
    </cfRule>
    <cfRule type="cellIs" dxfId="1625" priority="28" stopIfTrue="1" operator="between">
      <formula>$D$138</formula>
      <formula>$E$138</formula>
    </cfRule>
    <cfRule type="cellIs" dxfId="1624" priority="29" stopIfTrue="1" operator="greaterThanOrEqual">
      <formula>$D$138</formula>
    </cfRule>
  </conditionalFormatting>
  <conditionalFormatting sqref="R111:S111">
    <cfRule type="cellIs" dxfId="1623" priority="2" stopIfTrue="1" operator="lessThan">
      <formula>$E$111</formula>
    </cfRule>
    <cfRule type="cellIs" dxfId="1622" priority="3" stopIfTrue="1" operator="greaterThan">
      <formula>$E$111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Töölehed</vt:lpstr>
      </vt:variant>
      <vt:variant>
        <vt:i4>34</vt:i4>
      </vt:variant>
      <vt:variant>
        <vt:lpstr>Nimega vahemikud</vt:lpstr>
      </vt:variant>
      <vt:variant>
        <vt:i4>1</vt:i4>
      </vt:variant>
    </vt:vector>
  </HeadingPairs>
  <TitlesOfParts>
    <vt:vector size="35" baseType="lpstr">
      <vt:lpstr>Sisukord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'17'!Prindiala</vt:lpstr>
    </vt:vector>
  </TitlesOfParts>
  <Company>Kultuuriministeerium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Riina Uljas</dc:creator>
  <cp:lastModifiedBy>erle.toiger</cp:lastModifiedBy>
  <cp:lastPrinted>2018-05-24T11:15:13Z</cp:lastPrinted>
  <dcterms:created xsi:type="dcterms:W3CDTF">2017-01-19T15:18:44Z</dcterms:created>
  <dcterms:modified xsi:type="dcterms:W3CDTF">2018-05-24T11:33:41Z</dcterms:modified>
</cp:coreProperties>
</file>